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CEC142F5-8B9F-4113-B7A7-C372889729E0}" xr6:coauthVersionLast="47" xr6:coauthVersionMax="47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9" l="1"/>
  <c r="X16" i="9"/>
  <c r="V16" i="9"/>
  <c r="U16" i="9"/>
  <c r="P16" i="9"/>
  <c r="O16" i="9"/>
  <c r="M16" i="9"/>
  <c r="L16" i="9"/>
  <c r="G16" i="9"/>
  <c r="F16" i="9"/>
  <c r="D16" i="9"/>
  <c r="C16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29" i="7"/>
  <c r="L29" i="7"/>
  <c r="O30" i="7"/>
  <c r="J30" i="7"/>
  <c r="C29" i="7"/>
  <c r="B29" i="7"/>
  <c r="E30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B39" i="3"/>
  <c r="J38" i="3"/>
  <c r="I38" i="3"/>
  <c r="H38" i="3"/>
  <c r="G38" i="3"/>
  <c r="F38" i="3"/>
  <c r="E38" i="3"/>
  <c r="D38" i="3"/>
  <c r="B38" i="3"/>
  <c r="J34" i="3"/>
  <c r="I34" i="3"/>
  <c r="H34" i="3"/>
  <c r="G34" i="3"/>
  <c r="F34" i="3"/>
  <c r="E34" i="3"/>
  <c r="D34" i="3"/>
  <c r="B34" i="3"/>
  <c r="J33" i="3"/>
  <c r="I33" i="3"/>
  <c r="H33" i="3"/>
  <c r="G33" i="3"/>
  <c r="F33" i="3"/>
  <c r="E33" i="3"/>
  <c r="D33" i="3"/>
  <c r="B33" i="3"/>
  <c r="J29" i="3"/>
  <c r="I29" i="3"/>
  <c r="H29" i="3"/>
  <c r="G29" i="3"/>
  <c r="F29" i="3"/>
  <c r="E29" i="3"/>
  <c r="D29" i="3"/>
  <c r="B29" i="3"/>
  <c r="J28" i="3"/>
  <c r="I28" i="3"/>
  <c r="H28" i="3"/>
  <c r="G28" i="3"/>
  <c r="F28" i="3"/>
  <c r="E28" i="3"/>
  <c r="D28" i="3"/>
  <c r="B28" i="3"/>
  <c r="J21" i="3"/>
  <c r="I21" i="3"/>
  <c r="H21" i="3"/>
  <c r="G21" i="3"/>
  <c r="F21" i="3"/>
  <c r="E21" i="3"/>
  <c r="D21" i="3"/>
  <c r="B21" i="3"/>
  <c r="J20" i="3"/>
  <c r="I20" i="3"/>
  <c r="H20" i="3"/>
  <c r="G20" i="3"/>
  <c r="F20" i="3"/>
  <c r="E20" i="3"/>
  <c r="D20" i="3"/>
  <c r="B20" i="3"/>
  <c r="J17" i="3"/>
  <c r="I17" i="3"/>
  <c r="H17" i="3"/>
  <c r="G17" i="3"/>
  <c r="F17" i="3"/>
  <c r="E17" i="3"/>
  <c r="D17" i="3"/>
  <c r="B17" i="3"/>
  <c r="J16" i="3"/>
  <c r="I16" i="3"/>
  <c r="H16" i="3"/>
  <c r="G16" i="3"/>
  <c r="F16" i="3"/>
  <c r="E16" i="3"/>
  <c r="D16" i="3"/>
  <c r="B16" i="3"/>
  <c r="J11" i="3"/>
  <c r="I11" i="3"/>
  <c r="H11" i="3"/>
  <c r="G11" i="3"/>
  <c r="F11" i="3"/>
  <c r="E11" i="3"/>
  <c r="D11" i="3"/>
  <c r="B11" i="3"/>
  <c r="J10" i="3"/>
  <c r="I10" i="3"/>
  <c r="H10" i="3"/>
  <c r="G10" i="3"/>
  <c r="F10" i="3"/>
  <c r="E10" i="3"/>
  <c r="D10" i="3"/>
  <c r="B10" i="3"/>
  <c r="J6" i="3"/>
  <c r="I6" i="3"/>
  <c r="H6" i="3"/>
  <c r="G6" i="3"/>
  <c r="F6" i="3"/>
  <c r="E6" i="3"/>
  <c r="D6" i="3"/>
  <c r="B6" i="3"/>
  <c r="J5" i="3"/>
  <c r="I5" i="3"/>
  <c r="H5" i="3"/>
  <c r="G5" i="3"/>
  <c r="F5" i="3"/>
  <c r="E5" i="3"/>
  <c r="D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6" i="1"/>
  <c r="C21" i="1"/>
  <c r="B21" i="1"/>
  <c r="C20" i="1"/>
  <c r="B20" i="1"/>
  <c r="D29" i="7" l="1"/>
  <c r="N29" i="7"/>
  <c r="H16" i="9"/>
  <c r="Q16" i="9"/>
  <c r="W16" i="9"/>
  <c r="N16" i="9"/>
  <c r="Z16" i="9"/>
  <c r="E16" i="9"/>
  <c r="D37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M72" i="9"/>
  <c r="P72" i="9"/>
  <c r="V72" i="9"/>
  <c r="Y72" i="9"/>
  <c r="X72" i="9" l="1"/>
  <c r="U72" i="9"/>
  <c r="C72" i="9"/>
  <c r="F72" i="9"/>
  <c r="L72" i="9"/>
  <c r="O72" i="9"/>
  <c r="D9" i="17"/>
  <c r="C9" i="17"/>
  <c r="G9" i="17"/>
  <c r="F9" i="17"/>
  <c r="O29" i="7"/>
  <c r="M28" i="7"/>
  <c r="L28" i="7"/>
  <c r="L27" i="7"/>
  <c r="M27" i="7"/>
  <c r="J29" i="7"/>
  <c r="E29" i="7"/>
  <c r="C28" i="7"/>
  <c r="B28" i="7"/>
  <c r="D28" i="7" l="1"/>
  <c r="R17" i="8"/>
  <c r="R16" i="8"/>
  <c r="R22" i="8"/>
  <c r="R21" i="8"/>
  <c r="E9" i="17"/>
  <c r="R5" i="8"/>
  <c r="R4" i="8"/>
  <c r="H9" i="17"/>
  <c r="N27" i="7"/>
  <c r="N28" i="7"/>
  <c r="D10" i="8" l="1"/>
  <c r="O28" i="7"/>
  <c r="J28" i="7"/>
  <c r="E28" i="7"/>
  <c r="C27" i="7"/>
  <c r="B27" i="7"/>
  <c r="E27" i="7"/>
  <c r="D23" i="8" l="1"/>
  <c r="G27" i="7"/>
  <c r="R27" i="8"/>
  <c r="D6" i="8"/>
  <c r="D12" i="8" s="1"/>
  <c r="D18" i="8"/>
  <c r="R26" i="8"/>
  <c r="D31" i="8"/>
  <c r="D28" i="8"/>
  <c r="D27" i="7"/>
  <c r="D32" i="8"/>
  <c r="H27" i="7"/>
  <c r="I27" i="7" l="1"/>
  <c r="D33" i="8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O21" i="7" l="1"/>
  <c r="J21" i="7"/>
  <c r="E21" i="7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W71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C19" i="1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R33" i="8" l="1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P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1" i="7"/>
  <c r="P31" i="7" s="1"/>
  <c r="D31" i="7"/>
  <c r="N32" i="7"/>
  <c r="P32" i="7" s="1"/>
  <c r="I32" i="7"/>
  <c r="K32" i="7" s="1"/>
  <c r="D32" i="7"/>
  <c r="F32" i="7" s="1"/>
  <c r="I31" i="7"/>
  <c r="K31" i="7" s="1"/>
  <c r="F31" i="7"/>
  <c r="L45" i="15"/>
  <c r="L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J20" i="15"/>
  <c r="J37" i="15"/>
  <c r="E40" i="2"/>
  <c r="B40" i="2"/>
  <c r="I40" i="15"/>
  <c r="O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B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I37" i="15"/>
  <c r="L18" i="4"/>
  <c r="M18" i="4" s="1"/>
  <c r="P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30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0" i="7" l="1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J42" i="15"/>
  <c r="E23" i="2"/>
  <c r="L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D30" i="7" l="1"/>
  <c r="F30" i="7" s="1"/>
  <c r="F29" i="7"/>
  <c r="F28" i="7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L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G16" i="1" l="1"/>
  <c r="G6" i="1"/>
  <c r="G5" i="1"/>
  <c r="G17" i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32" i="1"/>
  <c r="D32" i="1" s="1"/>
  <c r="B11" i="1"/>
  <c r="L30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E17" i="5"/>
  <c r="D27" i="1" s="1"/>
  <c r="G27" i="1" s="1"/>
  <c r="F17" i="1"/>
  <c r="G30" i="7" l="1"/>
  <c r="H29" i="7"/>
  <c r="M30" i="7"/>
  <c r="H30" i="7" s="1"/>
  <c r="I15" i="5"/>
  <c r="I17" i="5" s="1"/>
  <c r="I12" i="5"/>
  <c r="P29" i="7"/>
  <c r="G29" i="7"/>
  <c r="H28" i="7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30" i="7" l="1"/>
  <c r="K30" i="7" s="1"/>
  <c r="N30" i="7"/>
  <c r="P30" i="7" s="1"/>
  <c r="I29" i="7"/>
  <c r="K29" i="7" s="1"/>
  <c r="I22" i="5"/>
  <c r="I28" i="7"/>
  <c r="K28" i="7" s="1"/>
  <c r="P28" i="7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K12" i="5"/>
  <c r="K15" i="5"/>
  <c r="K17" i="5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K22" i="5"/>
  <c r="I33" i="7" l="1"/>
  <c r="K33" i="7" l="1"/>
</calcChain>
</file>

<file path=xl/sharedStrings.xml><?xml version="1.0" encoding="utf-8"?>
<sst xmlns="http://schemas.openxmlformats.org/spreadsheetml/2006/main" count="695" uniqueCount="250">
  <si>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</si>
  <si>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</si>
  <si>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</si>
  <si>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</si>
  <si>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</si>
  <si>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</si>
  <si>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</si>
  <si>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</si>
  <si>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</si>
  <si>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</si>
  <si>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</si>
  <si>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</si>
  <si>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</si>
  <si>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</si>
  <si>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</si>
  <si>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</si>
  <si>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</si>
  <si>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</si>
  <si>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</si>
  <si>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</si>
  <si>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</si>
  <si>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</si>
  <si>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</si>
  <si>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</si>
  <si>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</si>
  <si>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</si>
  <si>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</si>
  <si>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</si>
  <si>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</si>
  <si>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</si>
  <si>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</si>
  <si>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</si>
  <si>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</si>
  <si>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</si>
  <si>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</si>
  <si>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</si>
  <si>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</si>
  <si>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</si>
  <si>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</si>
  <si>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</si>
  <si>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</si>
  <si>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</si>
  <si>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</si>
  <si>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</si>
  <si>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</si>
  <si>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</si>
  <si>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</si>
  <si>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</si>
  <si>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</si>
  <si>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</si>
  <si>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</si>
  <si>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</si>
  <si>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</si>
  <si>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</si>
  <si>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</si>
  <si>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</si>
  <si>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</si>
  <si>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</si>
  <si>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</si>
  <si>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</si>
  <si>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</si>
  <si>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</si>
  <si>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</si>
  <si>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</si>
  <si>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</si>
  <si>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</si>
  <si>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</si>
  <si>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</si>
  <si>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</si>
  <si>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</si>
  <si>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</si>
  <si>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</si>
  <si>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</si>
  <si>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</si>
  <si>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</si>
  <si>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</si>
  <si>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</si>
  <si>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</si>
  <si>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</si>
  <si>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</si>
  <si>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</si>
  <si>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</si>
  <si>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</si>
  <si>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</si>
  <si>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</si>
  <si>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</si>
  <si>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</si>
  <si>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</si>
  <si>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</si>
  <si>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</si>
  <si>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</si>
  <si>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</si>
  <si>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</si>
  <si>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</si>
  <si>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</si>
  <si>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</si>
  <si>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</si>
  <si>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</si>
  <si>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</si>
  <si>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</si>
  <si>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</si>
  <si>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</si>
  <si>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</si>
  <si>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</si>
  <si>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</si>
  <si>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</si>
  <si>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</si>
  <si>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</si>
  <si>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</si>
  <si>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</si>
  <si>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</si>
  <si>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</si>
  <si>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</si>
  <si>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</si>
  <si>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</si>
  <si>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</si>
  <si>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</si>
  <si>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</si>
  <si>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</si>
  <si>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</si>
  <si>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</si>
  <si>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</si>
  <si>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</si>
  <si>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</si>
  <si>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</si>
  <si>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</si>
  <si>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</si>
  <si>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</si>
  <si>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</si>
  <si>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</si>
  <si>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</si>
  <si>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</si>
  <si>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</si>
  <si>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</si>
  <si>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</si>
  <si>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</si>
  <si>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</si>
  <si>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</si>
  <si>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</si>
  <si>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</si>
  <si>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</si>
  <si>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</si>
  <si>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</si>
  <si>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</si>
  <si>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</si>
  <si>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</si>
  <si>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</si>
  <si>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</si>
  <si>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</si>
  <si>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</si>
  <si>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</si>
  <si>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</si>
  <si>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</si>
  <si>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</si>
  <si>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</si>
  <si>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</si>
  <si>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</si>
  <si>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</si>
  <si>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</si>
  <si>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</si>
  <si>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</si>
  <si>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</si>
  <si>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</si>
  <si>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</si>
  <si>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</si>
  <si>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</si>
  <si>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</si>
  <si>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</si>
  <si>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</si>
  <si>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</si>
  <si>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</si>
  <si>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</si>
  <si>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</si>
  <si>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</si>
  <si>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</si>
  <si>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</si>
  <si>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</si>
  <si>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</si>
  <si>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</si>
  <si>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</si>
  <si>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</si>
  <si>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</si>
  <si>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</si>
  <si>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</si>
  <si>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</si>
  <si>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</si>
  <si>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</si>
  <si>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</si>
  <si>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</si>
  <si>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</si>
  <si>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</si>
  <si>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</si>
  <si>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</si>
  <si>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</si>
  <si>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</si>
  <si>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</si>
  <si>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</si>
  <si>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</si>
  <si>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</si>
  <si>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</si>
  <si>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</si>
  <si>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</si>
  <si>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</si>
  <si>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</si>
  <si>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</si>
  <si>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</si>
  <si>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</si>
  <si>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</si>
  <si>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</si>
  <si>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</si>
  <si>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</si>
  <si>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</si>
  <si>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</si>
  <si>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</si>
  <si>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</si>
  <si>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</si>
  <si>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</si>
  <si>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</si>
  <si>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</si>
  <si>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</si>
  <si>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</si>
  <si>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</si>
  <si>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</si>
  <si>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</si>
  <si>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</si>
  <si>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</si>
  <si>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</si>
  <si>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</si>
  <si>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</si>
  <si>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</si>
  <si>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</si>
  <si>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</si>
  <si>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</si>
  <si>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</si>
  <si>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</si>
  <si>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</si>
  <si>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</si>
  <si>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</si>
  <si>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</si>
  <si>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</si>
  <si>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</si>
  <si>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</si>
  <si>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</si>
  <si>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</si>
  <si>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</si>
  <si>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</si>
  <si>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</si>
  <si>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October 2020</t>
  </si>
  <si>
    <t>Allegiant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</si>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</sst>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0" xfId="0" applyNumberFormat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October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Septembe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781482</v>
          </cell>
          <cell r="G5">
            <v>9417007</v>
          </cell>
        </row>
        <row r="6">
          <cell r="D6">
            <v>323107</v>
          </cell>
          <cell r="G6">
            <v>2840041</v>
          </cell>
        </row>
        <row r="7">
          <cell r="D7">
            <v>0</v>
          </cell>
          <cell r="G7">
            <v>2270</v>
          </cell>
        </row>
        <row r="10">
          <cell r="D10">
            <v>43622</v>
          </cell>
          <cell r="G10">
            <v>515151</v>
          </cell>
        </row>
        <row r="16">
          <cell r="D16">
            <v>9412</v>
          </cell>
          <cell r="G16">
            <v>99508</v>
          </cell>
        </row>
        <row r="17">
          <cell r="D17">
            <v>9523</v>
          </cell>
          <cell r="G17">
            <v>80201</v>
          </cell>
        </row>
        <row r="18">
          <cell r="D18">
            <v>0</v>
          </cell>
          <cell r="G18">
            <v>24</v>
          </cell>
        </row>
        <row r="19">
          <cell r="D19">
            <v>1356</v>
          </cell>
          <cell r="G19">
            <v>12164</v>
          </cell>
        </row>
        <row r="20">
          <cell r="D20">
            <v>1081</v>
          </cell>
          <cell r="G20">
            <v>9078</v>
          </cell>
        </row>
        <row r="21">
          <cell r="D21">
            <v>149</v>
          </cell>
          <cell r="G21">
            <v>952</v>
          </cell>
        </row>
        <row r="27">
          <cell r="D27">
            <v>16407.415782419201</v>
          </cell>
          <cell r="G27">
            <v>152169.83064370087</v>
          </cell>
        </row>
        <row r="28">
          <cell r="D28">
            <v>2134.1285140467598</v>
          </cell>
          <cell r="G28">
            <v>14676.153950042968</v>
          </cell>
        </row>
        <row r="32">
          <cell r="B32">
            <v>351977</v>
          </cell>
          <cell r="D32">
            <v>3955211</v>
          </cell>
        </row>
        <row r="33">
          <cell r="B33">
            <v>208938</v>
          </cell>
          <cell r="D33">
            <v>2138672</v>
          </cell>
        </row>
      </sheetData>
      <sheetData sheetId="1"/>
      <sheetData sheetId="2"/>
      <sheetData sheetId="3"/>
      <sheetData sheetId="4"/>
      <sheetData sheetId="5">
        <row r="30">
          <cell r="D30">
            <v>4709</v>
          </cell>
          <cell r="I30">
            <v>1143502</v>
          </cell>
          <cell r="N30">
            <v>1148211</v>
          </cell>
        </row>
      </sheetData>
      <sheetData sheetId="6"/>
      <sheetData sheetId="7">
        <row r="5">
          <cell r="F5">
            <v>8908.9283605052497</v>
          </cell>
          <cell r="I5">
            <v>84291.801308000431</v>
          </cell>
        </row>
        <row r="6">
          <cell r="F6">
            <v>973.33347609421003</v>
          </cell>
          <cell r="I6">
            <v>5780.2246396771798</v>
          </cell>
        </row>
        <row r="10">
          <cell r="F10">
            <v>7498.4874219139501</v>
          </cell>
          <cell r="I10">
            <v>67878.029335700441</v>
          </cell>
        </row>
        <row r="11">
          <cell r="F11">
            <v>1160.79503795255</v>
          </cell>
          <cell r="I11">
            <v>8895.929310365791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16407.415782419201</v>
          </cell>
        </row>
        <row r="21">
          <cell r="F21">
            <v>2134.1285140467598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36195</v>
          </cell>
          <cell r="C28">
            <v>31727</v>
          </cell>
          <cell r="L28">
            <v>1339971</v>
          </cell>
          <cell r="M28">
            <v>1323396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13289009</v>
          </cell>
        </row>
        <row r="6">
          <cell r="G6">
            <v>4150939</v>
          </cell>
        </row>
        <row r="7">
          <cell r="G7">
            <v>2605</v>
          </cell>
        </row>
        <row r="10">
          <cell r="G10">
            <v>573309</v>
          </cell>
        </row>
        <row r="16">
          <cell r="G16">
            <v>108864</v>
          </cell>
        </row>
        <row r="17">
          <cell r="G17">
            <v>91440</v>
          </cell>
        </row>
        <row r="18">
          <cell r="G18">
            <v>23</v>
          </cell>
        </row>
        <row r="19">
          <cell r="G19">
            <v>12242</v>
          </cell>
        </row>
        <row r="20">
          <cell r="G20">
            <v>10977</v>
          </cell>
        </row>
        <row r="21">
          <cell r="G21">
            <v>915</v>
          </cell>
        </row>
        <row r="27">
          <cell r="G27">
            <v>153041.04450178481</v>
          </cell>
        </row>
        <row r="28">
          <cell r="G28">
            <v>16031.780972273989</v>
          </cell>
        </row>
        <row r="32">
          <cell r="D32">
            <v>5802808</v>
          </cell>
        </row>
        <row r="33">
          <cell r="D33">
            <v>2886019</v>
          </cell>
        </row>
      </sheetData>
      <sheetData sheetId="1"/>
      <sheetData sheetId="2"/>
      <sheetData sheetId="3"/>
      <sheetData sheetId="4"/>
      <sheetData sheetId="5">
        <row r="29">
          <cell r="B29">
            <v>30227</v>
          </cell>
          <cell r="C29">
            <v>30154</v>
          </cell>
          <cell r="L29">
            <v>1160558</v>
          </cell>
          <cell r="M29">
            <v>1167155</v>
          </cell>
        </row>
      </sheetData>
      <sheetData sheetId="6"/>
      <sheetData sheetId="7">
        <row r="5">
          <cell r="I5">
            <v>84980.801055597229</v>
          </cell>
        </row>
        <row r="6">
          <cell r="I6">
            <v>8073.0202183423089</v>
          </cell>
        </row>
        <row r="10">
          <cell r="I10">
            <v>68060.098750221543</v>
          </cell>
        </row>
        <row r="11">
          <cell r="I11">
            <v>7958.7607539316796</v>
          </cell>
        </row>
        <row r="15">
          <cell r="I15">
            <v>0.14469596602999998</v>
          </cell>
        </row>
        <row r="16">
          <cell r="I16">
            <v>0</v>
          </cell>
        </row>
        <row r="20">
          <cell r="I20">
            <v>153041.04450178481</v>
          </cell>
        </row>
        <row r="21">
          <cell r="I21">
            <v>16031.780972273989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2462</v>
          </cell>
          <cell r="I29">
            <v>1033240</v>
          </cell>
          <cell r="N29">
            <v>1035702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"/>
      <sheetData sheetId="4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  <cell r="HL15">
            <v>16</v>
          </cell>
          <cell r="HM15"/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  <cell r="HL16">
            <v>16</v>
          </cell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  <cell r="HM32"/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  <cell r="HM33"/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  <cell r="HL37"/>
          <cell r="HM37"/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</row>
      </sheetData>
      <sheetData sheetId="5">
        <row r="4">
          <cell r="HM4">
            <v>32</v>
          </cell>
        </row>
        <row r="5">
          <cell r="HM5">
            <v>32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</row>
        <row r="22">
          <cell r="HM22">
            <v>2233</v>
          </cell>
        </row>
        <row r="23">
          <cell r="HM23">
            <v>2366</v>
          </cell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6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">
        <row r="4">
          <cell r="HM4">
            <v>63</v>
          </cell>
        </row>
        <row r="5">
          <cell r="HM5">
            <v>62</v>
          </cell>
        </row>
        <row r="8">
          <cell r="HM8">
            <v>1</v>
          </cell>
        </row>
        <row r="9">
          <cell r="HM9">
            <v>1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</row>
        <row r="22">
          <cell r="HM22">
            <v>9244</v>
          </cell>
        </row>
        <row r="23">
          <cell r="HM23">
            <v>9598</v>
          </cell>
        </row>
        <row r="27">
          <cell r="HM27">
            <v>259</v>
          </cell>
        </row>
        <row r="28">
          <cell r="HM28">
            <v>272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</row>
        <row r="47">
          <cell r="HM47">
            <v>16634</v>
          </cell>
        </row>
        <row r="48">
          <cell r="HM48"/>
        </row>
        <row r="52">
          <cell r="HM52">
            <v>4422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</row>
      </sheetData>
      <sheetData sheetId="8"/>
      <sheetData sheetId="9">
        <row r="4">
          <cell r="HM4">
            <v>388</v>
          </cell>
        </row>
        <row r="5">
          <cell r="HM5">
            <v>388</v>
          </cell>
        </row>
        <row r="8">
          <cell r="HM8"/>
        </row>
        <row r="9">
          <cell r="HM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</row>
        <row r="22">
          <cell r="HM22">
            <v>54104</v>
          </cell>
        </row>
        <row r="23">
          <cell r="HM23">
            <v>55667</v>
          </cell>
        </row>
        <row r="27">
          <cell r="HM27">
            <v>1306</v>
          </cell>
        </row>
        <row r="28">
          <cell r="HM28">
            <v>1459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</row>
        <row r="47">
          <cell r="HM47">
            <v>48744</v>
          </cell>
        </row>
        <row r="48">
          <cell r="HM48">
            <v>62767</v>
          </cell>
        </row>
        <row r="52">
          <cell r="HM52">
            <v>4589</v>
          </cell>
        </row>
        <row r="53">
          <cell r="HM53">
            <v>6243</v>
          </cell>
        </row>
        <row r="57">
          <cell r="HM57"/>
        </row>
        <row r="58">
          <cell r="HM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</row>
      </sheetData>
      <sheetData sheetId="10"/>
      <sheetData sheetId="11">
        <row r="4">
          <cell r="HM4">
            <v>696</v>
          </cell>
        </row>
        <row r="5">
          <cell r="HM5">
            <v>697</v>
          </cell>
        </row>
        <row r="8">
          <cell r="HM8">
            <v>107</v>
          </cell>
        </row>
        <row r="9">
          <cell r="HM9">
            <v>100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  <cell r="HM15">
            <v>15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  <cell r="HM16">
            <v>17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</row>
        <row r="22">
          <cell r="HM22">
            <v>96450</v>
          </cell>
        </row>
        <row r="23">
          <cell r="HM23">
            <v>100275</v>
          </cell>
        </row>
        <row r="27">
          <cell r="HM27">
            <v>2006</v>
          </cell>
        </row>
        <row r="28">
          <cell r="HM28">
            <v>867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  <cell r="HM32">
            <v>1512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  <cell r="HM33">
            <v>1574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  <cell r="HM37">
            <v>24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  <cell r="HM38">
            <v>27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</row>
        <row r="47">
          <cell r="HM47">
            <v>18665</v>
          </cell>
        </row>
        <row r="48">
          <cell r="HM48">
            <v>96601</v>
          </cell>
        </row>
        <row r="52">
          <cell r="HM52"/>
        </row>
        <row r="53">
          <cell r="HM53">
            <v>113802</v>
          </cell>
        </row>
        <row r="57">
          <cell r="HM57"/>
        </row>
        <row r="58">
          <cell r="HM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</row>
        <row r="70">
          <cell r="HM70">
            <v>100275</v>
          </cell>
        </row>
        <row r="71">
          <cell r="HM71"/>
        </row>
        <row r="73">
          <cell r="HM73">
            <v>1574</v>
          </cell>
        </row>
        <row r="74">
          <cell r="HM74"/>
        </row>
      </sheetData>
      <sheetData sheetId="12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3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4">
        <row r="4">
          <cell r="HM4">
            <v>4763</v>
          </cell>
        </row>
        <row r="5">
          <cell r="HM5">
            <v>4759</v>
          </cell>
        </row>
        <row r="8">
          <cell r="HM8">
            <v>3</v>
          </cell>
        </row>
        <row r="9">
          <cell r="HM9">
            <v>6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  <cell r="HM15">
            <v>140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  <cell r="HM16">
            <v>138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</row>
        <row r="22">
          <cell r="HM22">
            <v>636036</v>
          </cell>
        </row>
        <row r="23">
          <cell r="HM23">
            <v>641539</v>
          </cell>
        </row>
        <row r="27">
          <cell r="HM27">
            <v>21062</v>
          </cell>
        </row>
        <row r="28">
          <cell r="HM28">
            <v>21280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  <cell r="HM32">
            <v>19852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  <cell r="HM33">
            <v>19902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  <cell r="HM37">
            <v>491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  <cell r="HM38">
            <v>493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</row>
        <row r="47">
          <cell r="HM47">
            <v>1917950</v>
          </cell>
        </row>
        <row r="48">
          <cell r="HM48">
            <v>1453335</v>
          </cell>
        </row>
        <row r="52">
          <cell r="HM52">
            <v>1344296</v>
          </cell>
        </row>
        <row r="53">
          <cell r="HM53">
            <v>1263585</v>
          </cell>
        </row>
        <row r="57">
          <cell r="HM57"/>
        </row>
        <row r="58">
          <cell r="HM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</row>
        <row r="70">
          <cell r="HM70">
            <v>387664</v>
          </cell>
        </row>
        <row r="71">
          <cell r="HM71">
            <v>253875</v>
          </cell>
        </row>
        <row r="73">
          <cell r="HM73">
            <v>12026</v>
          </cell>
        </row>
        <row r="74">
          <cell r="HM74">
            <v>7876</v>
          </cell>
        </row>
      </sheetData>
      <sheetData sheetId="15">
        <row r="4">
          <cell r="HM4">
            <v>78</v>
          </cell>
        </row>
        <row r="5">
          <cell r="HM5">
            <v>78</v>
          </cell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</row>
        <row r="22">
          <cell r="HM22">
            <v>988</v>
          </cell>
        </row>
        <row r="23">
          <cell r="HM23">
            <v>777</v>
          </cell>
        </row>
        <row r="27">
          <cell r="HM27">
            <v>27</v>
          </cell>
        </row>
        <row r="28">
          <cell r="HM28">
            <v>33</v>
          </cell>
        </row>
        <row r="32">
          <cell r="HM32"/>
        </row>
        <row r="33">
          <cell r="HM33"/>
        </row>
        <row r="37">
          <cell r="HM37"/>
        </row>
        <row r="38"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6">
        <row r="4">
          <cell r="HM4">
            <v>59</v>
          </cell>
        </row>
        <row r="5">
          <cell r="HM5">
            <v>59</v>
          </cell>
        </row>
        <row r="8">
          <cell r="HM8"/>
        </row>
        <row r="9">
          <cell r="HM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</row>
        <row r="22">
          <cell r="HM22">
            <v>9267</v>
          </cell>
        </row>
        <row r="23">
          <cell r="HM23">
            <v>6134</v>
          </cell>
        </row>
        <row r="27">
          <cell r="HM27">
            <v>85</v>
          </cell>
        </row>
        <row r="28">
          <cell r="HM28">
            <v>77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17"/>
      <sheetData sheetId="18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  <cell r="HL15">
            <v>23</v>
          </cell>
          <cell r="HM15">
            <v>10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  <cell r="HL16">
            <v>23</v>
          </cell>
          <cell r="HM16">
            <v>10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  <cell r="HM32">
            <v>933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  <cell r="HM33">
            <v>808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  <cell r="HL37">
            <v>3</v>
          </cell>
          <cell r="HM37">
            <v>1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  <cell r="HM38">
            <v>2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</row>
        <row r="47">
          <cell r="HM47">
            <v>302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</row>
      </sheetData>
      <sheetData sheetId="19">
        <row r="4">
          <cell r="HM4">
            <v>50</v>
          </cell>
        </row>
        <row r="5">
          <cell r="HM5">
            <v>48</v>
          </cell>
        </row>
        <row r="8">
          <cell r="HM8"/>
        </row>
        <row r="9">
          <cell r="HM9"/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</row>
        <row r="22">
          <cell r="HM22">
            <v>3851</v>
          </cell>
        </row>
        <row r="23">
          <cell r="HM23">
            <v>3992</v>
          </cell>
        </row>
        <row r="27">
          <cell r="HM27">
            <v>85</v>
          </cell>
        </row>
        <row r="28">
          <cell r="HM28">
            <v>121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20">
        <row r="4">
          <cell r="HM4">
            <v>266</v>
          </cell>
        </row>
        <row r="5">
          <cell r="HM5">
            <v>266</v>
          </cell>
        </row>
        <row r="8">
          <cell r="HM8"/>
        </row>
        <row r="9">
          <cell r="HM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</row>
        <row r="22">
          <cell r="HM22">
            <v>35296</v>
          </cell>
        </row>
        <row r="23">
          <cell r="HM23">
            <v>35488</v>
          </cell>
        </row>
        <row r="27">
          <cell r="HM27">
            <v>1051</v>
          </cell>
        </row>
        <row r="28">
          <cell r="HM28">
            <v>1065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</row>
        <row r="47">
          <cell r="HM47">
            <v>43488</v>
          </cell>
        </row>
        <row r="48">
          <cell r="HM48">
            <v>20882</v>
          </cell>
        </row>
        <row r="52">
          <cell r="HM52">
            <v>10950</v>
          </cell>
        </row>
        <row r="53">
          <cell r="HM53">
            <v>733</v>
          </cell>
        </row>
        <row r="57">
          <cell r="HM57"/>
        </row>
        <row r="58">
          <cell r="HM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</row>
      </sheetData>
      <sheetData sheetId="21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>
            <v>1</v>
          </cell>
          <cell r="HL15">
            <v>13</v>
          </cell>
          <cell r="HM15">
            <v>13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  <cell r="HL16">
            <v>13</v>
          </cell>
          <cell r="HM16">
            <v>13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  <cell r="HL32">
            <v>2294</v>
          </cell>
          <cell r="HM32">
            <v>2252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  <cell r="HL33">
            <v>1477</v>
          </cell>
          <cell r="HM33">
            <v>1178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  <cell r="HL37">
            <v>1</v>
          </cell>
          <cell r="HM37">
            <v>7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  <cell r="HL38">
            <v>2</v>
          </cell>
          <cell r="HM38">
            <v>4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</row>
        <row r="47">
          <cell r="HM47">
            <v>522268</v>
          </cell>
        </row>
        <row r="48">
          <cell r="HM48"/>
        </row>
        <row r="52">
          <cell r="HM52">
            <v>66758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</row>
      </sheetData>
      <sheetData sheetId="22"/>
      <sheetData sheetId="23"/>
      <sheetData sheetId="24">
        <row r="4">
          <cell r="HM4">
            <v>405</v>
          </cell>
        </row>
        <row r="5">
          <cell r="HM5">
            <v>403</v>
          </cell>
        </row>
        <row r="8">
          <cell r="HM8"/>
        </row>
        <row r="9">
          <cell r="HM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</row>
        <row r="22">
          <cell r="HM22">
            <v>51503</v>
          </cell>
        </row>
        <row r="23">
          <cell r="HM23">
            <v>51963</v>
          </cell>
        </row>
        <row r="27">
          <cell r="HM27">
            <v>818</v>
          </cell>
        </row>
        <row r="28">
          <cell r="HM28">
            <v>1040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</row>
        <row r="47">
          <cell r="HM47">
            <v>213397</v>
          </cell>
        </row>
        <row r="48">
          <cell r="HM48"/>
        </row>
        <row r="52">
          <cell r="HM52">
            <v>60408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</row>
        <row r="70">
          <cell r="HM70">
            <v>51793</v>
          </cell>
        </row>
        <row r="71">
          <cell r="HM71">
            <v>170</v>
          </cell>
        </row>
        <row r="73">
          <cell r="HM73"/>
        </row>
        <row r="74">
          <cell r="HM74"/>
        </row>
      </sheetData>
      <sheetData sheetId="25">
        <row r="4">
          <cell r="HM4">
            <v>100</v>
          </cell>
        </row>
        <row r="5">
          <cell r="HM5">
            <v>99</v>
          </cell>
        </row>
        <row r="8">
          <cell r="HM8"/>
        </row>
        <row r="9">
          <cell r="HM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</row>
        <row r="22">
          <cell r="HM22">
            <v>13885</v>
          </cell>
        </row>
        <row r="23">
          <cell r="HM23">
            <v>13124</v>
          </cell>
        </row>
        <row r="27">
          <cell r="HM27">
            <v>99</v>
          </cell>
        </row>
        <row r="28">
          <cell r="HM28">
            <v>83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29">
        <row r="4">
          <cell r="HM4">
            <v>14</v>
          </cell>
        </row>
        <row r="5">
          <cell r="HM5">
            <v>14</v>
          </cell>
        </row>
        <row r="8">
          <cell r="HM8"/>
        </row>
        <row r="9">
          <cell r="HM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</row>
        <row r="22">
          <cell r="HM22">
            <v>790</v>
          </cell>
        </row>
        <row r="23">
          <cell r="HM23">
            <v>904</v>
          </cell>
        </row>
        <row r="27">
          <cell r="HM27">
            <v>30</v>
          </cell>
        </row>
        <row r="28">
          <cell r="HM28">
            <v>35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</row>
        <row r="47">
          <cell r="HM47">
            <v>56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</row>
      </sheetData>
      <sheetData sheetId="30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1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32"/>
      <sheetData sheetId="33"/>
      <sheetData sheetId="34"/>
      <sheetData sheetId="3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6"/>
      <sheetData sheetId="37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38"/>
      <sheetData sheetId="39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40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1">
        <row r="4">
          <cell r="HM4">
            <v>6</v>
          </cell>
        </row>
        <row r="5">
          <cell r="HM5">
            <v>6</v>
          </cell>
        </row>
        <row r="8">
          <cell r="HM8"/>
        </row>
        <row r="9">
          <cell r="HM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</row>
        <row r="22">
          <cell r="HM22">
            <v>407</v>
          </cell>
        </row>
        <row r="23">
          <cell r="HM23">
            <v>358</v>
          </cell>
        </row>
        <row r="27">
          <cell r="HM27">
            <v>13</v>
          </cell>
        </row>
        <row r="28">
          <cell r="HM28">
            <v>17</v>
          </cell>
        </row>
        <row r="32">
          <cell r="HM32"/>
        </row>
        <row r="33">
          <cell r="HM33"/>
        </row>
        <row r="37">
          <cell r="HM37"/>
        </row>
        <row r="38">
          <cell r="HM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</row>
        <row r="47">
          <cell r="HM47">
            <v>97</v>
          </cell>
        </row>
        <row r="48">
          <cell r="HM48"/>
        </row>
        <row r="52">
          <cell r="HM52">
            <v>15</v>
          </cell>
        </row>
        <row r="53">
          <cell r="HM53">
            <v>608</v>
          </cell>
        </row>
        <row r="57">
          <cell r="HM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</row>
      </sheetData>
      <sheetData sheetId="42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M15">
            <v>31</v>
          </cell>
        </row>
        <row r="16">
          <cell r="HM16">
            <v>31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32">
          <cell r="HM32">
            <v>2152</v>
          </cell>
        </row>
        <row r="33">
          <cell r="HM33">
            <v>1891</v>
          </cell>
        </row>
        <row r="37">
          <cell r="HM37">
            <v>18</v>
          </cell>
        </row>
        <row r="38">
          <cell r="HM38">
            <v>20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F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3">
        <row r="4">
          <cell r="HM4">
            <v>84</v>
          </cell>
        </row>
        <row r="5">
          <cell r="HM5">
            <v>82</v>
          </cell>
        </row>
        <row r="8">
          <cell r="HM8"/>
        </row>
        <row r="9">
          <cell r="HM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</row>
        <row r="22">
          <cell r="HM22">
            <v>5180</v>
          </cell>
        </row>
        <row r="23">
          <cell r="HM23">
            <v>5311</v>
          </cell>
        </row>
        <row r="27">
          <cell r="HM27">
            <v>114</v>
          </cell>
        </row>
        <row r="28">
          <cell r="HM28">
            <v>163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4"/>
      <sheetData sheetId="45"/>
      <sheetData sheetId="46">
        <row r="4">
          <cell r="HM4">
            <v>1692</v>
          </cell>
        </row>
        <row r="5">
          <cell r="HM5">
            <v>1691</v>
          </cell>
        </row>
        <row r="8">
          <cell r="HM8">
            <v>1</v>
          </cell>
        </row>
        <row r="9">
          <cell r="HM9">
            <v>1</v>
          </cell>
        </row>
        <row r="15">
          <cell r="HD15"/>
          <cell r="HE15"/>
          <cell r="HF15"/>
          <cell r="HG15"/>
          <cell r="HH15"/>
          <cell r="HJ15">
            <v>1</v>
          </cell>
          <cell r="HK15"/>
          <cell r="HL15"/>
          <cell r="HM15"/>
        </row>
        <row r="16">
          <cell r="HD16"/>
          <cell r="HE16"/>
          <cell r="HF16"/>
          <cell r="HG16"/>
          <cell r="HH16"/>
          <cell r="HJ16">
            <v>1</v>
          </cell>
          <cell r="HK16"/>
          <cell r="HL16"/>
          <cell r="HM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</row>
        <row r="22">
          <cell r="HM22">
            <v>84406</v>
          </cell>
        </row>
        <row r="23">
          <cell r="HM23">
            <v>83292</v>
          </cell>
        </row>
        <row r="27">
          <cell r="HM27">
            <v>3144</v>
          </cell>
        </row>
        <row r="28">
          <cell r="HM28">
            <v>2890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>
            <v>26901</v>
          </cell>
        </row>
        <row r="71">
          <cell r="HM71">
            <v>56391</v>
          </cell>
        </row>
        <row r="73">
          <cell r="HM73"/>
        </row>
        <row r="74">
          <cell r="HM74"/>
        </row>
      </sheetData>
      <sheetData sheetId="47">
        <row r="4">
          <cell r="HM4">
            <v>50</v>
          </cell>
        </row>
        <row r="5">
          <cell r="HM5">
            <v>50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</row>
        <row r="22">
          <cell r="HM22">
            <v>3095</v>
          </cell>
        </row>
        <row r="23">
          <cell r="HM23">
            <v>3140</v>
          </cell>
        </row>
        <row r="27">
          <cell r="HM27">
            <v>73</v>
          </cell>
        </row>
        <row r="28">
          <cell r="HM28">
            <v>60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48">
        <row r="4">
          <cell r="HM4">
            <v>126</v>
          </cell>
        </row>
        <row r="5">
          <cell r="HM5">
            <v>127</v>
          </cell>
        </row>
        <row r="8">
          <cell r="HM8"/>
        </row>
        <row r="9">
          <cell r="HM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</row>
        <row r="22">
          <cell r="HM22">
            <v>7371</v>
          </cell>
        </row>
        <row r="23">
          <cell r="HM23">
            <v>7111</v>
          </cell>
        </row>
        <row r="27">
          <cell r="HM27">
            <v>293</v>
          </cell>
        </row>
        <row r="28">
          <cell r="HM28">
            <v>289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</row>
        <row r="47">
          <cell r="HM47">
            <v>1</v>
          </cell>
        </row>
        <row r="48">
          <cell r="HM48"/>
        </row>
        <row r="52">
          <cell r="HM52">
            <v>180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</row>
      </sheetData>
      <sheetData sheetId="49">
        <row r="4">
          <cell r="HM4">
            <v>92</v>
          </cell>
        </row>
        <row r="5">
          <cell r="HM5">
            <v>93</v>
          </cell>
        </row>
        <row r="8">
          <cell r="HM8"/>
        </row>
        <row r="9">
          <cell r="HM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</row>
        <row r="22">
          <cell r="HM22">
            <v>5920</v>
          </cell>
        </row>
        <row r="23">
          <cell r="HM23">
            <v>6037</v>
          </cell>
        </row>
        <row r="27">
          <cell r="HM27">
            <v>168</v>
          </cell>
        </row>
        <row r="28">
          <cell r="HM28">
            <v>136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0">
        <row r="8">
          <cell r="HM8"/>
        </row>
        <row r="9">
          <cell r="HM9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1">
        <row r="4">
          <cell r="HM4">
            <v>2720</v>
          </cell>
        </row>
        <row r="5">
          <cell r="HM5">
            <v>2716</v>
          </cell>
        </row>
        <row r="8">
          <cell r="HM8">
            <v>3</v>
          </cell>
        </row>
        <row r="9">
          <cell r="HM9"/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  <cell r="HM15">
            <v>60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  <cell r="HM16">
            <v>60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</row>
        <row r="22">
          <cell r="HM22">
            <v>147606</v>
          </cell>
        </row>
        <row r="23">
          <cell r="HM23">
            <v>145867</v>
          </cell>
        </row>
        <row r="27">
          <cell r="HM27">
            <v>4353</v>
          </cell>
        </row>
        <row r="28">
          <cell r="HM28">
            <v>4264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  <cell r="HM32">
            <v>4179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  <cell r="HM33">
            <v>3889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  <cell r="HM37">
            <v>26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  <cell r="HM38">
            <v>23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>
            <v>51343</v>
          </cell>
        </row>
        <row r="71">
          <cell r="HM71">
            <v>94524</v>
          </cell>
        </row>
        <row r="73">
          <cell r="HM73">
            <v>1369</v>
          </cell>
        </row>
        <row r="74">
          <cell r="HM74">
            <v>2520</v>
          </cell>
        </row>
      </sheetData>
      <sheetData sheetId="52">
        <row r="4">
          <cell r="HM4">
            <v>48</v>
          </cell>
        </row>
        <row r="5">
          <cell r="HM5">
            <v>48</v>
          </cell>
        </row>
        <row r="8">
          <cell r="HM8"/>
        </row>
        <row r="9">
          <cell r="HM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</row>
        <row r="22">
          <cell r="HM22">
            <v>3080</v>
          </cell>
        </row>
        <row r="23">
          <cell r="HM23">
            <v>3301</v>
          </cell>
        </row>
        <row r="27">
          <cell r="HM27">
            <v>85</v>
          </cell>
        </row>
        <row r="28">
          <cell r="HM28">
            <v>64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3"/>
      <sheetData sheetId="54">
        <row r="4">
          <cell r="HM4">
            <v>49</v>
          </cell>
        </row>
        <row r="5">
          <cell r="HM5">
            <v>49</v>
          </cell>
        </row>
        <row r="8">
          <cell r="HM8"/>
        </row>
        <row r="9">
          <cell r="HM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</row>
        <row r="22">
          <cell r="HM22">
            <v>2549</v>
          </cell>
        </row>
        <row r="23">
          <cell r="HM23">
            <v>2812</v>
          </cell>
        </row>
        <row r="27">
          <cell r="HM27">
            <v>117</v>
          </cell>
        </row>
        <row r="28">
          <cell r="HM28">
            <v>95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</row>
        <row r="47">
          <cell r="HM47">
            <v>112</v>
          </cell>
        </row>
        <row r="48">
          <cell r="HM48">
            <v>0</v>
          </cell>
        </row>
        <row r="52">
          <cell r="HM52">
            <v>36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</row>
      </sheetData>
      <sheetData sheetId="55">
        <row r="4">
          <cell r="HM4">
            <v>24</v>
          </cell>
        </row>
        <row r="5">
          <cell r="HM5">
            <v>24</v>
          </cell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</row>
        <row r="22">
          <cell r="HM22">
            <v>1732</v>
          </cell>
        </row>
        <row r="23">
          <cell r="HM23">
            <v>1635</v>
          </cell>
        </row>
        <row r="27">
          <cell r="HM27">
            <v>34</v>
          </cell>
        </row>
        <row r="28">
          <cell r="HM28">
            <v>35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</row>
        <row r="47">
          <cell r="HM47">
            <v>1227</v>
          </cell>
        </row>
        <row r="48">
          <cell r="HM48"/>
        </row>
        <row r="52">
          <cell r="HM52">
            <v>258</v>
          </cell>
        </row>
        <row r="53">
          <cell r="HM53">
            <v>1312</v>
          </cell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</row>
      </sheetData>
      <sheetData sheetId="56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57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22">
          <cell r="HM22"/>
        </row>
        <row r="23">
          <cell r="HM23"/>
        </row>
        <row r="27">
          <cell r="HM27"/>
        </row>
        <row r="28">
          <cell r="HM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  <row r="70">
          <cell r="HM70"/>
        </row>
        <row r="71">
          <cell r="HM71"/>
        </row>
        <row r="73">
          <cell r="HM73"/>
        </row>
        <row r="74">
          <cell r="HM74"/>
        </row>
      </sheetData>
      <sheetData sheetId="58"/>
      <sheetData sheetId="59"/>
      <sheetData sheetId="60"/>
      <sheetData sheetId="61">
        <row r="4">
          <cell r="HM4"/>
        </row>
        <row r="5">
          <cell r="HM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22">
          <cell r="HM22"/>
        </row>
        <row r="23">
          <cell r="HM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2">
        <row r="4">
          <cell r="HM4"/>
        </row>
        <row r="5">
          <cell r="HM5"/>
        </row>
        <row r="15">
          <cell r="HM15"/>
        </row>
        <row r="16">
          <cell r="HM16"/>
        </row>
        <row r="22">
          <cell r="HM22"/>
        </row>
        <row r="23">
          <cell r="HM23"/>
        </row>
        <row r="32">
          <cell r="HM32"/>
        </row>
        <row r="33">
          <cell r="HM33"/>
        </row>
      </sheetData>
      <sheetData sheetId="63">
        <row r="5">
          <cell r="HM5"/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/>
          <cell r="HK16"/>
          <cell r="HL16"/>
          <cell r="HM16"/>
        </row>
        <row r="22">
          <cell r="HM22"/>
        </row>
        <row r="23">
          <cell r="HM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4">
        <row r="4">
          <cell r="HM4">
            <v>3</v>
          </cell>
        </row>
        <row r="5">
          <cell r="HM5">
            <v>2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  <cell r="HM15"/>
        </row>
        <row r="16">
          <cell r="HD16"/>
          <cell r="HE16"/>
          <cell r="HF16"/>
          <cell r="HG16"/>
          <cell r="HH16"/>
          <cell r="HJ16">
            <v>2</v>
          </cell>
          <cell r="HK16"/>
          <cell r="HL16"/>
          <cell r="HM16"/>
        </row>
        <row r="22">
          <cell r="HM22">
            <v>531</v>
          </cell>
        </row>
        <row r="23">
          <cell r="HM23">
            <v>80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  <cell r="HM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</row>
      </sheetData>
      <sheetData sheetId="65">
        <row r="4">
          <cell r="HM4">
            <v>31</v>
          </cell>
        </row>
        <row r="5">
          <cell r="HM5">
            <v>31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</row>
        <row r="47">
          <cell r="HM47">
            <v>2417937</v>
          </cell>
        </row>
        <row r="48">
          <cell r="HM48"/>
        </row>
        <row r="52">
          <cell r="HM52">
            <v>1291950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</row>
      </sheetData>
      <sheetData sheetId="66">
        <row r="4">
          <cell r="HM4">
            <v>58</v>
          </cell>
        </row>
        <row r="5">
          <cell r="HM5">
            <v>60</v>
          </cell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</row>
        <row r="47">
          <cell r="HM47">
            <v>2063176</v>
          </cell>
        </row>
        <row r="48">
          <cell r="HM48"/>
        </row>
        <row r="52">
          <cell r="HM52">
            <v>1298646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</row>
      </sheetData>
      <sheetData sheetId="67">
        <row r="4">
          <cell r="HM4">
            <v>1</v>
          </cell>
        </row>
        <row r="5">
          <cell r="HM5">
            <v>1</v>
          </cell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</row>
        <row r="47">
          <cell r="HM47">
            <v>43230</v>
          </cell>
        </row>
        <row r="48">
          <cell r="HM48"/>
        </row>
        <row r="52">
          <cell r="HM52">
            <v>36001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</row>
      </sheetData>
      <sheetData sheetId="68">
        <row r="4">
          <cell r="HM4"/>
        </row>
        <row r="5">
          <cell r="HM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69">
        <row r="4">
          <cell r="HM4"/>
        </row>
        <row r="5">
          <cell r="HM5"/>
        </row>
        <row r="8">
          <cell r="HM8"/>
        </row>
        <row r="9">
          <cell r="HM9"/>
        </row>
        <row r="15">
          <cell r="HM15"/>
        </row>
        <row r="16">
          <cell r="HM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52">
          <cell r="HM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0">
        <row r="4">
          <cell r="HM4">
            <v>42</v>
          </cell>
        </row>
        <row r="5">
          <cell r="HM5">
            <v>42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</row>
        <row r="47">
          <cell r="HM47">
            <v>70293</v>
          </cell>
        </row>
        <row r="48">
          <cell r="HM48"/>
        </row>
        <row r="52">
          <cell r="HM52">
            <v>43528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</row>
      </sheetData>
      <sheetData sheetId="71">
        <row r="4">
          <cell r="HM4"/>
        </row>
        <row r="5">
          <cell r="HM5"/>
        </row>
        <row r="12">
          <cell r="HM12">
            <v>0</v>
          </cell>
        </row>
        <row r="15">
          <cell r="HM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</row>
      </sheetData>
      <sheetData sheetId="72">
        <row r="4">
          <cell r="HM4">
            <v>19</v>
          </cell>
        </row>
        <row r="5">
          <cell r="HM5">
            <v>19</v>
          </cell>
        </row>
        <row r="15">
          <cell r="HM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</row>
        <row r="47">
          <cell r="HM47">
            <v>612191</v>
          </cell>
        </row>
        <row r="48">
          <cell r="HM48"/>
        </row>
        <row r="52">
          <cell r="HM52">
            <v>438742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</row>
      </sheetData>
      <sheetData sheetId="73">
        <row r="4">
          <cell r="HM4"/>
        </row>
        <row r="5">
          <cell r="HM5"/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4">
        <row r="4">
          <cell r="HM4">
            <v>2</v>
          </cell>
        </row>
        <row r="5">
          <cell r="HM5">
            <v>2</v>
          </cell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</row>
        <row r="47">
          <cell r="HM47">
            <v>69269</v>
          </cell>
        </row>
        <row r="48">
          <cell r="HM48"/>
        </row>
        <row r="52">
          <cell r="HM52">
            <v>51585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</row>
      </sheetData>
      <sheetData sheetId="75">
        <row r="4">
          <cell r="HM4"/>
        </row>
        <row r="5">
          <cell r="HM5"/>
        </row>
        <row r="15">
          <cell r="HM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76"/>
      <sheetData sheetId="77">
        <row r="4">
          <cell r="HM4">
            <v>145</v>
          </cell>
        </row>
        <row r="5">
          <cell r="HM5">
            <v>145</v>
          </cell>
        </row>
        <row r="15">
          <cell r="HM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</row>
        <row r="47">
          <cell r="HM47">
            <v>8796734</v>
          </cell>
        </row>
        <row r="48">
          <cell r="HM48"/>
        </row>
        <row r="52">
          <cell r="HM52">
            <v>8282026</v>
          </cell>
        </row>
        <row r="53">
          <cell r="HM53"/>
        </row>
        <row r="57">
          <cell r="HM57"/>
        </row>
        <row r="58">
          <cell r="HM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</row>
      </sheetData>
      <sheetData sheetId="78">
        <row r="4">
          <cell r="HM4">
            <v>23</v>
          </cell>
        </row>
        <row r="5">
          <cell r="HM5">
            <v>23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</row>
        <row r="47">
          <cell r="HM47"/>
        </row>
        <row r="48">
          <cell r="HM48">
            <v>74621</v>
          </cell>
        </row>
        <row r="52">
          <cell r="HM52"/>
        </row>
        <row r="53">
          <cell r="HM53">
            <v>111960</v>
          </cell>
        </row>
        <row r="57">
          <cell r="HM57"/>
        </row>
        <row r="58">
          <cell r="HM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</row>
      </sheetData>
      <sheetData sheetId="79">
        <row r="4">
          <cell r="HM4">
            <v>15</v>
          </cell>
        </row>
        <row r="5">
          <cell r="HM5">
            <v>15</v>
          </cell>
        </row>
        <row r="15">
          <cell r="HM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</row>
        <row r="47">
          <cell r="HM47">
            <v>55495</v>
          </cell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</row>
      </sheetData>
      <sheetData sheetId="80">
        <row r="4">
          <cell r="HM4">
            <v>124</v>
          </cell>
        </row>
        <row r="5">
          <cell r="HM5">
            <v>124</v>
          </cell>
        </row>
        <row r="15">
          <cell r="HM15">
            <v>15</v>
          </cell>
        </row>
        <row r="16">
          <cell r="HM16">
            <v>15</v>
          </cell>
        </row>
        <row r="19"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GT19">
            <v>264</v>
          </cell>
          <cell r="GU19">
            <v>272</v>
          </cell>
          <cell r="GV19">
            <v>298</v>
          </cell>
          <cell r="GW19">
            <v>258</v>
          </cell>
          <cell r="GX19">
            <v>283</v>
          </cell>
          <cell r="GY19">
            <v>328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298</v>
          </cell>
          <cell r="HI19">
            <v>310</v>
          </cell>
          <cell r="HJ19">
            <v>306</v>
          </cell>
          <cell r="HK19">
            <v>297</v>
          </cell>
          <cell r="HL19">
            <v>284</v>
          </cell>
          <cell r="HM19">
            <v>278</v>
          </cell>
        </row>
        <row r="47">
          <cell r="HM47">
            <v>6380523</v>
          </cell>
        </row>
        <row r="48">
          <cell r="HM48">
            <v>903409</v>
          </cell>
        </row>
        <row r="52">
          <cell r="HM52">
            <v>6111458</v>
          </cell>
        </row>
        <row r="53">
          <cell r="HM53">
            <v>685520</v>
          </cell>
        </row>
        <row r="57">
          <cell r="HM57"/>
        </row>
        <row r="58">
          <cell r="HM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</row>
      </sheetData>
      <sheetData sheetId="81"/>
      <sheetData sheetId="82"/>
      <sheetData sheetId="83"/>
      <sheetData sheetId="84">
        <row r="4">
          <cell r="HM4">
            <v>193</v>
          </cell>
        </row>
        <row r="5">
          <cell r="HM5">
            <v>193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86">
        <row r="4">
          <cell r="HM4"/>
        </row>
        <row r="5">
          <cell r="HM5"/>
        </row>
        <row r="8">
          <cell r="HM8"/>
        </row>
        <row r="9">
          <cell r="HM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</row>
        <row r="47">
          <cell r="HM47"/>
        </row>
        <row r="48">
          <cell r="HM48"/>
        </row>
        <row r="52">
          <cell r="HM52"/>
        </row>
        <row r="53">
          <cell r="HM53"/>
        </row>
        <row r="57">
          <cell r="HM57"/>
        </row>
        <row r="58">
          <cell r="HM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</row>
      </sheetData>
      <sheetData sheetId="87">
        <row r="4">
          <cell r="HM4">
            <v>56</v>
          </cell>
        </row>
        <row r="5">
          <cell r="HM5">
            <v>57</v>
          </cell>
        </row>
      </sheetData>
      <sheetData sheetId="88">
        <row r="4">
          <cell r="HM4">
            <v>832</v>
          </cell>
        </row>
        <row r="5">
          <cell r="HM5">
            <v>832</v>
          </cell>
        </row>
      </sheetData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6" sqref="B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44470</v>
      </c>
      <c r="B2" s="16"/>
      <c r="C2" s="16"/>
      <c r="D2" s="547" t="s">
        <v>229</v>
      </c>
      <c r="E2" s="547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48"/>
      <c r="E3" s="549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937406</v>
      </c>
      <c r="C5" s="268">
        <f>'Major Airline Stats'!K5</f>
        <v>944385</v>
      </c>
      <c r="D5" s="5">
        <f>'Major Airline Stats'!K6</f>
        <v>1881791</v>
      </c>
      <c r="E5" s="9">
        <f>'[1]Monthly Summary'!D5</f>
        <v>781482</v>
      </c>
      <c r="F5" s="38">
        <f>(D5-E5)/E5</f>
        <v>1.4079774070292086</v>
      </c>
      <c r="G5" s="9">
        <f>+D5+'[2]Monthly Summary'!G5</f>
        <v>15170800</v>
      </c>
      <c r="H5" s="9">
        <f>'[1]Monthly Summary'!G5</f>
        <v>9417007</v>
      </c>
      <c r="I5" s="83">
        <f>(G5-H5)/H5</f>
        <v>0.61100018296683867</v>
      </c>
      <c r="J5" s="9"/>
    </row>
    <row r="6" spans="1:14" x14ac:dyDescent="0.2">
      <c r="A6" s="65" t="s">
        <v>5</v>
      </c>
      <c r="B6" s="266">
        <f>'Regional Major'!M5</f>
        <v>268467</v>
      </c>
      <c r="C6" s="266">
        <f>'Regional Major'!M6</f>
        <v>265548</v>
      </c>
      <c r="D6" s="5">
        <f>B6+C6</f>
        <v>534015</v>
      </c>
      <c r="E6" s="9">
        <f>'[1]Monthly Summary'!D6</f>
        <v>323107</v>
      </c>
      <c r="F6" s="38">
        <f>(D6-E6)/E6</f>
        <v>0.65274970830096535</v>
      </c>
      <c r="G6" s="9">
        <f>+D6+'[2]Monthly Summary'!G6</f>
        <v>4684954</v>
      </c>
      <c r="H6" s="9">
        <f>'[1]Monthly Summary'!G6</f>
        <v>2840041</v>
      </c>
      <c r="I6" s="83">
        <f>(G6-H6)/H6</f>
        <v>0.6496078753792639</v>
      </c>
      <c r="J6" s="19"/>
      <c r="K6" s="2"/>
    </row>
    <row r="7" spans="1:14" x14ac:dyDescent="0.2">
      <c r="A7" s="65" t="s">
        <v>6</v>
      </c>
      <c r="B7" s="9">
        <f>Charter!G5</f>
        <v>531</v>
      </c>
      <c r="C7" s="267">
        <f>Charter!G6</f>
        <v>80</v>
      </c>
      <c r="D7" s="5">
        <f>B7+C7</f>
        <v>611</v>
      </c>
      <c r="E7" s="9">
        <f>'[1]Monthly Summary'!D7</f>
        <v>0</v>
      </c>
      <c r="F7" s="38" t="e">
        <f>(D7-E7)/E7</f>
        <v>#DIV/0!</v>
      </c>
      <c r="G7" s="9">
        <f>+D7+'[2]Monthly Summary'!G7</f>
        <v>3216</v>
      </c>
      <c r="H7" s="9">
        <f>'[1]Monthly Summary'!G7</f>
        <v>2270</v>
      </c>
      <c r="I7" s="83">
        <f>(G7-H7)/H7</f>
        <v>0.41674008810572688</v>
      </c>
      <c r="J7" s="19"/>
      <c r="K7" s="2"/>
    </row>
    <row r="8" spans="1:14" x14ac:dyDescent="0.2">
      <c r="A8" s="68" t="s">
        <v>7</v>
      </c>
      <c r="B8" s="146">
        <f>SUM(B5:B7)</f>
        <v>1206404</v>
      </c>
      <c r="C8" s="146">
        <f>SUM(C5:C7)</f>
        <v>1210013</v>
      </c>
      <c r="D8" s="146">
        <f>SUM(D5:D7)</f>
        <v>2416417</v>
      </c>
      <c r="E8" s="146">
        <f>SUM(E5:E7)</f>
        <v>1104589</v>
      </c>
      <c r="F8" s="90">
        <f>(D8-E8)/E8</f>
        <v>1.1876163894443996</v>
      </c>
      <c r="G8" s="146">
        <f>SUM(G5:G7)</f>
        <v>19858970</v>
      </c>
      <c r="H8" s="146">
        <f>SUM(H5:H7)</f>
        <v>12259318</v>
      </c>
      <c r="I8" s="89">
        <f>(G8-H8)/H8</f>
        <v>0.61990822001680679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35789</v>
      </c>
      <c r="C10" s="269">
        <f>'Major Airline Stats'!K10+'Regional Major'!M11</f>
        <v>34914</v>
      </c>
      <c r="D10" s="118">
        <f>SUM(B10:C10)</f>
        <v>70703</v>
      </c>
      <c r="E10" s="118">
        <f>'[1]Monthly Summary'!D10</f>
        <v>43622</v>
      </c>
      <c r="F10" s="91">
        <f>(D10-E10)/E10</f>
        <v>0.62081060015588463</v>
      </c>
      <c r="G10" s="118">
        <f>+D10+'[2]Monthly Summary'!G10</f>
        <v>644012</v>
      </c>
      <c r="H10" s="118">
        <f>'[1]Monthly Summary'!G10</f>
        <v>515151</v>
      </c>
      <c r="I10" s="94">
        <f>(G10-H10)/H10</f>
        <v>0.25014219131866189</v>
      </c>
      <c r="J10" s="237"/>
    </row>
    <row r="11" spans="1:14" ht="15.75" thickBot="1" x14ac:dyDescent="0.3">
      <c r="A11" s="67" t="s">
        <v>13</v>
      </c>
      <c r="B11" s="246">
        <f>B10+B8</f>
        <v>1242193</v>
      </c>
      <c r="C11" s="246">
        <f>C10+C8</f>
        <v>1244927</v>
      </c>
      <c r="D11" s="246">
        <f>D10+D8</f>
        <v>2487120</v>
      </c>
      <c r="E11" s="246">
        <f>E10+E8</f>
        <v>1148211</v>
      </c>
      <c r="F11" s="92">
        <f>(D11-E11)/E11</f>
        <v>1.1660827147623565</v>
      </c>
      <c r="G11" s="246">
        <f>G8+G10</f>
        <v>20502982</v>
      </c>
      <c r="H11" s="246">
        <f>H8+H10</f>
        <v>12774469</v>
      </c>
      <c r="I11" s="95">
        <f>(G11-H11)/H11</f>
        <v>0.60499681043493858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47" t="s">
        <v>229</v>
      </c>
      <c r="E13" s="547" t="s">
        <v>203</v>
      </c>
      <c r="F13" s="458"/>
      <c r="G13" s="458"/>
      <c r="H13" s="458"/>
      <c r="I13" s="418"/>
    </row>
    <row r="14" spans="1:14" ht="13.5" thickBot="1" x14ac:dyDescent="0.25">
      <c r="A14" s="15"/>
      <c r="B14" s="418" t="s">
        <v>189</v>
      </c>
      <c r="C14" s="418" t="s">
        <v>190</v>
      </c>
      <c r="D14" s="548"/>
      <c r="E14" s="549"/>
      <c r="F14" s="458" t="s">
        <v>2</v>
      </c>
      <c r="G14" s="514" t="s">
        <v>228</v>
      </c>
      <c r="H14" s="514" t="s">
        <v>204</v>
      </c>
      <c r="I14" s="418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7189</v>
      </c>
      <c r="C16" s="277">
        <f>'Major Airline Stats'!K16+'Major Airline Stats'!K20</f>
        <v>7176</v>
      </c>
      <c r="D16" s="46">
        <f t="shared" ref="D16:D21" si="0">SUM(B16:C16)</f>
        <v>14365</v>
      </c>
      <c r="E16" s="9">
        <f>'[1]Monthly Summary'!D16</f>
        <v>9412</v>
      </c>
      <c r="F16" s="93">
        <f t="shared" ref="F16:F22" si="1">(D16-E16)/E16</f>
        <v>0.52624309392265189</v>
      </c>
      <c r="G16" s="9">
        <f>+D16+'[2]Monthly Summary'!G16</f>
        <v>123229</v>
      </c>
      <c r="H16" s="9">
        <f>'[1]Monthly Summary'!G16</f>
        <v>99508</v>
      </c>
      <c r="I16" s="235">
        <f t="shared" ref="I16:I22" si="2">(G16-H16)/H16</f>
        <v>0.23838284359046508</v>
      </c>
      <c r="N16" s="128"/>
    </row>
    <row r="17" spans="1:12" x14ac:dyDescent="0.2">
      <c r="A17" s="66" t="s">
        <v>5</v>
      </c>
      <c r="B17" s="46">
        <f>'Regional Major'!M15+'Regional Major'!M18</f>
        <v>5000</v>
      </c>
      <c r="C17" s="46">
        <f>'Regional Major'!M16+'Regional Major'!M19</f>
        <v>4992</v>
      </c>
      <c r="D17" s="46">
        <f>SUM(B17:C17)</f>
        <v>9992</v>
      </c>
      <c r="E17" s="9">
        <f>'[1]Monthly Summary'!D17</f>
        <v>9523</v>
      </c>
      <c r="F17" s="93">
        <f t="shared" si="1"/>
        <v>4.9249186180825369E-2</v>
      </c>
      <c r="G17" s="9">
        <f>+D17+'[2]Monthly Summary'!G17</f>
        <v>101432</v>
      </c>
      <c r="H17" s="9">
        <f>'[1]Monthly Summary'!G17</f>
        <v>80201</v>
      </c>
      <c r="I17" s="235">
        <f t="shared" si="2"/>
        <v>0.26472238500766826</v>
      </c>
      <c r="L17" s="2"/>
    </row>
    <row r="18" spans="1:12" x14ac:dyDescent="0.2">
      <c r="A18" s="66" t="s">
        <v>10</v>
      </c>
      <c r="B18" s="46">
        <f>Charter!G10</f>
        <v>3</v>
      </c>
      <c r="C18" s="46">
        <f>Charter!G11</f>
        <v>2</v>
      </c>
      <c r="D18" s="46">
        <f t="shared" si="0"/>
        <v>5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28</v>
      </c>
      <c r="H18" s="9">
        <f>'[1]Monthly Summary'!G18</f>
        <v>24</v>
      </c>
      <c r="I18" s="235">
        <f t="shared" si="2"/>
        <v>0.16666666666666666</v>
      </c>
    </row>
    <row r="19" spans="1:12" x14ac:dyDescent="0.2">
      <c r="A19" s="66" t="s">
        <v>11</v>
      </c>
      <c r="B19" s="46">
        <f>Cargo!R4+Cargo!R8</f>
        <v>668</v>
      </c>
      <c r="C19" s="46">
        <f>Cargo!R5+Cargo!R10</f>
        <v>670</v>
      </c>
      <c r="D19" s="46">
        <f t="shared" si="0"/>
        <v>1338</v>
      </c>
      <c r="E19" s="9">
        <f>'[1]Monthly Summary'!D19</f>
        <v>1356</v>
      </c>
      <c r="F19" s="93">
        <f t="shared" si="1"/>
        <v>-1.3274336283185841E-2</v>
      </c>
      <c r="G19" s="9">
        <f>+D19+'[2]Monthly Summary'!G19</f>
        <v>13580</v>
      </c>
      <c r="H19" s="9">
        <f>'[1]Monthly Summary'!G19</f>
        <v>12164</v>
      </c>
      <c r="I19" s="235">
        <f t="shared" si="2"/>
        <v>0.11640907596185465</v>
      </c>
    </row>
    <row r="20" spans="1:12" x14ac:dyDescent="0.2">
      <c r="A20" s="66" t="s">
        <v>148</v>
      </c>
      <c r="B20" s="46">
        <f>'[3]General Avation'!$HM$4</f>
        <v>832</v>
      </c>
      <c r="C20" s="46">
        <f>'[3]General Avation'!$HM$5</f>
        <v>832</v>
      </c>
      <c r="D20" s="46">
        <f t="shared" si="0"/>
        <v>1664</v>
      </c>
      <c r="E20" s="9">
        <f>'[1]Monthly Summary'!D20</f>
        <v>1081</v>
      </c>
      <c r="F20" s="93">
        <f t="shared" si="1"/>
        <v>0.53931544865864944</v>
      </c>
      <c r="G20" s="9">
        <f>+D20+'[2]Monthly Summary'!G20</f>
        <v>12641</v>
      </c>
      <c r="H20" s="9">
        <f>'[1]Monthly Summary'!G20</f>
        <v>9078</v>
      </c>
      <c r="I20" s="235">
        <f t="shared" si="2"/>
        <v>0.39248733201145625</v>
      </c>
    </row>
    <row r="21" spans="1:12" ht="12.75" customHeight="1" x14ac:dyDescent="0.2">
      <c r="A21" s="66" t="s">
        <v>12</v>
      </c>
      <c r="B21" s="17">
        <f>'[3]Military '!$HM$4</f>
        <v>56</v>
      </c>
      <c r="C21" s="17">
        <f>'[3]Military '!$HM$5</f>
        <v>57</v>
      </c>
      <c r="D21" s="17">
        <f t="shared" si="0"/>
        <v>113</v>
      </c>
      <c r="E21" s="118">
        <f>'[1]Monthly Summary'!D21</f>
        <v>149</v>
      </c>
      <c r="F21" s="233">
        <f t="shared" si="1"/>
        <v>-0.24161073825503357</v>
      </c>
      <c r="G21" s="118">
        <f>+D21+'[2]Monthly Summary'!G21</f>
        <v>1028</v>
      </c>
      <c r="H21" s="118">
        <f>'[1]Monthly Summary'!G21</f>
        <v>952</v>
      </c>
      <c r="I21" s="236">
        <f t="shared" si="2"/>
        <v>7.9831932773109238E-2</v>
      </c>
    </row>
    <row r="22" spans="1:12" ht="15.75" thickBot="1" x14ac:dyDescent="0.3">
      <c r="A22" s="67" t="s">
        <v>28</v>
      </c>
      <c r="B22" s="247">
        <f>SUM(B16:B21)</f>
        <v>13748</v>
      </c>
      <c r="C22" s="247">
        <f>SUM(C16:C21)</f>
        <v>13729</v>
      </c>
      <c r="D22" s="247">
        <f>SUM(D16:D21)</f>
        <v>27477</v>
      </c>
      <c r="E22" s="247">
        <f>SUM(E16:E21)</f>
        <v>21521</v>
      </c>
      <c r="F22" s="243">
        <f t="shared" si="1"/>
        <v>0.27675293898982389</v>
      </c>
      <c r="G22" s="247">
        <f>SUM(G16:G21)</f>
        <v>251938</v>
      </c>
      <c r="H22" s="247">
        <f>SUM(H16:H21)</f>
        <v>201927</v>
      </c>
      <c r="I22" s="244">
        <f t="shared" si="2"/>
        <v>0.24766871196026286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47" t="s">
        <v>229</v>
      </c>
      <c r="E24" s="547" t="s">
        <v>203</v>
      </c>
      <c r="F24" s="458"/>
      <c r="G24" s="458"/>
      <c r="H24" s="458"/>
      <c r="I24" s="418"/>
    </row>
    <row r="25" spans="1:12" ht="13.5" thickBot="1" x14ac:dyDescent="0.25">
      <c r="B25" s="418" t="s">
        <v>0</v>
      </c>
      <c r="C25" s="418" t="s">
        <v>1</v>
      </c>
      <c r="D25" s="548"/>
      <c r="E25" s="549"/>
      <c r="F25" s="458" t="s">
        <v>2</v>
      </c>
      <c r="G25" s="514" t="s">
        <v>228</v>
      </c>
      <c r="H25" s="514" t="s">
        <v>204</v>
      </c>
      <c r="I25" s="418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10564.97777404993</v>
      </c>
      <c r="C27" s="21">
        <f>(Cargo!R21+'Major Airline Stats'!K33+'Regional Major'!M30)*0.00045359237</f>
        <v>8639.0513329797595</v>
      </c>
      <c r="D27" s="21">
        <f>(SUM(B27:C27)+('Cargo Summary'!E17*0.00045359237))</f>
        <v>19204.029107029688</v>
      </c>
      <c r="E27" s="9">
        <f>'[1]Monthly Summary'!D27</f>
        <v>16407.415782419201</v>
      </c>
      <c r="F27" s="96">
        <f>(D27-E27)/E27</f>
        <v>0.17044812916895186</v>
      </c>
      <c r="G27" s="9">
        <f>+D27+'[2]Monthly Summary'!G27</f>
        <v>172245.07360881451</v>
      </c>
      <c r="H27" s="9">
        <f>'[1]Monthly Summary'!G27</f>
        <v>152169.83064370087</v>
      </c>
      <c r="I27" s="98">
        <f>(G27-H27)/H27</f>
        <v>0.13192656441945416</v>
      </c>
    </row>
    <row r="28" spans="1:12" x14ac:dyDescent="0.2">
      <c r="A28" s="60" t="s">
        <v>16</v>
      </c>
      <c r="B28" s="21">
        <f>(Cargo!R17+'Major Airline Stats'!K29+'Regional Major'!M26)*0.00045359237</f>
        <v>1184.6086373775499</v>
      </c>
      <c r="C28" s="21">
        <f>(Cargo!R22+'Major Airline Stats'!K34+'Regional Major'!M31)*0.00045359237</f>
        <v>990.53823468831001</v>
      </c>
      <c r="D28" s="21">
        <f>SUM(B28:C28)</f>
        <v>2175.14687206586</v>
      </c>
      <c r="E28" s="9">
        <f>'[1]Monthly Summary'!D28</f>
        <v>2134.1285140467598</v>
      </c>
      <c r="F28" s="96">
        <f>(D28-E28)/E28</f>
        <v>1.9220191168956648E-2</v>
      </c>
      <c r="G28" s="9">
        <f>+D28+'[2]Monthly Summary'!G28</f>
        <v>18206.927844339851</v>
      </c>
      <c r="H28" s="9">
        <f>'[1]Monthly Summary'!G28</f>
        <v>14676.153950042968</v>
      </c>
      <c r="I28" s="98">
        <f>(G28-H28)/H28</f>
        <v>0.24057896273884108</v>
      </c>
    </row>
    <row r="29" spans="1:12" ht="15.75" thickBot="1" x14ac:dyDescent="0.3">
      <c r="A29" s="61" t="s">
        <v>62</v>
      </c>
      <c r="B29" s="53">
        <f>SUM(B27:B28)</f>
        <v>11749.586411427481</v>
      </c>
      <c r="C29" s="53">
        <f>SUM(C27:C28)</f>
        <v>9629.5895676680702</v>
      </c>
      <c r="D29" s="53">
        <f>SUM(D27:D28)</f>
        <v>21379.175979095548</v>
      </c>
      <c r="E29" s="53">
        <f>SUM(E27:E28)</f>
        <v>18541.54429646596</v>
      </c>
      <c r="F29" s="97">
        <f>(D29-E29)/E29</f>
        <v>0.15304181988608381</v>
      </c>
      <c r="G29" s="53">
        <f>SUM(G27:G28)</f>
        <v>190452.00145315437</v>
      </c>
      <c r="H29" s="53">
        <f>SUM(H27:H28)</f>
        <v>166845.98459374384</v>
      </c>
      <c r="I29" s="99">
        <f>(G29-H29)/H29</f>
        <v>0.1414838775826055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6" t="s">
        <v>144</v>
      </c>
      <c r="C31" s="545"/>
      <c r="D31" s="546" t="s">
        <v>151</v>
      </c>
      <c r="E31" s="545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794657</v>
      </c>
      <c r="C32" s="365">
        <f>B32/C8</f>
        <v>0.65673426649135169</v>
      </c>
      <c r="D32" s="366">
        <f>+'[2]Monthly Summary'!D32+B32</f>
        <v>6597465</v>
      </c>
      <c r="E32" s="367">
        <f>+D32/D34</f>
        <v>0.66648869968602387</v>
      </c>
      <c r="G32" s="388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415356</v>
      </c>
      <c r="C33" s="370">
        <f>+B33/C8</f>
        <v>0.34326573350864825</v>
      </c>
      <c r="D33" s="371">
        <f>+'[2]Monthly Summary'!D33+B33</f>
        <v>3301375</v>
      </c>
      <c r="E33" s="372">
        <f>+D33/D34</f>
        <v>0.33351130031397619</v>
      </c>
      <c r="G33" s="381"/>
      <c r="H33" s="381"/>
      <c r="I33" s="380"/>
    </row>
    <row r="34" spans="1:14" ht="13.5" thickBot="1" x14ac:dyDescent="0.25">
      <c r="B34" s="281"/>
      <c r="D34" s="373">
        <f>SUM(D32:D33)</f>
        <v>9898840</v>
      </c>
    </row>
    <row r="35" spans="1:14" ht="13.5" thickBot="1" x14ac:dyDescent="0.25">
      <c r="B35" s="544" t="s">
        <v>247</v>
      </c>
      <c r="C35" s="545"/>
      <c r="D35" s="546" t="s">
        <v>227</v>
      </c>
      <c r="E35" s="545"/>
    </row>
    <row r="36" spans="1:14" x14ac:dyDescent="0.2">
      <c r="A36" s="363" t="s">
        <v>145</v>
      </c>
      <c r="B36" s="364">
        <f>'[1]Monthly Summary'!$B$32</f>
        <v>351977</v>
      </c>
      <c r="C36" s="365">
        <f>+B36/B38</f>
        <v>0.6275050586987333</v>
      </c>
      <c r="D36" s="366">
        <f>'[1]Monthly Summary'!$D$32</f>
        <v>3955211</v>
      </c>
      <c r="E36" s="367">
        <f>+D36/D38</f>
        <v>0.64904610081946112</v>
      </c>
    </row>
    <row r="37" spans="1:14" ht="13.5" thickBot="1" x14ac:dyDescent="0.25">
      <c r="A37" s="368" t="s">
        <v>146</v>
      </c>
      <c r="B37" s="369">
        <f>'[1]Monthly Summary'!$B$33</f>
        <v>208938</v>
      </c>
      <c r="C37" s="372">
        <f>+B37/B38</f>
        <v>0.3724949413012667</v>
      </c>
      <c r="D37" s="371">
        <f>'[1]Monthly Summary'!$D$33</f>
        <v>2138672</v>
      </c>
      <c r="E37" s="372">
        <f>+D37/D38</f>
        <v>0.35095389918053893</v>
      </c>
      <c r="M37" s="12"/>
    </row>
    <row r="38" spans="1:14" x14ac:dyDescent="0.2">
      <c r="B38" s="387">
        <f>+SUM(B36:B37)</f>
        <v>560915</v>
      </c>
      <c r="D38" s="373">
        <f>SUM(D36:D37)</f>
        <v>6093883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Q5" sqref="Q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44470</v>
      </c>
      <c r="B1" s="408" t="s">
        <v>18</v>
      </c>
      <c r="C1" s="462" t="s">
        <v>195</v>
      </c>
      <c r="D1" s="476" t="s">
        <v>157</v>
      </c>
      <c r="E1" s="409" t="s">
        <v>163</v>
      </c>
      <c r="F1" s="409" t="s">
        <v>162</v>
      </c>
      <c r="G1" s="409" t="s">
        <v>49</v>
      </c>
      <c r="H1" s="409" t="s">
        <v>113</v>
      </c>
      <c r="I1" s="409" t="s">
        <v>194</v>
      </c>
      <c r="J1" s="409" t="s">
        <v>191</v>
      </c>
      <c r="K1" s="409" t="s">
        <v>196</v>
      </c>
      <c r="L1" s="409" t="s">
        <v>161</v>
      </c>
      <c r="M1" s="409" t="s">
        <v>211</v>
      </c>
      <c r="N1" s="409" t="s">
        <v>156</v>
      </c>
      <c r="O1" s="409" t="s">
        <v>139</v>
      </c>
      <c r="P1" s="409" t="s">
        <v>21</v>
      </c>
    </row>
    <row r="2" spans="1:16" ht="15" x14ac:dyDescent="0.25">
      <c r="A2" s="580" t="s">
        <v>140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2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[3]Delta!$HM$32</f>
        <v>19852</v>
      </c>
      <c r="C4" s="20">
        <f>'[3]Atlantic Southeast'!$HM$32</f>
        <v>0</v>
      </c>
      <c r="D4" s="20">
        <f>[3]Pinnacle!$HM$32</f>
        <v>0</v>
      </c>
      <c r="E4" s="20">
        <f>'[3]Sky West'!$HM$32</f>
        <v>4179</v>
      </c>
      <c r="F4" s="20">
        <f>'[3]Go Jet'!$HM$32</f>
        <v>0</v>
      </c>
      <c r="G4" s="20">
        <f>'[3]Sun Country'!$HM$32</f>
        <v>1512</v>
      </c>
      <c r="H4" s="20">
        <f>[3]Icelandair!$HM$32</f>
        <v>933</v>
      </c>
      <c r="I4" s="20">
        <f>[3]KLM!$HM$32</f>
        <v>2252</v>
      </c>
      <c r="J4" s="20">
        <f>'[3]Air Georgian'!$HM$32</f>
        <v>0</v>
      </c>
      <c r="K4" s="20">
        <f>'[3]Sky Regional'!$HM$32</f>
        <v>0</v>
      </c>
      <c r="L4" s="20">
        <f>[3]Condor!$HM$32</f>
        <v>0</v>
      </c>
      <c r="M4" s="20">
        <f>'[3]Aer Lingus'!$HM$32</f>
        <v>0</v>
      </c>
      <c r="N4" s="20">
        <f>'[3]Air France'!$HM$32</f>
        <v>0</v>
      </c>
      <c r="O4" s="20">
        <f>'[3]Charter Misc'!$HM$32+[3]Ryan!$HM$32+[3]Omni!$HM$32</f>
        <v>0</v>
      </c>
      <c r="P4" s="254">
        <f>SUM(B4:O4)</f>
        <v>28728</v>
      </c>
    </row>
    <row r="5" spans="1:16" x14ac:dyDescent="0.2">
      <c r="A5" s="60" t="s">
        <v>31</v>
      </c>
      <c r="B5" s="13">
        <f>[3]Delta!$HM$33</f>
        <v>19902</v>
      </c>
      <c r="C5" s="13">
        <f>'[3]Atlantic Southeast'!$HM$33</f>
        <v>0</v>
      </c>
      <c r="D5" s="13">
        <f>[3]Pinnacle!$HM$33</f>
        <v>0</v>
      </c>
      <c r="E5" s="13">
        <f>'[3]Sky West'!$HM$33</f>
        <v>3889</v>
      </c>
      <c r="F5" s="13">
        <f>'[3]Go Jet'!$HM$33</f>
        <v>0</v>
      </c>
      <c r="G5" s="13">
        <f>'[3]Sun Country'!$HM$33</f>
        <v>1574</v>
      </c>
      <c r="H5" s="13">
        <f>[3]Icelandair!$HM$33</f>
        <v>808</v>
      </c>
      <c r="I5" s="13">
        <f>[3]KLM!$HM$33</f>
        <v>1178</v>
      </c>
      <c r="J5" s="13">
        <f>'[3]Air Georgian'!$HM$33</f>
        <v>0</v>
      </c>
      <c r="K5" s="13">
        <f>'[3]Sky Regional'!$HM$33</f>
        <v>0</v>
      </c>
      <c r="L5" s="13">
        <f>[3]Condor!$HM$33</f>
        <v>0</v>
      </c>
      <c r="M5" s="13">
        <f>'[3]Aer Lingus'!$HM$33</f>
        <v>0</v>
      </c>
      <c r="N5" s="13">
        <f>'[3]Air France'!$HM$33</f>
        <v>0</v>
      </c>
      <c r="O5" s="13">
        <f>'[3]Charter Misc'!$HM$33++[3]Ryan!$HM$33+[3]Omni!$HM$33</f>
        <v>0</v>
      </c>
      <c r="P5" s="255">
        <f>SUM(B5:O5)</f>
        <v>27351</v>
      </c>
    </row>
    <row r="6" spans="1:16" ht="15" x14ac:dyDescent="0.25">
      <c r="A6" s="58" t="s">
        <v>7</v>
      </c>
      <c r="B6" s="33">
        <f t="shared" ref="B6:O6" si="0">SUM(B4:B5)</f>
        <v>39754</v>
      </c>
      <c r="C6" s="33">
        <f t="shared" si="0"/>
        <v>0</v>
      </c>
      <c r="D6" s="33">
        <f t="shared" si="0"/>
        <v>0</v>
      </c>
      <c r="E6" s="33">
        <f t="shared" si="0"/>
        <v>8068</v>
      </c>
      <c r="F6" s="33">
        <f t="shared" ref="F6" si="1">SUM(F4:F5)</f>
        <v>0</v>
      </c>
      <c r="G6" s="33">
        <f t="shared" si="0"/>
        <v>3086</v>
      </c>
      <c r="H6" s="33">
        <f t="shared" si="0"/>
        <v>1741</v>
      </c>
      <c r="I6" s="33">
        <f t="shared" ref="I6" si="2">SUM(I4:I5)</f>
        <v>3430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56079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[3]Delta!$HM$37</f>
        <v>491</v>
      </c>
      <c r="C9" s="20">
        <f>'[3]Atlantic Southeast'!$HM$37</f>
        <v>0</v>
      </c>
      <c r="D9" s="20">
        <f>[3]Pinnacle!$HM$37</f>
        <v>0</v>
      </c>
      <c r="E9" s="20">
        <f>'[3]Sky West'!$HM$37</f>
        <v>26</v>
      </c>
      <c r="F9" s="20">
        <f>'[3]Go Jet'!$HM$37</f>
        <v>0</v>
      </c>
      <c r="G9" s="20">
        <f>'[3]Sun Country'!$HM$37</f>
        <v>24</v>
      </c>
      <c r="H9" s="20">
        <f>[3]Icelandair!$HM$37</f>
        <v>1</v>
      </c>
      <c r="I9" s="20">
        <f>[3]KLM!$HM$37</f>
        <v>7</v>
      </c>
      <c r="J9" s="20">
        <f>'[3]Air Georgian'!$HM$37</f>
        <v>0</v>
      </c>
      <c r="K9" s="20">
        <f>'[3]Sky Regional'!$HM$37</f>
        <v>0</v>
      </c>
      <c r="L9" s="20">
        <f>[3]Condor!$HM$37</f>
        <v>0</v>
      </c>
      <c r="M9" s="20">
        <f>'[3]Aer Lingus'!$HM$37</f>
        <v>0</v>
      </c>
      <c r="N9" s="20">
        <f>'[3]Air France'!$HM$37</f>
        <v>0</v>
      </c>
      <c r="O9" s="20">
        <f>'[3]Charter Misc'!$HM$37+[3]Ryan!$HM$37+[3]Omni!$HM$37</f>
        <v>0</v>
      </c>
      <c r="P9" s="254">
        <f>SUM(B9:O9)</f>
        <v>549</v>
      </c>
    </row>
    <row r="10" spans="1:16" x14ac:dyDescent="0.2">
      <c r="A10" s="60" t="s">
        <v>33</v>
      </c>
      <c r="B10" s="13">
        <f>[3]Delta!$HM$38</f>
        <v>493</v>
      </c>
      <c r="C10" s="13">
        <f>'[3]Atlantic Southeast'!$HM$38</f>
        <v>0</v>
      </c>
      <c r="D10" s="13">
        <f>[3]Pinnacle!$HM$38</f>
        <v>0</v>
      </c>
      <c r="E10" s="13">
        <f>'[3]Sky West'!$HM$38</f>
        <v>23</v>
      </c>
      <c r="F10" s="13">
        <f>'[3]Go Jet'!$HM$38</f>
        <v>0</v>
      </c>
      <c r="G10" s="13">
        <f>'[3]Sun Country'!$HM$38</f>
        <v>27</v>
      </c>
      <c r="H10" s="13">
        <f>[3]Icelandair!$HM$38</f>
        <v>2</v>
      </c>
      <c r="I10" s="13">
        <f>[3]KLM!$HM$38</f>
        <v>4</v>
      </c>
      <c r="J10" s="13">
        <f>'[3]Air Georgian'!$HM$38</f>
        <v>0</v>
      </c>
      <c r="K10" s="13">
        <f>'[3]Sky Regional'!$HM$38</f>
        <v>0</v>
      </c>
      <c r="L10" s="13">
        <f>[3]Condor!$HM$38</f>
        <v>0</v>
      </c>
      <c r="M10" s="13">
        <f>'[3]Aer Lingus'!$HM$38</f>
        <v>0</v>
      </c>
      <c r="N10" s="13">
        <f>'[3]Air France'!$HM$38</f>
        <v>0</v>
      </c>
      <c r="O10" s="13">
        <f>'[3]Charter Misc'!$HM$38+[3]Ryan!$HM$38+[3]Omni!$HM$38</f>
        <v>0</v>
      </c>
      <c r="P10" s="255">
        <f>SUM(B10:O10)</f>
        <v>549</v>
      </c>
    </row>
    <row r="11" spans="1:16" ht="15.75" thickBot="1" x14ac:dyDescent="0.3">
      <c r="A11" s="61" t="s">
        <v>34</v>
      </c>
      <c r="B11" s="257">
        <f t="shared" ref="B11:G11" si="5">SUM(B9:B10)</f>
        <v>984</v>
      </c>
      <c r="C11" s="257">
        <f t="shared" si="5"/>
        <v>0</v>
      </c>
      <c r="D11" s="257">
        <f t="shared" si="5"/>
        <v>0</v>
      </c>
      <c r="E11" s="257">
        <f t="shared" si="5"/>
        <v>49</v>
      </c>
      <c r="F11" s="257">
        <f t="shared" ref="F11" si="6">SUM(F9:F10)</f>
        <v>0</v>
      </c>
      <c r="G11" s="257">
        <f t="shared" si="5"/>
        <v>51</v>
      </c>
      <c r="H11" s="257">
        <f t="shared" ref="H11:O11" si="7">SUM(H9:H10)</f>
        <v>3</v>
      </c>
      <c r="I11" s="257">
        <f t="shared" ref="I11" si="8">SUM(I9:I10)</f>
        <v>11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1098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8" t="s">
        <v>18</v>
      </c>
      <c r="C13" s="462" t="s">
        <v>195</v>
      </c>
      <c r="D13" s="476" t="s">
        <v>157</v>
      </c>
      <c r="E13" s="409" t="s">
        <v>163</v>
      </c>
      <c r="F13" s="409" t="s">
        <v>162</v>
      </c>
      <c r="G13" s="409" t="s">
        <v>49</v>
      </c>
      <c r="H13" s="409" t="s">
        <v>113</v>
      </c>
      <c r="I13" s="409" t="s">
        <v>194</v>
      </c>
      <c r="J13" s="409" t="s">
        <v>191</v>
      </c>
      <c r="K13" s="409" t="s">
        <v>196</v>
      </c>
      <c r="L13" s="409" t="s">
        <v>161</v>
      </c>
      <c r="M13" s="409" t="s">
        <v>211</v>
      </c>
      <c r="N13" s="409" t="s">
        <v>156</v>
      </c>
      <c r="O13" s="409" t="s">
        <v>139</v>
      </c>
      <c r="P13" s="409" t="s">
        <v>21</v>
      </c>
    </row>
    <row r="14" spans="1:16" ht="15" x14ac:dyDescent="0.25">
      <c r="A14" s="583" t="s">
        <v>141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5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SUM([3]Delta!$HD$32:$HM$32)</f>
        <v>180178</v>
      </c>
      <c r="C16" s="20">
        <f>SUM('[3]Atlantic Southeast'!$HD$32:$HM$32)</f>
        <v>0</v>
      </c>
      <c r="D16" s="20">
        <f>SUM([3]Pinnacle!$HD$32:$HM$32)</f>
        <v>0</v>
      </c>
      <c r="E16" s="20">
        <f>SUM('[3]Sky West'!$HD$32:$HM$32)</f>
        <v>18966</v>
      </c>
      <c r="F16" s="20">
        <f>SUM('[3]Go Jet'!$HD$32:$HM$32)</f>
        <v>0</v>
      </c>
      <c r="G16" s="20">
        <f>SUM('[3]Sun Country'!$HD$32:$HM$32)</f>
        <v>50500</v>
      </c>
      <c r="H16" s="20">
        <f>SUM([3]Icelandair!$HD$32:$HM$32)</f>
        <v>7968</v>
      </c>
      <c r="I16" s="20">
        <f>SUM([3]KLM!$HD$32:$HM$32)</f>
        <v>4737</v>
      </c>
      <c r="J16" s="20">
        <f>SUM('[3]Air Georgian'!$HD$32:$HM$32)</f>
        <v>0</v>
      </c>
      <c r="K16" s="20">
        <f>SUM('[3]Sky Regional'!$HD$32:$HM$32)</f>
        <v>0</v>
      </c>
      <c r="L16" s="20">
        <f>SUM([3]Condor!$HD$32:$HM$32)</f>
        <v>0</v>
      </c>
      <c r="M16" s="20">
        <f>SUM('[3]Aer Lingus'!$HD$32:$HM$32)</f>
        <v>0</v>
      </c>
      <c r="N16" s="20">
        <f>SUM('[3]Air France'!$HD$32:$HM$32)</f>
        <v>10820</v>
      </c>
      <c r="O16" s="20">
        <f>SUM('[3]Charter Misc'!$HD$32:$HM$32)+SUM([3]Ryan!$HD$32:$HM$32)+SUM([3]Omni!$HD$32:$HM$32)</f>
        <v>0</v>
      </c>
      <c r="P16" s="254">
        <f>SUM(B16:O16)</f>
        <v>273169</v>
      </c>
    </row>
    <row r="17" spans="1:19" x14ac:dyDescent="0.2">
      <c r="A17" s="60" t="s">
        <v>31</v>
      </c>
      <c r="B17" s="13">
        <f>SUM([3]Delta!$HD$33:$HM$33)</f>
        <v>179755</v>
      </c>
      <c r="C17" s="13">
        <f>SUM('[3]Atlantic Southeast'!$HD$33:$HM$33)</f>
        <v>0</v>
      </c>
      <c r="D17" s="13">
        <f>SUM([3]Pinnacle!$HD$33:$HM$33)</f>
        <v>0</v>
      </c>
      <c r="E17" s="13">
        <f>SUM('[3]Sky West'!$HD$33:$HM$33)</f>
        <v>18170</v>
      </c>
      <c r="F17" s="13">
        <f>SUM('[3]Go Jet'!$HD$33:$HM$33)</f>
        <v>0</v>
      </c>
      <c r="G17" s="13">
        <f>SUM('[3]Sun Country'!$HD$33:$HM$33)</f>
        <v>46394</v>
      </c>
      <c r="H17" s="13">
        <f>SUM([3]Icelandair!$HD$33:$HM$33)</f>
        <v>8710</v>
      </c>
      <c r="I17" s="13">
        <f>SUM([3]KLM!$HD$33:$HM$33)</f>
        <v>2805</v>
      </c>
      <c r="J17" s="13">
        <f>SUM('[3]Air Georgian'!$HD$33:$HM$33)</f>
        <v>0</v>
      </c>
      <c r="K17" s="13">
        <f>SUM('[3]Sky Regional'!$HD$33:$HM$33)</f>
        <v>0</v>
      </c>
      <c r="L17" s="13">
        <f>SUM([3]Condor!$HD$33:$HM$33)</f>
        <v>0</v>
      </c>
      <c r="M17" s="13">
        <f>SUM('[3]Aer Lingus'!$HD$33:$HM$33)</f>
        <v>0</v>
      </c>
      <c r="N17" s="13">
        <f>SUM('[3]Air France'!$HD$33:$HM$33)</f>
        <v>10425</v>
      </c>
      <c r="O17" s="13">
        <f>SUM('[3]Charter Misc'!$HD$33:$HM$33)++SUM([3]Ryan!$HD$33:$HM$33)+SUM([3]Omni!$HD$33:$HM$33)</f>
        <v>51</v>
      </c>
      <c r="P17" s="255">
        <f>SUM(B17:O17)</f>
        <v>266310</v>
      </c>
    </row>
    <row r="18" spans="1:19" ht="15" x14ac:dyDescent="0.25">
      <c r="A18" s="58" t="s">
        <v>7</v>
      </c>
      <c r="B18" s="33">
        <f t="shared" ref="B18:O18" si="11">SUM(B16:B17)</f>
        <v>359933</v>
      </c>
      <c r="C18" s="33">
        <f t="shared" si="11"/>
        <v>0</v>
      </c>
      <c r="D18" s="33">
        <f t="shared" si="11"/>
        <v>0</v>
      </c>
      <c r="E18" s="33">
        <f t="shared" si="11"/>
        <v>37136</v>
      </c>
      <c r="F18" s="33">
        <f t="shared" ref="F18" si="12">SUM(F16:F17)</f>
        <v>0</v>
      </c>
      <c r="G18" s="33">
        <f t="shared" si="11"/>
        <v>96894</v>
      </c>
      <c r="H18" s="33">
        <f t="shared" si="11"/>
        <v>16678</v>
      </c>
      <c r="I18" s="33">
        <f t="shared" ref="I18" si="13">SUM(I16:I17)</f>
        <v>7542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21245</v>
      </c>
      <c r="O18" s="33">
        <f t="shared" si="11"/>
        <v>51</v>
      </c>
      <c r="P18" s="256">
        <f>SUM(B18:O18)</f>
        <v>539479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SUM([3]Delta!$HD$37:$HM$37)</f>
        <v>6175</v>
      </c>
      <c r="C21" s="20">
        <f>SUM('[3]Atlantic Southeast'!$HD$37:$HM$37)</f>
        <v>0</v>
      </c>
      <c r="D21" s="20">
        <f>SUM([3]Pinnacle!$HD$37:$HM$37)</f>
        <v>0</v>
      </c>
      <c r="E21" s="20">
        <f>SUM('[3]Sky West'!$HD$37:$HM$37)</f>
        <v>140</v>
      </c>
      <c r="F21" s="20">
        <f>SUM('[3]Go Jet'!$HD$37:$HM$37)</f>
        <v>0</v>
      </c>
      <c r="G21" s="20">
        <f>SUM('[3]Sun Country'!$HD$37:$HM$37)</f>
        <v>1039</v>
      </c>
      <c r="H21" s="20">
        <f>SUM([3]Icelandair!$HD$37:$HM$37)</f>
        <v>30</v>
      </c>
      <c r="I21" s="20">
        <f>SUM([3]KLM!$HD$37:$HM$37)</f>
        <v>9</v>
      </c>
      <c r="J21" s="20">
        <f>SUM('[3]Air Georgian'!$HD$37:$HM$37)</f>
        <v>0</v>
      </c>
      <c r="K21" s="20">
        <f>SUM('[3]Sky Regional'!$HD$37:$HM$37)</f>
        <v>0</v>
      </c>
      <c r="L21" s="20">
        <f>SUM([3]Condor!$HD$37:$HM$37)</f>
        <v>0</v>
      </c>
      <c r="M21" s="20">
        <f>SUM('[3]Aer Lingus'!$HD$37:$HM$37)</f>
        <v>0</v>
      </c>
      <c r="N21" s="20">
        <f>SUM('[3]Air France'!$HD$37:$HM$37)</f>
        <v>21</v>
      </c>
      <c r="O21" s="20">
        <f>SUM('[3]Charter Misc'!$HD$37:$HM$37)++SUM([3]Ryan!$HD$37:$HM$37)+SUM([3]Omni!$HD$37:$HM$37)</f>
        <v>0</v>
      </c>
      <c r="P21" s="254">
        <f>SUM(B21:O21)</f>
        <v>7414</v>
      </c>
    </row>
    <row r="22" spans="1:19" x14ac:dyDescent="0.2">
      <c r="A22" s="60" t="s">
        <v>33</v>
      </c>
      <c r="B22" s="13">
        <f>SUM([3]Delta!$HD$38:$HM$38)</f>
        <v>6114</v>
      </c>
      <c r="C22" s="13">
        <f>SUM('[3]Atlantic Southeast'!$HD$38:$HM$38)</f>
        <v>0</v>
      </c>
      <c r="D22" s="13">
        <f>SUM([3]Pinnacle!$HD$38:$HM$38)</f>
        <v>0</v>
      </c>
      <c r="E22" s="13">
        <f>SUM('[3]Sky West'!$HD$38:$HM$38)</f>
        <v>111</v>
      </c>
      <c r="F22" s="13">
        <f>SUM('[3]Go Jet'!$HD$38:$HM$38)</f>
        <v>0</v>
      </c>
      <c r="G22" s="13">
        <f>SUM('[3]Sun Country'!$HD$38:$HM$38)</f>
        <v>1002</v>
      </c>
      <c r="H22" s="13">
        <f>SUM([3]Icelandair!$HD$38:$HM$38)</f>
        <v>32</v>
      </c>
      <c r="I22" s="13">
        <f>SUM([3]KLM!$HD$38:$HM$38)</f>
        <v>8</v>
      </c>
      <c r="J22" s="13">
        <f>SUM('[3]Air Georgian'!$HD$38:$HM$38)</f>
        <v>0</v>
      </c>
      <c r="K22" s="13">
        <f>SUM('[3]Sky Regional'!$HD$38:$HM$38)</f>
        <v>0</v>
      </c>
      <c r="L22" s="13">
        <f>SUM([3]Condor!$HD$38:$HM$38)</f>
        <v>0</v>
      </c>
      <c r="M22" s="13">
        <f>SUM('[3]Aer Lingus'!$HD$38:$HM$38)</f>
        <v>0</v>
      </c>
      <c r="N22" s="13">
        <f>SUM('[3]Air France'!$HD$38:$HM$38)</f>
        <v>37</v>
      </c>
      <c r="O22" s="13">
        <f>SUM('[3]Charter Misc'!$HD$38:$HM$38)++SUM([3]Ryan!$HD$38:$HM$38)+SUM([3]Omni!$HD$38:$HM$38)</f>
        <v>0</v>
      </c>
      <c r="P22" s="255">
        <f>SUM(B22:O22)</f>
        <v>7304</v>
      </c>
    </row>
    <row r="23" spans="1:19" ht="15.75" thickBot="1" x14ac:dyDescent="0.3">
      <c r="A23" s="61" t="s">
        <v>34</v>
      </c>
      <c r="B23" s="257">
        <f t="shared" ref="B23:O23" si="16">SUM(B21:B22)</f>
        <v>12289</v>
      </c>
      <c r="C23" s="257">
        <f t="shared" si="16"/>
        <v>0</v>
      </c>
      <c r="D23" s="257">
        <f t="shared" si="16"/>
        <v>0</v>
      </c>
      <c r="E23" s="257">
        <f t="shared" si="16"/>
        <v>251</v>
      </c>
      <c r="F23" s="257">
        <f t="shared" ref="F23" si="17">SUM(F21:F22)</f>
        <v>0</v>
      </c>
      <c r="G23" s="257">
        <f t="shared" si="16"/>
        <v>2041</v>
      </c>
      <c r="H23" s="257">
        <f t="shared" si="16"/>
        <v>62</v>
      </c>
      <c r="I23" s="257">
        <f t="shared" ref="I23" si="18">SUM(I21:I22)</f>
        <v>17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0</v>
      </c>
      <c r="P23" s="258">
        <f>SUM(B23:O23)</f>
        <v>14718</v>
      </c>
    </row>
    <row r="25" spans="1:19" ht="39" thickBot="1" x14ac:dyDescent="0.25">
      <c r="B25" s="408" t="s">
        <v>18</v>
      </c>
      <c r="C25" s="462" t="s">
        <v>195</v>
      </c>
      <c r="D25" s="476" t="s">
        <v>157</v>
      </c>
      <c r="E25" s="409" t="s">
        <v>163</v>
      </c>
      <c r="F25" s="409" t="s">
        <v>162</v>
      </c>
      <c r="G25" s="409" t="s">
        <v>49</v>
      </c>
      <c r="H25" s="409" t="s">
        <v>113</v>
      </c>
      <c r="I25" s="409" t="s">
        <v>194</v>
      </c>
      <c r="J25" s="409" t="s">
        <v>191</v>
      </c>
      <c r="K25" s="409" t="s">
        <v>196</v>
      </c>
      <c r="L25" s="409" t="s">
        <v>161</v>
      </c>
      <c r="M25" s="409" t="s">
        <v>211</v>
      </c>
      <c r="N25" s="409" t="s">
        <v>156</v>
      </c>
      <c r="O25" s="409" t="s">
        <v>139</v>
      </c>
      <c r="P25" s="409" t="s">
        <v>21</v>
      </c>
    </row>
    <row r="26" spans="1:19" ht="15" x14ac:dyDescent="0.25">
      <c r="A26" s="586" t="s">
        <v>142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8"/>
    </row>
    <row r="27" spans="1:19" x14ac:dyDescent="0.2">
      <c r="A27" s="60" t="s">
        <v>22</v>
      </c>
      <c r="B27" s="20">
        <f>[3]Delta!$HM$15</f>
        <v>140</v>
      </c>
      <c r="C27" s="20">
        <f>'[3]Atlantic Southeast'!$HM$15</f>
        <v>0</v>
      </c>
      <c r="D27" s="20">
        <f>[3]Pinnacle!$HM$15</f>
        <v>0</v>
      </c>
      <c r="E27" s="20">
        <f>'[3]Sky West'!$HM$15</f>
        <v>60</v>
      </c>
      <c r="F27" s="20">
        <f>'[3]Go Jet'!$HM$15</f>
        <v>0</v>
      </c>
      <c r="G27" s="20">
        <f>'[3]Sun Country'!$HM$15</f>
        <v>15</v>
      </c>
      <c r="H27" s="20">
        <f>[3]Icelandair!$HM$15</f>
        <v>10</v>
      </c>
      <c r="I27" s="20">
        <f>[3]KLM!$HM$15</f>
        <v>13</v>
      </c>
      <c r="J27" s="20">
        <f>'[3]Air Georgian'!$HM$15</f>
        <v>0</v>
      </c>
      <c r="K27" s="20">
        <f>'[3]Sky Regional'!$HM$15</f>
        <v>0</v>
      </c>
      <c r="L27" s="20">
        <f>[3]Condor!$HM$15</f>
        <v>0</v>
      </c>
      <c r="M27" s="20">
        <f>'[3]Aer Lingus'!$HM$15</f>
        <v>0</v>
      </c>
      <c r="N27" s="20">
        <f>'[3]Air France'!$HM$15</f>
        <v>0</v>
      </c>
      <c r="O27" s="20">
        <f>'[3]Charter Misc'!$HM$15+[3]Ryan!$HM$15+[3]Omni!$HM$15</f>
        <v>0</v>
      </c>
      <c r="P27" s="254">
        <f>SUM(B27:O27)</f>
        <v>238</v>
      </c>
    </row>
    <row r="28" spans="1:19" x14ac:dyDescent="0.2">
      <c r="A28" s="60" t="s">
        <v>23</v>
      </c>
      <c r="B28" s="20">
        <f>[3]Delta!$HM$16</f>
        <v>138</v>
      </c>
      <c r="C28" s="20">
        <f>'[3]Atlantic Southeast'!$HM$16</f>
        <v>0</v>
      </c>
      <c r="D28" s="20">
        <f>[3]Pinnacle!$HM$16</f>
        <v>0</v>
      </c>
      <c r="E28" s="20">
        <f>'[3]Sky West'!$HM$16</f>
        <v>60</v>
      </c>
      <c r="F28" s="20">
        <f>'[3]Go Jet'!$HM$16</f>
        <v>0</v>
      </c>
      <c r="G28" s="20">
        <f>'[3]Sun Country'!$HM$16</f>
        <v>17</v>
      </c>
      <c r="H28" s="20">
        <f>[3]Icelandair!$HM$16</f>
        <v>10</v>
      </c>
      <c r="I28" s="20">
        <f>[3]KLM!$HM$16</f>
        <v>13</v>
      </c>
      <c r="J28" s="20">
        <f>'[3]Air Georgian'!$HM$16</f>
        <v>0</v>
      </c>
      <c r="K28" s="20">
        <f>'[3]Sky Regional'!$HM$16</f>
        <v>0</v>
      </c>
      <c r="L28" s="20">
        <f>[3]Condor!$HM$16</f>
        <v>0</v>
      </c>
      <c r="M28" s="20">
        <f>'[3]Aer Lingus'!$HM$16</f>
        <v>0</v>
      </c>
      <c r="N28" s="20">
        <f>'[3]Air France'!$HM$16</f>
        <v>0</v>
      </c>
      <c r="O28" s="20">
        <f>'[3]Charter Misc'!$HM$16+[3]Ryan!$HM$16+[3]Omni!$HM$16</f>
        <v>0</v>
      </c>
      <c r="P28" s="254">
        <f>SUM(B28:O28)</f>
        <v>238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278</v>
      </c>
      <c r="C30" s="354">
        <f t="shared" si="21"/>
        <v>0</v>
      </c>
      <c r="D30" s="354">
        <f t="shared" si="21"/>
        <v>0</v>
      </c>
      <c r="E30" s="354">
        <f>SUM(E27:E28)</f>
        <v>120</v>
      </c>
      <c r="F30" s="354">
        <f>SUM(F27:F28)</f>
        <v>0</v>
      </c>
      <c r="G30" s="354">
        <f t="shared" si="21"/>
        <v>32</v>
      </c>
      <c r="H30" s="354">
        <f t="shared" si="21"/>
        <v>20</v>
      </c>
      <c r="I30" s="354">
        <f t="shared" ref="I30" si="22">SUM(I27:I28)</f>
        <v>26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476</v>
      </c>
    </row>
    <row r="31" spans="1:19" ht="15" x14ac:dyDescent="0.25">
      <c r="A31" s="356"/>
    </row>
    <row r="32" spans="1:19" ht="39" thickBot="1" x14ac:dyDescent="0.25">
      <c r="B32" s="408" t="s">
        <v>18</v>
      </c>
      <c r="C32" s="462" t="s">
        <v>195</v>
      </c>
      <c r="D32" s="476" t="s">
        <v>157</v>
      </c>
      <c r="E32" s="409" t="s">
        <v>163</v>
      </c>
      <c r="F32" s="409" t="s">
        <v>162</v>
      </c>
      <c r="G32" s="409" t="s">
        <v>49</v>
      </c>
      <c r="H32" s="409" t="s">
        <v>113</v>
      </c>
      <c r="I32" s="409" t="s">
        <v>194</v>
      </c>
      <c r="J32" s="409" t="s">
        <v>191</v>
      </c>
      <c r="K32" s="409" t="s">
        <v>196</v>
      </c>
      <c r="L32" s="409" t="s">
        <v>161</v>
      </c>
      <c r="M32" s="409" t="s">
        <v>211</v>
      </c>
      <c r="N32" s="409" t="s">
        <v>156</v>
      </c>
      <c r="O32" s="409" t="s">
        <v>139</v>
      </c>
      <c r="P32" s="409" t="s">
        <v>21</v>
      </c>
    </row>
    <row r="33" spans="1:16" ht="15" x14ac:dyDescent="0.25">
      <c r="A33" s="589" t="s">
        <v>143</v>
      </c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1"/>
    </row>
    <row r="34" spans="1:16" x14ac:dyDescent="0.2">
      <c r="A34" s="60" t="s">
        <v>22</v>
      </c>
      <c r="B34" s="20">
        <f>SUM([3]Delta!$HD$15:$HM$15)</f>
        <v>1634</v>
      </c>
      <c r="C34" s="20">
        <f>SUM('[3]Atlantic Southeast'!$HD$15:$HM$15)</f>
        <v>0</v>
      </c>
      <c r="D34" s="20">
        <f>SUM([3]Pinnacle!$HD$15:$HM$15)</f>
        <v>1</v>
      </c>
      <c r="E34" s="20">
        <f>SUM('[3]Sky West'!$HD$15:$HM$15)</f>
        <v>465</v>
      </c>
      <c r="F34" s="20">
        <f>SUM('[3]Go Jet'!$HD$15:$HM$15)</f>
        <v>0</v>
      </c>
      <c r="G34" s="20">
        <f>SUM('[3]Sun Country'!$HD$15:$HM$15)</f>
        <v>570</v>
      </c>
      <c r="H34" s="20">
        <f>SUM([3]Icelandair!$HD$15:$HM$15)</f>
        <v>81</v>
      </c>
      <c r="I34" s="20">
        <f>SUM([3]KLM!$HD$15:$HM$15)</f>
        <v>27</v>
      </c>
      <c r="J34" s="20">
        <f>SUM('[3]Air Georgian'!$HD$15:$HM$15)</f>
        <v>0</v>
      </c>
      <c r="K34" s="20">
        <f>SUM('[3]Sky Regional'!$HD$15:$HM$15)</f>
        <v>0</v>
      </c>
      <c r="L34" s="20">
        <f>SUM([3]Condor!$HD$15:$HM$15)</f>
        <v>0</v>
      </c>
      <c r="M34" s="20">
        <f>SUM('[3]Aer Lingus'!$HD$15:$HM$15)</f>
        <v>0</v>
      </c>
      <c r="N34" s="20">
        <f>SUM('[3]Air France'!$HD$15:$HM$15)</f>
        <v>63</v>
      </c>
      <c r="O34" s="20">
        <f>SUM('[3]Charter Misc'!$HD$15:$HM$15)+SUM([3]Ryan!$HD$15:$HM$15)+SUM([3]Omni!$HD$15:$HM$15)</f>
        <v>0</v>
      </c>
      <c r="P34" s="254">
        <f>SUM(B34:O34)</f>
        <v>2841</v>
      </c>
    </row>
    <row r="35" spans="1:16" x14ac:dyDescent="0.2">
      <c r="A35" s="60" t="s">
        <v>23</v>
      </c>
      <c r="B35" s="20">
        <f>SUM([3]Delta!$HD$16:$HM$16)</f>
        <v>1625</v>
      </c>
      <c r="C35" s="20">
        <f>SUM('[3]Atlantic Southeast'!$HD$16:$HM$16)</f>
        <v>0</v>
      </c>
      <c r="D35" s="20">
        <f>SUM([3]Pinnacle!$HD$16:$HM$16)</f>
        <v>1</v>
      </c>
      <c r="E35" s="20">
        <f>SUM('[3]Sky West'!$HD$16:$HM$16)</f>
        <v>434</v>
      </c>
      <c r="F35" s="20">
        <f>SUM('[3]Go Jet'!$HD$16:$HM$16)</f>
        <v>0</v>
      </c>
      <c r="G35" s="20">
        <f>SUM('[3]Sun Country'!$HD$16:$HM$16)</f>
        <v>567</v>
      </c>
      <c r="H35" s="20">
        <f>SUM([3]Icelandair!$HD$16:$HM$16)</f>
        <v>82</v>
      </c>
      <c r="I35" s="20">
        <f>SUM([3]KLM!$HD$16:$HM$16)</f>
        <v>27</v>
      </c>
      <c r="J35" s="20">
        <f>SUM('[3]Air Georgian'!$HD$16:$HM$16)</f>
        <v>0</v>
      </c>
      <c r="K35" s="20">
        <f>SUM('[3]Sky Regional'!$HD$16:$HM$16)</f>
        <v>0</v>
      </c>
      <c r="L35" s="20">
        <f>SUM([3]Condor!$HD$16:$HM$16)</f>
        <v>0</v>
      </c>
      <c r="M35" s="20">
        <f>SUM('[3]Aer Lingus'!$HD$16:$HM$16)</f>
        <v>0</v>
      </c>
      <c r="N35" s="20">
        <f>SUM('[3]Air France'!$HD$16:$HM$16)</f>
        <v>63</v>
      </c>
      <c r="O35" s="20">
        <f>SUM('[3]Charter Misc'!$HD$16:$HM$16)+SUM([3]Ryan!$HD$16:$HM$16)+SUM([3]Omni!$HD$16:$HM$16)</f>
        <v>2</v>
      </c>
      <c r="P35" s="254">
        <f>SUM(B35:O35)</f>
        <v>2801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3259</v>
      </c>
      <c r="C37" s="354">
        <f t="shared" si="24"/>
        <v>0</v>
      </c>
      <c r="D37" s="354">
        <f t="shared" si="24"/>
        <v>2</v>
      </c>
      <c r="E37" s="354">
        <f>+SUM(E34:E35)</f>
        <v>899</v>
      </c>
      <c r="F37" s="354">
        <f>+SUM(F34:F35)</f>
        <v>0</v>
      </c>
      <c r="G37" s="354">
        <f t="shared" si="24"/>
        <v>1137</v>
      </c>
      <c r="H37" s="354">
        <f t="shared" si="24"/>
        <v>163</v>
      </c>
      <c r="I37" s="354">
        <f t="shared" ref="I37" si="25">+SUM(I34:I35)</f>
        <v>54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126</v>
      </c>
      <c r="O37" s="354">
        <f>+SUM(O34:O35)</f>
        <v>2</v>
      </c>
      <c r="P37" s="355">
        <f>SUM(B37:O37)</f>
        <v>5642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&amp;"Arial,Bold"October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activeCell="M59" sqref="M59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9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6" customWidth="1"/>
    <col min="11" max="11" width="14.42578125" style="205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.85546875" bestFit="1" customWidth="1"/>
    <col min="23" max="23" width="9.7109375" bestFit="1" customWidth="1"/>
    <col min="24" max="24" width="10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0" t="s">
        <v>132</v>
      </c>
      <c r="B1" s="601"/>
      <c r="C1" s="421" t="s">
        <v>232</v>
      </c>
      <c r="D1" s="422" t="s">
        <v>207</v>
      </c>
      <c r="E1" s="240" t="s">
        <v>95</v>
      </c>
      <c r="F1" s="239" t="s">
        <v>233</v>
      </c>
      <c r="G1" s="422" t="s">
        <v>233</v>
      </c>
      <c r="H1" s="238" t="s">
        <v>96</v>
      </c>
      <c r="I1" s="240" t="s">
        <v>234</v>
      </c>
      <c r="J1" s="606" t="s">
        <v>136</v>
      </c>
      <c r="K1" s="607"/>
      <c r="L1" s="419" t="s">
        <v>235</v>
      </c>
      <c r="M1" s="420" t="s">
        <v>209</v>
      </c>
      <c r="N1" s="314" t="s">
        <v>96</v>
      </c>
      <c r="O1" s="447" t="s">
        <v>236</v>
      </c>
      <c r="P1" s="241" t="s">
        <v>210</v>
      </c>
      <c r="Q1" s="444" t="s">
        <v>96</v>
      </c>
      <c r="R1" s="448" t="s">
        <v>234</v>
      </c>
      <c r="S1" s="592" t="s">
        <v>237</v>
      </c>
      <c r="T1" s="593"/>
      <c r="U1" s="515" t="s">
        <v>235</v>
      </c>
      <c r="V1" s="516" t="s">
        <v>209</v>
      </c>
      <c r="W1" s="517" t="s">
        <v>96</v>
      </c>
      <c r="X1" s="518" t="s">
        <v>236</v>
      </c>
      <c r="Y1" s="519" t="s">
        <v>210</v>
      </c>
      <c r="Z1" s="520" t="s">
        <v>96</v>
      </c>
      <c r="AA1" s="521" t="s">
        <v>234</v>
      </c>
    </row>
    <row r="2" spans="1:27" s="198" customFormat="1" ht="13.5" customHeight="1" thickBot="1" x14ac:dyDescent="0.25">
      <c r="A2" s="602">
        <v>44470</v>
      </c>
      <c r="B2" s="603"/>
      <c r="C2" s="604" t="s">
        <v>9</v>
      </c>
      <c r="D2" s="605"/>
      <c r="E2" s="605"/>
      <c r="F2" s="605"/>
      <c r="G2" s="605"/>
      <c r="H2" s="605"/>
      <c r="I2" s="423"/>
      <c r="J2" s="602">
        <f>+A2</f>
        <v>44470</v>
      </c>
      <c r="K2" s="603"/>
      <c r="L2" s="597" t="s">
        <v>138</v>
      </c>
      <c r="M2" s="598"/>
      <c r="N2" s="598"/>
      <c r="O2" s="598"/>
      <c r="P2" s="598"/>
      <c r="Q2" s="598"/>
      <c r="R2" s="599"/>
      <c r="S2" s="575">
        <f>+J2</f>
        <v>44470</v>
      </c>
      <c r="T2" s="576"/>
      <c r="U2" s="594" t="s">
        <v>238</v>
      </c>
      <c r="V2" s="595"/>
      <c r="W2" s="595"/>
      <c r="X2" s="595"/>
      <c r="Y2" s="595"/>
      <c r="Z2" s="595"/>
      <c r="AA2" s="596"/>
    </row>
    <row r="3" spans="1:27" x14ac:dyDescent="0.2">
      <c r="A3" s="315"/>
      <c r="B3" s="316"/>
      <c r="C3" s="317"/>
      <c r="D3" s="318"/>
      <c r="E3" s="319"/>
      <c r="F3" s="384"/>
      <c r="G3" s="385"/>
      <c r="H3" s="441"/>
      <c r="I3" s="319"/>
      <c r="J3" s="320"/>
      <c r="K3" s="316"/>
      <c r="L3" s="449"/>
      <c r="M3" s="5"/>
      <c r="N3" s="83"/>
      <c r="O3" s="315"/>
      <c r="P3" s="321"/>
      <c r="Q3" s="321"/>
      <c r="R3" s="316"/>
      <c r="S3" s="320"/>
      <c r="T3" s="316"/>
      <c r="U3" s="449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3">
        <f>'[3]Aer Lingus'!$HM$19</f>
        <v>0</v>
      </c>
      <c r="D4" s="465">
        <f>'[3]Aer Lingus'!$GY$19</f>
        <v>0</v>
      </c>
      <c r="E4" s="474" t="e">
        <f>(C4-D4)/D4</f>
        <v>#DIV/0!</v>
      </c>
      <c r="F4" s="465">
        <f>SUM('[3]Aer Lingus'!$HD$19:$HM$19)</f>
        <v>0</v>
      </c>
      <c r="G4" s="465">
        <f>SUM('[3]Aer Lingus'!$GP$19:$GY$19)</f>
        <v>88</v>
      </c>
      <c r="H4" s="475">
        <f>(F4-G4)/G4</f>
        <v>-1</v>
      </c>
      <c r="I4" s="474">
        <f>F4/$F$73</f>
        <v>0</v>
      </c>
      <c r="J4" s="322" t="s">
        <v>211</v>
      </c>
      <c r="K4" s="54"/>
      <c r="L4" s="473">
        <f>'[3]Aer Lingus'!$HM$41</f>
        <v>0</v>
      </c>
      <c r="M4" s="465">
        <f>'[3]Aer Lingus'!$GY$41</f>
        <v>0</v>
      </c>
      <c r="N4" s="474" t="e">
        <f>(L4-M4)/M4</f>
        <v>#DIV/0!</v>
      </c>
      <c r="O4" s="473">
        <f>SUM('[3]Aer Lingus'!$HD$41:$HM$41)</f>
        <v>0</v>
      </c>
      <c r="P4" s="465">
        <f>SUM('[3]Aer Lingus'!$GP$41:$GY$41)</f>
        <v>9622</v>
      </c>
      <c r="Q4" s="475">
        <f>(O4-P4)/P4</f>
        <v>-1</v>
      </c>
      <c r="R4" s="474">
        <f>O4/$O$73</f>
        <v>0</v>
      </c>
      <c r="S4" s="322" t="s">
        <v>211</v>
      </c>
      <c r="T4" s="54"/>
      <c r="U4" s="473">
        <f>'[3]Aer Lingus'!$HM$64</f>
        <v>0</v>
      </c>
      <c r="V4" s="465">
        <f>'[3]Aer Lingus'!$GY$64</f>
        <v>0</v>
      </c>
      <c r="W4" s="474" t="e">
        <f>(U4-V4)/V4</f>
        <v>#DIV/0!</v>
      </c>
      <c r="X4" s="473">
        <f>SUM('[3]Aer Lingus'!$HD$64:$HM$64)</f>
        <v>0</v>
      </c>
      <c r="Y4" s="465">
        <f>SUM('[3]Aer Lingus'!$GP$64:$GY$64)</f>
        <v>10341</v>
      </c>
      <c r="Z4" s="475">
        <f>(X4-Y4)/Y4</f>
        <v>-1</v>
      </c>
      <c r="AA4" s="474">
        <f>X4/$X$73</f>
        <v>0</v>
      </c>
    </row>
    <row r="5" spans="1:27" x14ac:dyDescent="0.2">
      <c r="A5" s="52"/>
      <c r="B5" s="54"/>
      <c r="C5" s="449"/>
      <c r="D5" s="5"/>
      <c r="E5" s="83"/>
      <c r="F5" s="471"/>
      <c r="G5" s="9"/>
      <c r="H5" s="36"/>
      <c r="I5" s="83"/>
      <c r="J5" s="472"/>
      <c r="K5" s="54"/>
      <c r="L5" s="449"/>
      <c r="M5" s="5"/>
      <c r="N5" s="83"/>
      <c r="O5" s="52"/>
      <c r="P5" s="11"/>
      <c r="Q5" s="11"/>
      <c r="R5" s="54"/>
      <c r="S5" s="472"/>
      <c r="T5" s="54"/>
      <c r="U5" s="449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SUM(C7:C10)</f>
        <v>62</v>
      </c>
      <c r="D6" s="325">
        <f>SUM(D7:D10)</f>
        <v>0</v>
      </c>
      <c r="E6" s="326" t="e">
        <f>(C6-D6)/D6</f>
        <v>#DIV/0!</v>
      </c>
      <c r="F6" s="323">
        <f>SUM(F7:F10)</f>
        <v>109</v>
      </c>
      <c r="G6" s="325">
        <f>SUM(G7:G10)</f>
        <v>390</v>
      </c>
      <c r="H6" s="324">
        <f>(F6-G6)/G6</f>
        <v>-0.72051282051282051</v>
      </c>
      <c r="I6" s="326">
        <f>F6/$F$73</f>
        <v>4.8517544211055771E-4</v>
      </c>
      <c r="J6" s="322" t="s">
        <v>98</v>
      </c>
      <c r="K6" s="54"/>
      <c r="L6" s="323">
        <f>SUM(L7:L10)</f>
        <v>4043</v>
      </c>
      <c r="M6" s="325">
        <f>SUM(M7:M10)</f>
        <v>0</v>
      </c>
      <c r="N6" s="326" t="e">
        <f>(L6-M6)/M6</f>
        <v>#DIV/0!</v>
      </c>
      <c r="O6" s="323">
        <f>SUM(O7:O10)</f>
        <v>7103</v>
      </c>
      <c r="P6" s="325">
        <f>SUM(P7:P10)</f>
        <v>16941</v>
      </c>
      <c r="Q6" s="324">
        <f>(O6-P6)/P6</f>
        <v>-0.58072132695826695</v>
      </c>
      <c r="R6" s="326">
        <f>O6/$O$73</f>
        <v>3.5773005648639684E-4</v>
      </c>
      <c r="S6" s="322" t="s">
        <v>98</v>
      </c>
      <c r="T6" s="54"/>
      <c r="U6" s="473">
        <f>SUM(U7:U10)</f>
        <v>0</v>
      </c>
      <c r="V6" s="465">
        <f>SUM(V7:V10)</f>
        <v>0</v>
      </c>
      <c r="W6" s="474" t="e">
        <f>(U6-V6)/V6</f>
        <v>#DIV/0!</v>
      </c>
      <c r="X6" s="473">
        <f>SUM(X7:X10)</f>
        <v>0</v>
      </c>
      <c r="Y6" s="465">
        <f>SUM(Y7:Y10)</f>
        <v>4266</v>
      </c>
      <c r="Z6" s="475">
        <f>(X6-Y6)/Y6</f>
        <v>-1</v>
      </c>
      <c r="AA6" s="474">
        <f>X6/$X$73</f>
        <v>0</v>
      </c>
    </row>
    <row r="7" spans="1:27" ht="14.1" customHeight="1" x14ac:dyDescent="0.2">
      <c r="A7" s="322"/>
      <c r="B7" s="396" t="s">
        <v>98</v>
      </c>
      <c r="C7" s="327">
        <f>+[3]AirCanada!$HM$19</f>
        <v>0</v>
      </c>
      <c r="D7" s="9">
        <f>+[3]AirCanada!$GY$19</f>
        <v>0</v>
      </c>
      <c r="E7" s="84" t="e">
        <f>(C7-D7)/D7</f>
        <v>#DIV/0!</v>
      </c>
      <c r="F7" s="267">
        <f>SUM([3]AirCanada!$HD$19:$HM$19)</f>
        <v>0</v>
      </c>
      <c r="G7" s="267">
        <f>SUM([3]AirCanada!$GP$19:$GY$19)</f>
        <v>0</v>
      </c>
      <c r="H7" s="403" t="e">
        <f>(F7-G7)/G7</f>
        <v>#DIV/0!</v>
      </c>
      <c r="I7" s="84">
        <f>F7/$F$73</f>
        <v>0</v>
      </c>
      <c r="J7" s="322"/>
      <c r="K7" s="396" t="s">
        <v>98</v>
      </c>
      <c r="L7" s="402">
        <f>+[3]AirCanada!$HM$41</f>
        <v>0</v>
      </c>
      <c r="M7" s="267">
        <f>+[3]AirCanada!$GY$41</f>
        <v>0</v>
      </c>
      <c r="N7" s="404" t="e">
        <f>(L7-M7)/M7</f>
        <v>#DIV/0!</v>
      </c>
      <c r="O7" s="402">
        <f>SUM([3]AirCanada!$HD$41:$HM$41)</f>
        <v>0</v>
      </c>
      <c r="P7" s="267">
        <f>SUM([3]AirCanada!$GP$41:$GY$41)</f>
        <v>0</v>
      </c>
      <c r="Q7" s="403" t="e">
        <f>(O7-P7)/P7</f>
        <v>#DIV/0!</v>
      </c>
      <c r="R7" s="404">
        <f>O7/$O$73</f>
        <v>0</v>
      </c>
      <c r="S7" s="322"/>
      <c r="T7" s="396" t="s">
        <v>98</v>
      </c>
      <c r="U7" s="502">
        <f>+[3]AirCanada!$HM$64</f>
        <v>0</v>
      </c>
      <c r="V7" s="283">
        <f>+[3]AirCanada!$GY$64</f>
        <v>0</v>
      </c>
      <c r="W7" s="503" t="e">
        <f>(U7-V7)/V7</f>
        <v>#DIV/0!</v>
      </c>
      <c r="X7" s="502">
        <f>SUM([3]AirCanada!$HD$64:$HM$64)</f>
        <v>0</v>
      </c>
      <c r="Y7" s="283">
        <f>SUM([3]AirCanada!$GP$64:$GY$64)</f>
        <v>0</v>
      </c>
      <c r="Z7" s="486" t="e">
        <f>(X7-Y7)/Y7</f>
        <v>#DIV/0!</v>
      </c>
      <c r="AA7" s="503">
        <f>X7/$X$73</f>
        <v>0</v>
      </c>
    </row>
    <row r="8" spans="1:27" ht="14.1" customHeight="1" x14ac:dyDescent="0.2">
      <c r="A8" s="322"/>
      <c r="B8" s="396" t="s">
        <v>164</v>
      </c>
      <c r="C8" s="327">
        <f>'[3]Air Georgian'!$HM$19</f>
        <v>0</v>
      </c>
      <c r="D8" s="9">
        <f>'[3]Air Georgian'!$GY$19</f>
        <v>0</v>
      </c>
      <c r="E8" s="84" t="e">
        <f>(C8-D8)/D8</f>
        <v>#DIV/0!</v>
      </c>
      <c r="F8" s="267">
        <f>SUM('[3]Air Georgian'!$HD$19:$HM$19)</f>
        <v>0</v>
      </c>
      <c r="G8" s="267">
        <f>SUM('[3]Air Georgian'!$GP$19:$GY$19)</f>
        <v>0</v>
      </c>
      <c r="H8" s="403" t="e">
        <f>(F8-G8)/G8</f>
        <v>#DIV/0!</v>
      </c>
      <c r="I8" s="84">
        <f>F8/$F$73</f>
        <v>0</v>
      </c>
      <c r="J8" s="322"/>
      <c r="K8" s="396" t="s">
        <v>164</v>
      </c>
      <c r="L8" s="327">
        <f>'[3]Air Georgian'!$HM$41</f>
        <v>0</v>
      </c>
      <c r="M8" s="9">
        <f>'[3]Air Georgian'!$GY$41</f>
        <v>0</v>
      </c>
      <c r="N8" s="84" t="e">
        <f>(L8-M8)/M8</f>
        <v>#DIV/0!</v>
      </c>
      <c r="O8" s="327">
        <f>SUM('[3]Air Georgian'!$HD$41:$HM$41)</f>
        <v>0</v>
      </c>
      <c r="P8" s="9">
        <f>SUM('[3]Air Georgian'!$GP$41:$GY$41)</f>
        <v>0</v>
      </c>
      <c r="Q8" s="38" t="e">
        <f>(O8-P8)/P8</f>
        <v>#DIV/0!</v>
      </c>
      <c r="R8" s="84">
        <f>O8/$O$73</f>
        <v>0</v>
      </c>
      <c r="S8" s="322"/>
      <c r="T8" s="396" t="s">
        <v>164</v>
      </c>
      <c r="U8" s="449">
        <f>'[3]Air Georgian'!$HM$64</f>
        <v>0</v>
      </c>
      <c r="V8" s="2">
        <f>'[3]Air Georgian'!$GY$64</f>
        <v>0</v>
      </c>
      <c r="W8" s="83" t="e">
        <f>(U8-V8)/V8</f>
        <v>#DIV/0!</v>
      </c>
      <c r="X8" s="449">
        <f>SUM('[3]Air Georgian'!$HD$64:$HM$64)</f>
        <v>0</v>
      </c>
      <c r="Y8" s="2">
        <f>SUM('[3]Air Georgian'!$GP$64:$GY$64)</f>
        <v>0</v>
      </c>
      <c r="Z8" s="3" t="e">
        <f>(X8-Y8)/Y8</f>
        <v>#DIV/0!</v>
      </c>
      <c r="AA8" s="83">
        <f>X8/$X$73</f>
        <v>0</v>
      </c>
    </row>
    <row r="9" spans="1:27" ht="14.1" customHeight="1" x14ac:dyDescent="0.2">
      <c r="A9" s="322"/>
      <c r="B9" s="396" t="s">
        <v>246</v>
      </c>
      <c r="C9" s="327">
        <f>[3]Jazz_AC!$HM$19</f>
        <v>62</v>
      </c>
      <c r="D9" s="9">
        <f>[3]Jazz_AC!$GY$19</f>
        <v>0</v>
      </c>
      <c r="E9" s="84" t="e">
        <f t="shared" ref="E9" si="0">(C9-D9)/D9</f>
        <v>#DIV/0!</v>
      </c>
      <c r="F9" s="9">
        <f>SUM([3]Jazz_AC!$HD$19:$HM$19)</f>
        <v>109</v>
      </c>
      <c r="G9" s="9">
        <f>SUM([3]Jazz_AC!$GP$19:$GY$19)</f>
        <v>0</v>
      </c>
      <c r="H9" s="38" t="e">
        <f t="shared" ref="H9" si="1">(F9-G9)/G9</f>
        <v>#DIV/0!</v>
      </c>
      <c r="I9" s="84">
        <f t="shared" ref="I9" si="2">F9/$F$73</f>
        <v>4.8517544211055771E-4</v>
      </c>
      <c r="J9" s="322"/>
      <c r="K9" s="396" t="s">
        <v>246</v>
      </c>
      <c r="L9" s="327">
        <f>[3]Jazz_AC!$HM$41</f>
        <v>4043</v>
      </c>
      <c r="M9" s="9">
        <f>[3]Jazz_AC!$GY$41</f>
        <v>0</v>
      </c>
      <c r="N9" s="84" t="e">
        <f t="shared" ref="N9" si="3">(L9-M9)/M9</f>
        <v>#DIV/0!</v>
      </c>
      <c r="O9" s="327">
        <f>SUM([3]Jazz_AC!$HD$41:$HM$41)</f>
        <v>7103</v>
      </c>
      <c r="P9" s="9">
        <f>SUM([3]Jazz_AC!$GP$41:$GY$41)</f>
        <v>0</v>
      </c>
      <c r="Q9" s="38" t="e">
        <f t="shared" ref="Q9" si="4">(O9-P9)/P9</f>
        <v>#DIV/0!</v>
      </c>
      <c r="R9" s="84">
        <f t="shared" ref="R9" si="5">O9/$O$73</f>
        <v>3.5773005648639684E-4</v>
      </c>
      <c r="S9" s="322"/>
      <c r="T9" s="396" t="s">
        <v>246</v>
      </c>
      <c r="U9" s="449">
        <f>[3]Jazz_AC!$HM$64</f>
        <v>0</v>
      </c>
      <c r="V9" s="2">
        <f>[3]Jazz_AC!$GY$64</f>
        <v>0</v>
      </c>
      <c r="W9" s="83" t="e">
        <f t="shared" ref="W9" si="6">(U9-V9)/V9</f>
        <v>#DIV/0!</v>
      </c>
      <c r="X9" s="449">
        <f>SUM([3]Jazz_AC!$HD$64:$HM$64)</f>
        <v>0</v>
      </c>
      <c r="Y9" s="2">
        <f>SUM([3]Jazz_AC!$GP$64:$GY$64)</f>
        <v>0</v>
      </c>
      <c r="Z9" s="3" t="e">
        <f t="shared" ref="Z9" si="7">(X9-Y9)/Y9</f>
        <v>#DIV/0!</v>
      </c>
      <c r="AA9" s="83">
        <f t="shared" ref="AA9" si="8">X9/$X$73</f>
        <v>0</v>
      </c>
    </row>
    <row r="10" spans="1:27" ht="14.1" customHeight="1" x14ac:dyDescent="0.2">
      <c r="A10" s="322"/>
      <c r="B10" s="396" t="s">
        <v>192</v>
      </c>
      <c r="C10" s="327">
        <f>'[3]Sky Regional'!$HM$19</f>
        <v>0</v>
      </c>
      <c r="D10" s="9">
        <f>'[3]Sky Regional'!$GY$19</f>
        <v>0</v>
      </c>
      <c r="E10" s="84" t="e">
        <f>(C10-D10)/D10</f>
        <v>#DIV/0!</v>
      </c>
      <c r="F10" s="267">
        <f>SUM('[3]Sky Regional'!$HD$19:$HM$19)</f>
        <v>0</v>
      </c>
      <c r="G10" s="267">
        <f>SUM('[3]Sky Regional'!$GP$19:$GY$19)</f>
        <v>390</v>
      </c>
      <c r="H10" s="403">
        <f>(F10-G10)/G10</f>
        <v>-1</v>
      </c>
      <c r="I10" s="84">
        <f>F10/$F$73</f>
        <v>0</v>
      </c>
      <c r="J10" s="322"/>
      <c r="K10" s="396" t="s">
        <v>192</v>
      </c>
      <c r="L10" s="327">
        <f>'[3]Sky Regional'!$HM$41</f>
        <v>0</v>
      </c>
      <c r="M10" s="9">
        <f>'[3]Sky Regional'!$GY$41</f>
        <v>0</v>
      </c>
      <c r="N10" s="84" t="e">
        <f>(L10-M10)/M10</f>
        <v>#DIV/0!</v>
      </c>
      <c r="O10" s="327">
        <f>SUM('[3]Sky Regional'!$HD$41:$HM$41)</f>
        <v>0</v>
      </c>
      <c r="P10" s="9">
        <f>SUM('[3]Sky Regional'!$GP$41:$GY$41)</f>
        <v>16941</v>
      </c>
      <c r="Q10" s="38">
        <f>(O10-P10)/P10</f>
        <v>-1</v>
      </c>
      <c r="R10" s="84">
        <f>O10/$O$73</f>
        <v>0</v>
      </c>
      <c r="S10" s="322"/>
      <c r="T10" s="396" t="s">
        <v>192</v>
      </c>
      <c r="U10" s="449">
        <f>'[3]Sky Regional'!$HM$64</f>
        <v>0</v>
      </c>
      <c r="V10" s="2">
        <f>'[3]Sky Regional'!$GY$64</f>
        <v>0</v>
      </c>
      <c r="W10" s="83" t="e">
        <f>(U10-V10)/V10</f>
        <v>#DIV/0!</v>
      </c>
      <c r="X10" s="449">
        <f>SUM('[3]Sky Regional'!$HD$64:$HM$64)</f>
        <v>0</v>
      </c>
      <c r="Y10" s="2">
        <f>SUM('[3]Sky Regional'!$GP$64:$GY$64)</f>
        <v>4266</v>
      </c>
      <c r="Z10" s="3">
        <f>(X10-Y10)/Y10</f>
        <v>-1</v>
      </c>
      <c r="AA10" s="83">
        <f>X10/$X$73</f>
        <v>0</v>
      </c>
    </row>
    <row r="11" spans="1:27" ht="14.1" customHeight="1" x14ac:dyDescent="0.2">
      <c r="A11" s="322"/>
      <c r="B11" s="54"/>
      <c r="C11" s="323"/>
      <c r="D11" s="325"/>
      <c r="E11" s="326"/>
      <c r="F11" s="325"/>
      <c r="G11" s="325"/>
      <c r="H11" s="324"/>
      <c r="I11" s="326"/>
      <c r="J11" s="322"/>
      <c r="K11" s="54"/>
      <c r="L11" s="327"/>
      <c r="M11" s="9"/>
      <c r="N11" s="84"/>
      <c r="O11" s="327"/>
      <c r="P11" s="9"/>
      <c r="Q11" s="38"/>
      <c r="R11" s="84"/>
      <c r="S11" s="322"/>
      <c r="T11" s="54"/>
      <c r="U11" s="449"/>
      <c r="V11" s="2"/>
      <c r="W11" s="83"/>
      <c r="X11" s="449"/>
      <c r="Y11" s="2"/>
      <c r="Z11" s="3"/>
      <c r="AA11" s="83"/>
    </row>
    <row r="12" spans="1:27" ht="14.1" customHeight="1" x14ac:dyDescent="0.2">
      <c r="A12" s="322" t="s">
        <v>178</v>
      </c>
      <c r="B12" s="54"/>
      <c r="C12" s="323">
        <f>'[3]Air Choice One'!$HM$19</f>
        <v>0</v>
      </c>
      <c r="D12" s="325">
        <f>'[3]Air Choice One'!$GY$19</f>
        <v>148</v>
      </c>
      <c r="E12" s="326">
        <f>(C12-D12)/D12</f>
        <v>-1</v>
      </c>
      <c r="F12" s="325">
        <f>SUM('[3]Air Choice One'!$HD$19:$HM$19)</f>
        <v>264</v>
      </c>
      <c r="G12" s="325">
        <f>SUM('[3]Air Choice One'!$GP$19:$GY$19)</f>
        <v>1692</v>
      </c>
      <c r="H12" s="324">
        <f>(F12-G12)/G12</f>
        <v>-0.84397163120567376</v>
      </c>
      <c r="I12" s="326">
        <f>F12/$F$73</f>
        <v>1.1751038230934608E-3</v>
      </c>
      <c r="J12" s="322" t="s">
        <v>178</v>
      </c>
      <c r="K12" s="54"/>
      <c r="L12" s="323">
        <f>'[3]Air Choice One'!$HM$41</f>
        <v>0</v>
      </c>
      <c r="M12" s="325">
        <f>'[3]Air Choice One'!$GY$41</f>
        <v>231</v>
      </c>
      <c r="N12" s="326">
        <f>(L12-M12)/M12</f>
        <v>-1</v>
      </c>
      <c r="O12" s="323">
        <f>SUM('[3]Air Choice One'!$HD$41:$HM$41)</f>
        <v>471</v>
      </c>
      <c r="P12" s="325">
        <f>SUM('[3]Air Choice One'!$GP$41:$GY$41)</f>
        <v>3331</v>
      </c>
      <c r="Q12" s="324">
        <f>(O12-P12)/P12</f>
        <v>-0.85860102071450017</v>
      </c>
      <c r="R12" s="326">
        <f>O12/$O$73</f>
        <v>2.3721083571039407E-5</v>
      </c>
      <c r="S12" s="322" t="s">
        <v>178</v>
      </c>
      <c r="T12" s="54"/>
      <c r="U12" s="473">
        <f>'[3]Air Choice One'!$HM$64</f>
        <v>0</v>
      </c>
      <c r="V12" s="465">
        <f>'[3]Air Choice One'!$GY$64</f>
        <v>0</v>
      </c>
      <c r="W12" s="474" t="e">
        <f>(U12-V12)/V12</f>
        <v>#DIV/0!</v>
      </c>
      <c r="X12" s="473">
        <f>SUM('[3]Air Choice One'!$HD$64:$HM$64)</f>
        <v>0</v>
      </c>
      <c r="Y12" s="465">
        <f>SUM('[3]Air Choice One'!$GP$64:$GY$64)</f>
        <v>0</v>
      </c>
      <c r="Z12" s="475" t="e">
        <f>(X12-Y12)/Y12</f>
        <v>#DIV/0!</v>
      </c>
      <c r="AA12" s="474">
        <f>X12/$X$73</f>
        <v>0</v>
      </c>
    </row>
    <row r="13" spans="1:27" ht="14.1" customHeight="1" x14ac:dyDescent="0.2">
      <c r="A13" s="322"/>
      <c r="B13" s="54"/>
      <c r="C13" s="323"/>
      <c r="D13" s="325"/>
      <c r="E13" s="326"/>
      <c r="F13" s="325"/>
      <c r="G13" s="325"/>
      <c r="H13" s="324"/>
      <c r="I13" s="326"/>
      <c r="J13" s="322"/>
      <c r="K13" s="54"/>
      <c r="L13" s="327"/>
      <c r="M13" s="9"/>
      <c r="N13" s="84"/>
      <c r="O13" s="327"/>
      <c r="P13" s="9"/>
      <c r="Q13" s="38"/>
      <c r="R13" s="84"/>
      <c r="S13" s="322"/>
      <c r="T13" s="54"/>
      <c r="U13" s="449"/>
      <c r="V13" s="2"/>
      <c r="W13" s="83"/>
      <c r="X13" s="449"/>
      <c r="Y13" s="2"/>
      <c r="Z13" s="3"/>
      <c r="AA13" s="83"/>
    </row>
    <row r="14" spans="1:27" ht="14.1" customHeight="1" x14ac:dyDescent="0.2">
      <c r="A14" s="322" t="s">
        <v>156</v>
      </c>
      <c r="B14" s="54"/>
      <c r="C14" s="323">
        <f>'[3]Air France'!$HM$19</f>
        <v>0</v>
      </c>
      <c r="D14" s="325">
        <f>'[3]Air France'!$GY$19</f>
        <v>0</v>
      </c>
      <c r="E14" s="326" t="e">
        <f>(C14-D14)/D14</f>
        <v>#DIV/0!</v>
      </c>
      <c r="F14" s="325">
        <f>SUM('[3]Air France'!$HD$19:$HM$19)</f>
        <v>126</v>
      </c>
      <c r="G14" s="325">
        <f>SUM('[3]Air France'!$GP$19:$GY$19)</f>
        <v>0</v>
      </c>
      <c r="H14" s="324" t="e">
        <f>(F14-G14)/G14</f>
        <v>#DIV/0!</v>
      </c>
      <c r="I14" s="326">
        <f>F14/$F$73</f>
        <v>5.6084500647642446E-4</v>
      </c>
      <c r="J14" s="322" t="s">
        <v>156</v>
      </c>
      <c r="K14" s="54"/>
      <c r="L14" s="323">
        <f>'[3]Air France'!$HM$41</f>
        <v>0</v>
      </c>
      <c r="M14" s="325">
        <f>'[3]Air France'!$GY$41</f>
        <v>0</v>
      </c>
      <c r="N14" s="326" t="e">
        <f>(L14-M14)/M14</f>
        <v>#DIV/0!</v>
      </c>
      <c r="O14" s="323">
        <f>SUM('[3]Air France'!$HD$41:$HM$41)</f>
        <v>21245</v>
      </c>
      <c r="P14" s="325">
        <f>SUM('[3]Air France'!$GP$41:$GY$41)</f>
        <v>0</v>
      </c>
      <c r="Q14" s="324" t="e">
        <f>(O14-P14)/P14</f>
        <v>#DIV/0!</v>
      </c>
      <c r="R14" s="326">
        <f>O14/$O$73</f>
        <v>1.0699669224346756E-3</v>
      </c>
      <c r="S14" s="322" t="s">
        <v>156</v>
      </c>
      <c r="T14" s="54"/>
      <c r="U14" s="473">
        <f>'[3]Air France'!$HM$64</f>
        <v>0</v>
      </c>
      <c r="V14" s="465">
        <f>'[3]Air France'!$GY$64</f>
        <v>0</v>
      </c>
      <c r="W14" s="474" t="e">
        <f>(U14-V14)/V14</f>
        <v>#DIV/0!</v>
      </c>
      <c r="X14" s="473">
        <f>SUM('[3]Air France'!$HD$64:$HM$64)</f>
        <v>1840520</v>
      </c>
      <c r="Y14" s="465">
        <f>SUM('[3]Air France'!$GP$64:$GY$64)</f>
        <v>0</v>
      </c>
      <c r="Z14" s="475" t="e">
        <f>(X14-Y14)/Y14</f>
        <v>#DIV/0!</v>
      </c>
      <c r="AA14" s="474">
        <f>X14/$X$73</f>
        <v>3.6424348528761245E-2</v>
      </c>
    </row>
    <row r="15" spans="1:27" ht="14.1" customHeight="1" x14ac:dyDescent="0.2">
      <c r="A15" s="322"/>
      <c r="B15" s="54"/>
      <c r="C15" s="323"/>
      <c r="D15" s="325"/>
      <c r="E15" s="326"/>
      <c r="F15" s="325"/>
      <c r="G15" s="325"/>
      <c r="H15" s="324"/>
      <c r="I15" s="326"/>
      <c r="J15" s="322"/>
      <c r="K15" s="54"/>
      <c r="L15" s="327"/>
      <c r="M15" s="9"/>
      <c r="N15" s="84"/>
      <c r="O15" s="327"/>
      <c r="P15" s="9"/>
      <c r="Q15" s="38"/>
      <c r="R15" s="84"/>
      <c r="S15" s="322"/>
      <c r="T15" s="54"/>
      <c r="U15" s="449"/>
      <c r="V15" s="2"/>
      <c r="W15" s="83"/>
      <c r="X15" s="449"/>
      <c r="Y15" s="2"/>
      <c r="Z15" s="3"/>
      <c r="AA15" s="83"/>
    </row>
    <row r="16" spans="1:27" ht="14.1" customHeight="1" x14ac:dyDescent="0.2">
      <c r="A16" s="322" t="s">
        <v>248</v>
      </c>
      <c r="B16" s="54"/>
      <c r="C16" s="327">
        <f>'[3]Allegiant '!$HM$19</f>
        <v>64</v>
      </c>
      <c r="D16" s="9">
        <f>'[3]Allegiant '!$GY$19</f>
        <v>0</v>
      </c>
      <c r="E16" s="84" t="e">
        <f t="shared" ref="E16" si="9">(C16-D16)/D16</f>
        <v>#DIV/0!</v>
      </c>
      <c r="F16" s="9">
        <f>SUM('[3]Allegiant '!$HD$19:$HM$19)</f>
        <v>64</v>
      </c>
      <c r="G16" s="9">
        <f>SUM('[3]Allegiant '!$GP$19:$GY$19)</f>
        <v>0</v>
      </c>
      <c r="H16" s="38" t="e">
        <f t="shared" ref="H16" si="10">(F16-G16)/G16</f>
        <v>#DIV/0!</v>
      </c>
      <c r="I16" s="84">
        <f t="shared" ref="I16" si="11">F16/$F$73</f>
        <v>2.8487365408326324E-4</v>
      </c>
      <c r="J16" s="322" t="s">
        <v>248</v>
      </c>
      <c r="K16" s="54"/>
      <c r="L16" s="327">
        <f>'[3]Allegiant '!$HM$41</f>
        <v>4599</v>
      </c>
      <c r="M16" s="9">
        <f>'[3]Allegiant '!$GY$41</f>
        <v>0</v>
      </c>
      <c r="N16" s="84" t="e">
        <f t="shared" ref="N16" si="12">(L16-M16)/M16</f>
        <v>#DIV/0!</v>
      </c>
      <c r="O16" s="327">
        <f>SUM('[3]Allegiant '!$HD$41:$HM$41)</f>
        <v>4599</v>
      </c>
      <c r="P16" s="9">
        <f>SUM('[3]Allegiant '!$GP$41:$GY$41)</f>
        <v>0</v>
      </c>
      <c r="Q16" s="38" t="e">
        <f t="shared" ref="Q16" si="13">(O16-P16)/P16</f>
        <v>#DIV/0!</v>
      </c>
      <c r="R16" s="84">
        <f t="shared" ref="R16" si="14">O16/$O$73</f>
        <v>2.3162051665225102E-4</v>
      </c>
      <c r="S16" s="322" t="s">
        <v>248</v>
      </c>
      <c r="T16" s="54"/>
      <c r="U16" s="449">
        <f>'[3]Allegiant '!$HM$64</f>
        <v>0</v>
      </c>
      <c r="V16" s="2">
        <f>'[3]Allegiant '!$GY$64</f>
        <v>0</v>
      </c>
      <c r="W16" s="83" t="e">
        <f t="shared" ref="W16" si="15">(U16-V16)/V16</f>
        <v>#DIV/0!</v>
      </c>
      <c r="X16" s="449">
        <f>SUM('[3]Allegiant '!$HD$64:$HM$64)</f>
        <v>0</v>
      </c>
      <c r="Y16" s="2">
        <f>SUM('[3]Allegiant '!$GP$64:$GY$64)</f>
        <v>0</v>
      </c>
      <c r="Z16" s="3" t="e">
        <f t="shared" ref="Z16" si="16">(X16-Y16)/Y16</f>
        <v>#DIV/0!</v>
      </c>
      <c r="AA16" s="83">
        <f t="shared" ref="AA16" si="17">X16/$X$73</f>
        <v>0</v>
      </c>
    </row>
    <row r="17" spans="1:27" ht="14.1" customHeight="1" x14ac:dyDescent="0.2">
      <c r="A17" s="322"/>
      <c r="B17" s="54"/>
      <c r="C17" s="323"/>
      <c r="D17" s="325"/>
      <c r="E17" s="326"/>
      <c r="F17" s="325"/>
      <c r="G17" s="325"/>
      <c r="H17" s="324"/>
      <c r="I17" s="326"/>
      <c r="J17" s="322"/>
      <c r="K17" s="54"/>
      <c r="L17" s="327"/>
      <c r="M17" s="9"/>
      <c r="N17" s="84"/>
      <c r="O17" s="327"/>
      <c r="P17" s="9"/>
      <c r="Q17" s="38"/>
      <c r="R17" s="84"/>
      <c r="S17" s="322"/>
      <c r="T17" s="54"/>
      <c r="U17" s="449"/>
      <c r="V17" s="2"/>
      <c r="W17" s="83"/>
      <c r="X17" s="449"/>
      <c r="Y17" s="2"/>
      <c r="Z17" s="3"/>
      <c r="AA17" s="83"/>
    </row>
    <row r="18" spans="1:27" ht="14.1" customHeight="1" x14ac:dyDescent="0.2">
      <c r="A18" s="322" t="s">
        <v>128</v>
      </c>
      <c r="B18" s="54"/>
      <c r="C18" s="323">
        <f>SUM(C19:C21)</f>
        <v>187</v>
      </c>
      <c r="D18" s="325">
        <f>SUM(D19:D21)</f>
        <v>124</v>
      </c>
      <c r="E18" s="326">
        <f>(C18-D18)/D18</f>
        <v>0.50806451612903225</v>
      </c>
      <c r="F18" s="325">
        <f>SUM(F19:F21)</f>
        <v>1565</v>
      </c>
      <c r="G18" s="325">
        <f>SUM(G19:G21)</f>
        <v>1376</v>
      </c>
      <c r="H18" s="324">
        <f>(F18-G18)/G18</f>
        <v>0.13735465116279069</v>
      </c>
      <c r="I18" s="326">
        <f>F18/$F$73</f>
        <v>6.9660510725047965E-3</v>
      </c>
      <c r="J18" s="322" t="s">
        <v>128</v>
      </c>
      <c r="K18" s="54"/>
      <c r="L18" s="323">
        <f>SUM(L19:L21)</f>
        <v>22974</v>
      </c>
      <c r="M18" s="325">
        <f>SUM(M19:M21)</f>
        <v>9543</v>
      </c>
      <c r="N18" s="326">
        <f>(L18-M18)/M18</f>
        <v>1.4074190506130149</v>
      </c>
      <c r="O18" s="323">
        <f>SUM(O19:O21)</f>
        <v>190506</v>
      </c>
      <c r="P18" s="325">
        <f>SUM(P19:P21)</f>
        <v>97215</v>
      </c>
      <c r="Q18" s="324">
        <f>(O18-P18)/P18</f>
        <v>0.95963585866378642</v>
      </c>
      <c r="R18" s="326">
        <f>O18/$O$73</f>
        <v>9.5944984008162065E-3</v>
      </c>
      <c r="S18" s="322" t="s">
        <v>128</v>
      </c>
      <c r="T18" s="54"/>
      <c r="U18" s="473">
        <f>SUM(U19:U21)</f>
        <v>24573</v>
      </c>
      <c r="V18" s="465">
        <f>SUM(V19:V21)</f>
        <v>27186</v>
      </c>
      <c r="W18" s="474">
        <f>(U18-V18)/V18</f>
        <v>-9.611564775987641E-2</v>
      </c>
      <c r="X18" s="473">
        <f>SUM(X19:X21)</f>
        <v>275827</v>
      </c>
      <c r="Y18" s="465">
        <f>SUM(Y19:Y21)</f>
        <v>319301</v>
      </c>
      <c r="Z18" s="475">
        <f>(X18-Y18)/Y18</f>
        <v>-0.13615366065248777</v>
      </c>
      <c r="AA18" s="474">
        <f>X18/$X$73</f>
        <v>5.4586849268916547E-3</v>
      </c>
    </row>
    <row r="19" spans="1:27" ht="14.1" customHeight="1" x14ac:dyDescent="0.2">
      <c r="A19" s="322"/>
      <c r="B19" s="396" t="s">
        <v>128</v>
      </c>
      <c r="C19" s="402">
        <f>[3]Alaska!$HM$19</f>
        <v>127</v>
      </c>
      <c r="D19" s="267">
        <f>[3]Alaska!$GY$19</f>
        <v>124</v>
      </c>
      <c r="E19" s="404">
        <f>(C19-D19)/D19</f>
        <v>2.4193548387096774E-2</v>
      </c>
      <c r="F19" s="267">
        <f>SUM([3]Alaska!$HD$19:$HM$19)</f>
        <v>1151</v>
      </c>
      <c r="G19" s="267">
        <f>SUM([3]Alaska!$GP$19:$GY$19)</f>
        <v>1152</v>
      </c>
      <c r="H19" s="403">
        <f>(F19-G19)/G19</f>
        <v>-8.6805555555555551E-4</v>
      </c>
      <c r="I19" s="404">
        <f>F19/$F$73</f>
        <v>5.123274622653687E-3</v>
      </c>
      <c r="J19" s="322"/>
      <c r="K19" s="396" t="s">
        <v>128</v>
      </c>
      <c r="L19" s="402">
        <f>[3]Alaska!$HM$41</f>
        <v>18842</v>
      </c>
      <c r="M19" s="267">
        <f>[3]Alaska!$GY$41</f>
        <v>9543</v>
      </c>
      <c r="N19" s="404">
        <f>(L19-M19)/M19</f>
        <v>0.97443152048622028</v>
      </c>
      <c r="O19" s="402">
        <f>SUM([3]Alaska!$HD$41:$HM$41)</f>
        <v>157574</v>
      </c>
      <c r="P19" s="267">
        <f>SUM([3]Alaska!$GP$41:$GY$41)</f>
        <v>84856</v>
      </c>
      <c r="Q19" s="403">
        <f>(O19-P19)/P19</f>
        <v>0.85695766946356178</v>
      </c>
      <c r="R19" s="404">
        <f>O19/$O$73</f>
        <v>7.9359363537642533E-3</v>
      </c>
      <c r="S19" s="322"/>
      <c r="T19" s="396" t="s">
        <v>128</v>
      </c>
      <c r="U19" s="502">
        <f>[3]Alaska!$HM$64</f>
        <v>21056</v>
      </c>
      <c r="V19" s="283">
        <f>[3]Alaska!$GY$64</f>
        <v>27186</v>
      </c>
      <c r="W19" s="503">
        <f>(U19-V19)/V19</f>
        <v>-0.22548370484808358</v>
      </c>
      <c r="X19" s="502">
        <f>SUM([3]Alaska!$HD$64:$HM$64)</f>
        <v>250699</v>
      </c>
      <c r="Y19" s="283">
        <f>SUM([3]Alaska!$GP$64:$GY$64)</f>
        <v>306394</v>
      </c>
      <c r="Z19" s="486">
        <f>(X19-Y19)/Y19</f>
        <v>-0.18177575278889274</v>
      </c>
      <c r="AA19" s="503">
        <f>X19/$X$73</f>
        <v>4.9613955576749596E-3</v>
      </c>
    </row>
    <row r="20" spans="1:27" ht="14.1" customHeight="1" x14ac:dyDescent="0.2">
      <c r="A20" s="322"/>
      <c r="B20" s="396" t="s">
        <v>97</v>
      </c>
      <c r="C20" s="327">
        <f>'[3]Sky West_AS'!$HM$19</f>
        <v>48</v>
      </c>
      <c r="D20" s="9">
        <f>'[3]Sky West_AS'!$GY$19</f>
        <v>0</v>
      </c>
      <c r="E20" s="84" t="e">
        <f>(C20-D20)/D20</f>
        <v>#DIV/0!</v>
      </c>
      <c r="F20" s="9">
        <f>SUM('[3]Sky West_AS'!$HD$19:$HM$19)</f>
        <v>48</v>
      </c>
      <c r="G20" s="9">
        <f>SUM('[3]Sky West_AS'!$GP$19:$GY$19)</f>
        <v>40</v>
      </c>
      <c r="H20" s="38">
        <f>(F20-G20)/G20</f>
        <v>0.2</v>
      </c>
      <c r="I20" s="84">
        <f>F20/$F$73</f>
        <v>2.1365524056244742E-4</v>
      </c>
      <c r="J20" s="322"/>
      <c r="K20" s="396" t="s">
        <v>97</v>
      </c>
      <c r="L20" s="327">
        <f>'[3]Sky West_AS'!$HM$41</f>
        <v>3367</v>
      </c>
      <c r="M20" s="9">
        <f>'[3]Sky West_AS'!$GY$41</f>
        <v>0</v>
      </c>
      <c r="N20" s="84" t="e">
        <f>(L20-M20)/M20</f>
        <v>#DIV/0!</v>
      </c>
      <c r="O20" s="327">
        <f>SUM('[3]Sky West_AS'!$HD$41:$HM$41)</f>
        <v>3367</v>
      </c>
      <c r="P20" s="9">
        <f>SUM('[3]Sky West_AS'!$GP$41:$GY$41)</f>
        <v>1379</v>
      </c>
      <c r="Q20" s="38">
        <f>(O20-P20)/P20</f>
        <v>1.4416243654822336</v>
      </c>
      <c r="R20" s="404">
        <f>O20/$O$73</f>
        <v>1.6957301143033903E-4</v>
      </c>
      <c r="S20" s="322"/>
      <c r="T20" s="396" t="s">
        <v>97</v>
      </c>
      <c r="U20" s="449">
        <f>'[3]Sky West_AS'!$HM$64</f>
        <v>2797</v>
      </c>
      <c r="V20" s="2">
        <f>'[3]Sky West_AS'!$GY$64</f>
        <v>0</v>
      </c>
      <c r="W20" s="83" t="e">
        <f>(U20-V20)/V20</f>
        <v>#DIV/0!</v>
      </c>
      <c r="X20" s="449">
        <f>SUM('[3]Sky West_AS'!$HD$64:$HM$64)</f>
        <v>2797</v>
      </c>
      <c r="Y20" s="2">
        <f>SUM('[3]Sky West_AS'!$GP$64:$GY$64)</f>
        <v>286</v>
      </c>
      <c r="Z20" s="3">
        <f>(X20-Y20)/Y20</f>
        <v>8.77972027972028</v>
      </c>
      <c r="AA20" s="503">
        <f>X20/$X$73</f>
        <v>5.5353325600887361E-5</v>
      </c>
    </row>
    <row r="21" spans="1:27" ht="14.1" customHeight="1" x14ac:dyDescent="0.2">
      <c r="A21" s="322"/>
      <c r="B21" s="396" t="s">
        <v>193</v>
      </c>
      <c r="C21" s="327">
        <f>[3]Horizon_AS!$HM$19</f>
        <v>12</v>
      </c>
      <c r="D21" s="9">
        <f>[3]Horizon_AS!$GY$19</f>
        <v>0</v>
      </c>
      <c r="E21" s="84" t="e">
        <f>(C21-D21)/D21</f>
        <v>#DIV/0!</v>
      </c>
      <c r="F21" s="9">
        <f>SUM([3]Horizon_AS!$HD$19:$HM$19)</f>
        <v>366</v>
      </c>
      <c r="G21" s="9">
        <f>SUM([3]Horizon_AS!$GP$19:$GY$19)</f>
        <v>184</v>
      </c>
      <c r="H21" s="38">
        <f>(F21-G21)/G21</f>
        <v>0.98913043478260865</v>
      </c>
      <c r="I21" s="84">
        <f>F21/$F$73</f>
        <v>1.6291212092886616E-3</v>
      </c>
      <c r="J21" s="322"/>
      <c r="K21" s="396" t="s">
        <v>193</v>
      </c>
      <c r="L21" s="327">
        <f>[3]Horizon_AS!$HM$41</f>
        <v>765</v>
      </c>
      <c r="M21" s="9">
        <f>[3]Horizon_AS!$GY$41</f>
        <v>0</v>
      </c>
      <c r="N21" s="84" t="e">
        <f>(L21-M21)/M21</f>
        <v>#DIV/0!</v>
      </c>
      <c r="O21" s="327">
        <f>SUM([3]Horizon_AS!$HD$41:$HM$41)</f>
        <v>29565</v>
      </c>
      <c r="P21" s="9">
        <f>SUM([3]Horizon_AS!$GP$41:$GY$41)</f>
        <v>10980</v>
      </c>
      <c r="Q21" s="38">
        <f>(O21-P21)/P21</f>
        <v>1.6926229508196722</v>
      </c>
      <c r="R21" s="404">
        <f>O21/$O$73</f>
        <v>1.4889890356216138E-3</v>
      </c>
      <c r="S21" s="322"/>
      <c r="T21" s="396" t="s">
        <v>193</v>
      </c>
      <c r="U21" s="449">
        <f>[3]Horizon_AS!$HM$64</f>
        <v>720</v>
      </c>
      <c r="V21" s="2">
        <f>[3]Horizon_AS!$GY$64</f>
        <v>0</v>
      </c>
      <c r="W21" s="83" t="e">
        <f>(U21-V21)/V21</f>
        <v>#DIV/0!</v>
      </c>
      <c r="X21" s="449">
        <f>SUM([3]Horizon_AS!$HD$64:$HM$64)</f>
        <v>22331</v>
      </c>
      <c r="Y21" s="2">
        <f>SUM([3]Horizon_AS!$GP$64:$GY$64)</f>
        <v>12621</v>
      </c>
      <c r="Z21" s="3">
        <f>(X21-Y21)/Y21</f>
        <v>0.76935266619126852</v>
      </c>
      <c r="AA21" s="503">
        <f>X21/$X$73</f>
        <v>4.4193604361580826E-4</v>
      </c>
    </row>
    <row r="22" spans="1:27" ht="14.1" customHeight="1" x14ac:dyDescent="0.2">
      <c r="A22" s="322"/>
      <c r="B22" s="54"/>
      <c r="C22" s="323"/>
      <c r="D22" s="328"/>
      <c r="E22" s="326"/>
      <c r="F22" s="328"/>
      <c r="G22" s="328"/>
      <c r="H22" s="324"/>
      <c r="I22" s="326"/>
      <c r="J22" s="322"/>
      <c r="K22" s="54"/>
      <c r="L22" s="329"/>
      <c r="M22" s="144"/>
      <c r="N22" s="84"/>
      <c r="O22" s="329"/>
      <c r="P22" s="144"/>
      <c r="Q22" s="38"/>
      <c r="R22" s="84"/>
      <c r="S22" s="322"/>
      <c r="T22" s="54"/>
      <c r="U22" s="167"/>
      <c r="V22" s="128"/>
      <c r="W22" s="83"/>
      <c r="X22" s="167"/>
      <c r="Y22" s="128"/>
      <c r="Z22" s="3"/>
      <c r="AA22" s="83"/>
    </row>
    <row r="23" spans="1:27" ht="14.1" customHeight="1" x14ac:dyDescent="0.2">
      <c r="A23" s="322" t="s">
        <v>17</v>
      </c>
      <c r="B23" s="335"/>
      <c r="C23" s="323">
        <f>SUM(C24:C30)</f>
        <v>1255</v>
      </c>
      <c r="D23" s="325">
        <f>SUM(D24:D30)</f>
        <v>799</v>
      </c>
      <c r="E23" s="326">
        <f t="shared" ref="E23:E30" si="18">(C23-D23)/D23</f>
        <v>0.57071339173967461</v>
      </c>
      <c r="F23" s="323">
        <f>SUM(F24:F30)</f>
        <v>10408</v>
      </c>
      <c r="G23" s="325">
        <f>SUM(G24:G30)</f>
        <v>9449</v>
      </c>
      <c r="H23" s="324">
        <f t="shared" ref="H23:H30" si="19">(F23-G23)/G23</f>
        <v>0.10149222139908985</v>
      </c>
      <c r="I23" s="326">
        <f t="shared" ref="I23:I30" si="20">F23/$F$73</f>
        <v>4.6327577995290685E-2</v>
      </c>
      <c r="J23" s="322" t="s">
        <v>17</v>
      </c>
      <c r="K23" s="330"/>
      <c r="L23" s="323">
        <f>SUM(L24:L30)</f>
        <v>137543</v>
      </c>
      <c r="M23" s="325">
        <f>SUM(M24:M30)</f>
        <v>80478</v>
      </c>
      <c r="N23" s="326">
        <f t="shared" ref="N23:N30" si="21">(L23-M23)/M23</f>
        <v>0.70907577226074203</v>
      </c>
      <c r="O23" s="323">
        <f>SUM(O24:O30)</f>
        <v>1084631</v>
      </c>
      <c r="P23" s="325">
        <f>SUM(P24:P30)</f>
        <v>782030</v>
      </c>
      <c r="Q23" s="324">
        <f t="shared" ref="Q23:Q30" si="22">(O23-P23)/P23</f>
        <v>0.38694295615257729</v>
      </c>
      <c r="R23" s="326">
        <f t="shared" ref="R23:R30" si="23">O23/$O$73</f>
        <v>5.4625525678853593E-2</v>
      </c>
      <c r="S23" s="322" t="s">
        <v>17</v>
      </c>
      <c r="T23" s="330"/>
      <c r="U23" s="473">
        <f>SUM(U24:U30)</f>
        <v>122728</v>
      </c>
      <c r="V23" s="465">
        <f>SUM(V24:V30)</f>
        <v>151118</v>
      </c>
      <c r="W23" s="474">
        <f t="shared" ref="W23:W27" si="24">(U23-V23)/V23</f>
        <v>-0.18786643550073454</v>
      </c>
      <c r="X23" s="473">
        <f>SUM(X24:X30)</f>
        <v>1389585</v>
      </c>
      <c r="Y23" s="465">
        <f>SUM(Y24:Y30)</f>
        <v>1842498</v>
      </c>
      <c r="Z23" s="475">
        <f t="shared" ref="Z23:Z27" si="25">(X23-Y23)/Y23</f>
        <v>-0.24581464945959236</v>
      </c>
      <c r="AA23" s="474">
        <f t="shared" ref="AA23:AA30" si="26">X23/$X$73</f>
        <v>2.7500232733324657E-2</v>
      </c>
    </row>
    <row r="24" spans="1:27" ht="14.1" customHeight="1" x14ac:dyDescent="0.2">
      <c r="A24" s="52"/>
      <c r="B24" s="332" t="s">
        <v>17</v>
      </c>
      <c r="C24" s="327">
        <f>[3]American!$HM$19</f>
        <v>776</v>
      </c>
      <c r="D24" s="9">
        <f>[3]American!$GY$19</f>
        <v>531</v>
      </c>
      <c r="E24" s="84">
        <f t="shared" si="18"/>
        <v>0.46139359698681731</v>
      </c>
      <c r="F24" s="9">
        <f>SUM([3]American!$HD$19:$HM$19)</f>
        <v>6503</v>
      </c>
      <c r="G24" s="9">
        <f>SUM([3]American!$GP$19:$GY$19)</f>
        <v>5917</v>
      </c>
      <c r="H24" s="38">
        <f t="shared" si="19"/>
        <v>9.9036673990197735E-2</v>
      </c>
      <c r="I24" s="84">
        <f t="shared" si="20"/>
        <v>2.8945833945366574E-2</v>
      </c>
      <c r="J24" s="52"/>
      <c r="K24" s="331" t="s">
        <v>17</v>
      </c>
      <c r="L24" s="327">
        <f>[3]American!$HM$41</f>
        <v>109771</v>
      </c>
      <c r="M24" s="9">
        <f>[3]American!$GY$41</f>
        <v>65778</v>
      </c>
      <c r="N24" s="84">
        <f t="shared" si="21"/>
        <v>0.66881024050594429</v>
      </c>
      <c r="O24" s="327">
        <f>SUM([3]American!$HD$41:$HM$41)</f>
        <v>847212</v>
      </c>
      <c r="P24" s="9">
        <f>SUM([3]American!$GP$41:$GY$41)</f>
        <v>611395</v>
      </c>
      <c r="Q24" s="38">
        <f t="shared" si="22"/>
        <v>0.38570318697405115</v>
      </c>
      <c r="R24" s="84">
        <f t="shared" si="23"/>
        <v>4.2668336845833203E-2</v>
      </c>
      <c r="S24" s="52"/>
      <c r="T24" s="54" t="s">
        <v>17</v>
      </c>
      <c r="U24" s="449">
        <f>[3]American!$HM$64</f>
        <v>122343</v>
      </c>
      <c r="V24" s="2">
        <f>[3]American!$GY$64</f>
        <v>150049</v>
      </c>
      <c r="W24" s="83">
        <f t="shared" si="24"/>
        <v>-0.18464634885937262</v>
      </c>
      <c r="X24" s="449">
        <f>SUM([3]American!$HD$64:$HM$64)</f>
        <v>1371523</v>
      </c>
      <c r="Y24" s="2">
        <f>SUM([3]American!$GP$64:$GY$64)</f>
        <v>1829099</v>
      </c>
      <c r="Z24" s="3">
        <f t="shared" si="25"/>
        <v>-0.2501646985756375</v>
      </c>
      <c r="AA24" s="83">
        <f t="shared" si="26"/>
        <v>2.7142781261389286E-2</v>
      </c>
    </row>
    <row r="25" spans="1:27" ht="14.1" customHeight="1" x14ac:dyDescent="0.2">
      <c r="A25" s="52"/>
      <c r="B25" s="397" t="s">
        <v>165</v>
      </c>
      <c r="C25" s="327">
        <f>'[3]American Eagle'!$HM$19</f>
        <v>28</v>
      </c>
      <c r="D25" s="9">
        <f>'[3]American Eagle'!$GY$19</f>
        <v>31</v>
      </c>
      <c r="E25" s="84">
        <f t="shared" si="18"/>
        <v>-9.6774193548387094E-2</v>
      </c>
      <c r="F25" s="9">
        <f>SUM('[3]American Eagle'!$HD$19:$HM$19)</f>
        <v>1434</v>
      </c>
      <c r="G25" s="9">
        <f>SUM('[3]American Eagle'!$GP$19:$GY$19)</f>
        <v>804</v>
      </c>
      <c r="H25" s="38">
        <f t="shared" si="19"/>
        <v>0.78358208955223885</v>
      </c>
      <c r="I25" s="84">
        <f t="shared" si="20"/>
        <v>6.3829503118031164E-3</v>
      </c>
      <c r="J25" s="52"/>
      <c r="K25" s="395" t="s">
        <v>165</v>
      </c>
      <c r="L25" s="327">
        <f>'[3]American Eagle'!$HM$41</f>
        <v>1694</v>
      </c>
      <c r="M25" s="9">
        <f>'[3]American Eagle'!$GY$41</f>
        <v>2022</v>
      </c>
      <c r="N25" s="84">
        <f t="shared" si="21"/>
        <v>-0.16221562809099901</v>
      </c>
      <c r="O25" s="327">
        <f>SUM('[3]American Eagle'!$HD$41:$HM$41)</f>
        <v>92115</v>
      </c>
      <c r="P25" s="9">
        <f>SUM('[3]American Eagle'!$GP$41:$GY$41)</f>
        <v>45852</v>
      </c>
      <c r="Q25" s="38">
        <f t="shared" si="22"/>
        <v>1.0089636220884586</v>
      </c>
      <c r="R25" s="84">
        <f t="shared" si="23"/>
        <v>4.6392093697373571E-3</v>
      </c>
      <c r="S25" s="52"/>
      <c r="T25" s="396" t="s">
        <v>165</v>
      </c>
      <c r="U25" s="449">
        <f>'[3]American Eagle'!$HM$64</f>
        <v>56</v>
      </c>
      <c r="V25" s="2">
        <f>'[3]American Eagle'!$GY$64</f>
        <v>172</v>
      </c>
      <c r="W25" s="83">
        <f t="shared" si="24"/>
        <v>-0.67441860465116277</v>
      </c>
      <c r="X25" s="449">
        <f>SUM('[3]American Eagle'!$HD$64:$HM$64)</f>
        <v>11384</v>
      </c>
      <c r="Y25" s="2">
        <f>SUM('[3]American Eagle'!$GP$64:$GY$64)</f>
        <v>6130</v>
      </c>
      <c r="Z25" s="3">
        <f t="shared" si="25"/>
        <v>0.85709624796084827</v>
      </c>
      <c r="AA25" s="83">
        <f t="shared" si="26"/>
        <v>2.2529219114783759E-4</v>
      </c>
    </row>
    <row r="26" spans="1:27" ht="14.1" customHeight="1" x14ac:dyDescent="0.2">
      <c r="A26" s="52"/>
      <c r="B26" s="397" t="s">
        <v>52</v>
      </c>
      <c r="C26" s="327">
        <f>[3]Republic!$HM$19</f>
        <v>253</v>
      </c>
      <c r="D26" s="9">
        <f>[3]Republic!$GY$19</f>
        <v>237</v>
      </c>
      <c r="E26" s="84">
        <f t="shared" si="18"/>
        <v>6.7510548523206745E-2</v>
      </c>
      <c r="F26" s="9">
        <f>SUM([3]Republic!$HD$19:$HM$19)</f>
        <v>1683</v>
      </c>
      <c r="G26" s="9">
        <f>SUM([3]Republic!$GP$19:$GY$19)</f>
        <v>2424</v>
      </c>
      <c r="H26" s="38">
        <f t="shared" si="19"/>
        <v>-0.30569306930693069</v>
      </c>
      <c r="I26" s="84">
        <f t="shared" si="20"/>
        <v>7.4912868722208127E-3</v>
      </c>
      <c r="J26" s="337"/>
      <c r="K26" s="333" t="s">
        <v>52</v>
      </c>
      <c r="L26" s="327">
        <f>[3]Republic!$HM$41</f>
        <v>14482</v>
      </c>
      <c r="M26" s="9">
        <f>[3]Republic!$GY$41</f>
        <v>12678</v>
      </c>
      <c r="N26" s="84">
        <f t="shared" si="21"/>
        <v>0.14229373718252089</v>
      </c>
      <c r="O26" s="327">
        <f>SUM([3]Republic!$HD$41:$HM$41)</f>
        <v>101603</v>
      </c>
      <c r="P26" s="9">
        <f>SUM([3]Republic!$GP$41:$GY$41)</f>
        <v>108783</v>
      </c>
      <c r="Q26" s="38">
        <f t="shared" si="22"/>
        <v>-6.6002960021326856E-2</v>
      </c>
      <c r="R26" s="84">
        <f t="shared" si="23"/>
        <v>5.1170557411216924E-3</v>
      </c>
      <c r="S26" s="52"/>
      <c r="T26" s="398" t="s">
        <v>52</v>
      </c>
      <c r="U26" s="449">
        <f>[3]Republic!$HM$64</f>
        <v>181</v>
      </c>
      <c r="V26" s="2">
        <f>[3]Republic!$GY$64</f>
        <v>897</v>
      </c>
      <c r="W26" s="83">
        <f t="shared" si="24"/>
        <v>-0.79821627647714599</v>
      </c>
      <c r="X26" s="449">
        <f>SUM([3]Republic!$HD$64:$HM$64)</f>
        <v>4766</v>
      </c>
      <c r="Y26" s="2">
        <f>SUM([3]Republic!$GP$64:$GY$64)</f>
        <v>6625</v>
      </c>
      <c r="Z26" s="3">
        <f t="shared" si="25"/>
        <v>-0.28060377358490568</v>
      </c>
      <c r="AA26" s="83">
        <f t="shared" si="26"/>
        <v>9.4320325282026878E-5</v>
      </c>
    </row>
    <row r="27" spans="1:27" ht="14.1" customHeight="1" x14ac:dyDescent="0.2">
      <c r="A27" s="52"/>
      <c r="B27" s="397" t="s">
        <v>182</v>
      </c>
      <c r="C27" s="327">
        <f>[3]PSA!$HM$19</f>
        <v>100</v>
      </c>
      <c r="D27" s="9">
        <f>[3]PSA!$GY$19</f>
        <v>0</v>
      </c>
      <c r="E27" s="84" t="e">
        <f t="shared" si="18"/>
        <v>#DIV/0!</v>
      </c>
      <c r="F27" s="9">
        <f>SUM([3]PSA!$HD$19:$HM$19)</f>
        <v>240</v>
      </c>
      <c r="G27" s="9">
        <f>SUM([3]PSA!$GP$19:$GY$19)</f>
        <v>0</v>
      </c>
      <c r="H27" s="38" t="e">
        <f t="shared" si="19"/>
        <v>#DIV/0!</v>
      </c>
      <c r="I27" s="84">
        <f t="shared" si="20"/>
        <v>1.068276202812237E-3</v>
      </c>
      <c r="J27" s="337"/>
      <c r="K27" s="397" t="s">
        <v>182</v>
      </c>
      <c r="L27" s="327">
        <f>[3]PSA!$HM$41</f>
        <v>6235</v>
      </c>
      <c r="M27" s="9">
        <f>[3]PSA!$GY$41</f>
        <v>0</v>
      </c>
      <c r="N27" s="84" t="e">
        <f t="shared" si="21"/>
        <v>#DIV/0!</v>
      </c>
      <c r="O27" s="327">
        <f>SUM([3]PSA!$HD$41:$HM$41)</f>
        <v>13416</v>
      </c>
      <c r="P27" s="9">
        <f>SUM([3]PSA!$GP$41:$GY$41)</f>
        <v>0</v>
      </c>
      <c r="Q27" s="38" t="e">
        <f t="shared" si="22"/>
        <v>#DIV/0!</v>
      </c>
      <c r="R27" s="84">
        <f t="shared" si="23"/>
        <v>6.7567315751393777E-4</v>
      </c>
      <c r="S27" s="52"/>
      <c r="T27" s="396" t="s">
        <v>182</v>
      </c>
      <c r="U27" s="449">
        <f>[3]PSA!$HM$64</f>
        <v>0</v>
      </c>
      <c r="V27" s="2">
        <f>[3]PSA!$GY$64</f>
        <v>0</v>
      </c>
      <c r="W27" s="83" t="e">
        <f t="shared" si="24"/>
        <v>#DIV/0!</v>
      </c>
      <c r="X27" s="449">
        <f>SUM([3]PSA!$HD$64:$HM$64)</f>
        <v>31</v>
      </c>
      <c r="Y27" s="2">
        <f>SUM([3]PSA!$GP$64:$GY$64)</f>
        <v>0</v>
      </c>
      <c r="Z27" s="3" t="e">
        <f t="shared" si="25"/>
        <v>#DIV/0!</v>
      </c>
      <c r="AA27" s="83">
        <f t="shared" si="26"/>
        <v>6.1349770955577694E-7</v>
      </c>
    </row>
    <row r="28" spans="1:27" ht="14.1" customHeight="1" x14ac:dyDescent="0.2">
      <c r="A28" s="52"/>
      <c r="B28" s="396" t="s">
        <v>97</v>
      </c>
      <c r="C28" s="327">
        <f>'[3]Sky West_AA'!$HM$19</f>
        <v>98</v>
      </c>
      <c r="D28" s="9">
        <f>'[3]Sky West_AA'!$GY$19</f>
        <v>0</v>
      </c>
      <c r="E28" s="84" t="e">
        <f>(C28-D28)/D28</f>
        <v>#DIV/0!</v>
      </c>
      <c r="F28" s="9">
        <f>SUM('[3]Sky West_AA'!$HD$19:$HM$19)</f>
        <v>548</v>
      </c>
      <c r="G28" s="9">
        <f>SUM('[3]Sky West_AA'!$GP$19:$GY$19)</f>
        <v>298</v>
      </c>
      <c r="H28" s="38">
        <f>(F28-G28)/G28</f>
        <v>0.83892617449664431</v>
      </c>
      <c r="I28" s="84">
        <f t="shared" si="20"/>
        <v>2.4392306630879415E-3</v>
      </c>
      <c r="J28" s="337"/>
      <c r="K28" s="396" t="s">
        <v>97</v>
      </c>
      <c r="L28" s="327">
        <f>'[3]Sky West_AA'!$HM$41</f>
        <v>5361</v>
      </c>
      <c r="M28" s="9">
        <f>'[3]Sky West_AA'!$GY$41</f>
        <v>0</v>
      </c>
      <c r="N28" s="84" t="e">
        <f>(L28-M28)/M28</f>
        <v>#DIV/0!</v>
      </c>
      <c r="O28" s="327">
        <f>SUM('[3]Sky West_AA'!$HD$41:$HM$41)</f>
        <v>30285</v>
      </c>
      <c r="P28" s="9">
        <f>SUM('[3]Sky West_AA'!$GP$41:$GY$41)</f>
        <v>15806</v>
      </c>
      <c r="Q28" s="38">
        <f>(O28-P28)/P28</f>
        <v>0.916044540048083</v>
      </c>
      <c r="R28" s="404">
        <f t="shared" si="23"/>
        <v>1.5252505646474064E-3</v>
      </c>
      <c r="S28" s="52"/>
      <c r="T28" s="396" t="s">
        <v>97</v>
      </c>
      <c r="U28" s="449">
        <f>'[3]Sky West_AA'!$HM$64</f>
        <v>148</v>
      </c>
      <c r="V28" s="2">
        <f>'[3]Sky West_AA'!$GY$64</f>
        <v>0</v>
      </c>
      <c r="W28" s="83" t="e">
        <f>(U28-V28)/V28</f>
        <v>#DIV/0!</v>
      </c>
      <c r="X28" s="449">
        <f>SUM('[3]Sky West_AA'!$HD$64:$HM$64)</f>
        <v>1881</v>
      </c>
      <c r="Y28" s="2">
        <f>SUM('[3]Sky West_AA'!$GP$64:$GY$64)</f>
        <v>644</v>
      </c>
      <c r="Z28" s="3">
        <f>(X28-Y28)/Y28</f>
        <v>1.920807453416149</v>
      </c>
      <c r="AA28" s="503">
        <f t="shared" si="26"/>
        <v>3.7225457795948919E-5</v>
      </c>
    </row>
    <row r="29" spans="1:27" ht="14.1" customHeight="1" x14ac:dyDescent="0.2">
      <c r="A29" s="52"/>
      <c r="B29" s="397" t="s">
        <v>51</v>
      </c>
      <c r="C29" s="327">
        <f>[3]MESA!$HM$19</f>
        <v>0</v>
      </c>
      <c r="D29" s="9">
        <f>[3]MESA!$GY$19</f>
        <v>0</v>
      </c>
      <c r="E29" s="84" t="e">
        <f t="shared" si="18"/>
        <v>#DIV/0!</v>
      </c>
      <c r="F29" s="9">
        <f>SUM([3]MESA!$HD$19:$HM$19)</f>
        <v>0</v>
      </c>
      <c r="G29" s="9">
        <f>SUM([3]MESA!$GP$19:$GY$19)</f>
        <v>0</v>
      </c>
      <c r="H29" s="38" t="e">
        <f t="shared" si="19"/>
        <v>#DIV/0!</v>
      </c>
      <c r="I29" s="84">
        <f t="shared" si="20"/>
        <v>0</v>
      </c>
      <c r="J29" s="337"/>
      <c r="K29" s="395" t="s">
        <v>51</v>
      </c>
      <c r="L29" s="327">
        <f>[3]MESA!$HM$41</f>
        <v>0</v>
      </c>
      <c r="M29" s="9">
        <f>[3]MESA!$GY$41</f>
        <v>0</v>
      </c>
      <c r="N29" s="84" t="e">
        <f t="shared" si="21"/>
        <v>#DIV/0!</v>
      </c>
      <c r="O29" s="327">
        <f>SUM([3]MESA!$HD$41:$HM$41)</f>
        <v>0</v>
      </c>
      <c r="P29" s="9">
        <f>SUM([3]MESA!$GP$41:$GY$41)</f>
        <v>0</v>
      </c>
      <c r="Q29" s="38" t="e">
        <f t="shared" si="22"/>
        <v>#DIV/0!</v>
      </c>
      <c r="R29" s="84">
        <f t="shared" si="23"/>
        <v>0</v>
      </c>
      <c r="S29" s="52"/>
      <c r="T29" s="396" t="s">
        <v>51</v>
      </c>
      <c r="U29" s="449">
        <f>[3]MESA!$HM$64</f>
        <v>0</v>
      </c>
      <c r="V29" s="2">
        <f>[3]MESA!$GY$64</f>
        <v>0</v>
      </c>
      <c r="W29" s="83" t="e">
        <f t="shared" ref="W29:W30" si="27">(U29-V29)/V29</f>
        <v>#DIV/0!</v>
      </c>
      <c r="X29" s="449">
        <f>SUM([3]MESA!$HD$64:$HM$64)</f>
        <v>0</v>
      </c>
      <c r="Y29" s="2">
        <f>SUM([3]MESA!$GP$64:$GY$64)</f>
        <v>0</v>
      </c>
      <c r="Z29" s="3" t="e">
        <f t="shared" ref="Z29:Z30" si="28">(X29-Y29)/Y29</f>
        <v>#DIV/0!</v>
      </c>
      <c r="AA29" s="83">
        <f t="shared" si="26"/>
        <v>0</v>
      </c>
    </row>
    <row r="30" spans="1:27" ht="14.1" customHeight="1" x14ac:dyDescent="0.2">
      <c r="A30" s="52"/>
      <c r="B30" s="397" t="s">
        <v>50</v>
      </c>
      <c r="C30" s="327">
        <f>'[3]Air Wisconsin'!$HM$19</f>
        <v>0</v>
      </c>
      <c r="D30" s="9">
        <f>'[3]Air Wisconsin'!$GY$19</f>
        <v>0</v>
      </c>
      <c r="E30" s="84" t="e">
        <f t="shared" si="18"/>
        <v>#DIV/0!</v>
      </c>
      <c r="F30" s="9">
        <f>SUM('[3]Air Wisconsin'!$HD$19:$HM$19)</f>
        <v>0</v>
      </c>
      <c r="G30" s="9">
        <f>SUM('[3]Air Wisconsin'!$GP$19:$GY$19)</f>
        <v>6</v>
      </c>
      <c r="H30" s="442">
        <f t="shared" si="19"/>
        <v>-1</v>
      </c>
      <c r="I30" s="84">
        <f t="shared" si="20"/>
        <v>0</v>
      </c>
      <c r="J30" s="52"/>
      <c r="K30" s="398" t="s">
        <v>50</v>
      </c>
      <c r="L30" s="327">
        <f>'[3]Air Wisconsin'!$HM$41</f>
        <v>0</v>
      </c>
      <c r="M30" s="9">
        <f>'[3]Air Wisconsin'!$GY$41</f>
        <v>0</v>
      </c>
      <c r="N30" s="84" t="e">
        <f t="shared" si="21"/>
        <v>#DIV/0!</v>
      </c>
      <c r="O30" s="327">
        <f>SUM('[3]Air Wisconsin'!$HD$41:$HM$41)</f>
        <v>0</v>
      </c>
      <c r="P30" s="9">
        <f>SUM('[3]Air Wisconsin'!$GP$41:$GY$41)</f>
        <v>194</v>
      </c>
      <c r="Q30" s="38">
        <f t="shared" si="22"/>
        <v>-1</v>
      </c>
      <c r="R30" s="84">
        <f t="shared" si="23"/>
        <v>0</v>
      </c>
      <c r="S30" s="52"/>
      <c r="T30" s="398" t="s">
        <v>50</v>
      </c>
      <c r="U30" s="449">
        <f>'[3]Air Wisconsin'!$HM$64</f>
        <v>0</v>
      </c>
      <c r="V30" s="2">
        <f>'[3]Air Wisconsin'!$GY$64</f>
        <v>0</v>
      </c>
      <c r="W30" s="83" t="e">
        <f t="shared" si="27"/>
        <v>#DIV/0!</v>
      </c>
      <c r="X30" s="449">
        <f>SUM('[3]Air Wisconsin'!$HD$64:$HM$64)</f>
        <v>0</v>
      </c>
      <c r="Y30" s="2">
        <f>SUM('[3]Air Wisconsin'!$GP$64:$GY$64)</f>
        <v>0</v>
      </c>
      <c r="Z30" s="3" t="e">
        <f t="shared" si="28"/>
        <v>#DIV/0!</v>
      </c>
      <c r="AA30" s="83">
        <f t="shared" si="26"/>
        <v>0</v>
      </c>
    </row>
    <row r="31" spans="1:27" ht="14.1" customHeight="1" x14ac:dyDescent="0.2">
      <c r="A31" s="52"/>
      <c r="B31" s="332"/>
      <c r="C31" s="327"/>
      <c r="D31" s="9"/>
      <c r="E31" s="84"/>
      <c r="F31" s="9"/>
      <c r="G31" s="9"/>
      <c r="H31" s="38"/>
      <c r="I31" s="84"/>
      <c r="J31" s="52"/>
      <c r="K31" s="332"/>
      <c r="L31" s="327"/>
      <c r="M31" s="9"/>
      <c r="N31" s="84"/>
      <c r="O31" s="327"/>
      <c r="P31" s="9"/>
      <c r="Q31" s="38"/>
      <c r="R31" s="84"/>
      <c r="S31" s="52"/>
      <c r="T31" s="54"/>
      <c r="U31" s="449"/>
      <c r="V31" s="2"/>
      <c r="W31" s="83"/>
      <c r="X31" s="449"/>
      <c r="Y31" s="2"/>
      <c r="Z31" s="3"/>
      <c r="AA31" s="83"/>
    </row>
    <row r="32" spans="1:27" ht="14.1" customHeight="1" x14ac:dyDescent="0.2">
      <c r="A32" s="322" t="s">
        <v>179</v>
      </c>
      <c r="B32" s="332"/>
      <c r="C32" s="323">
        <f>'[3]Boutique Air'!$HM$19</f>
        <v>0</v>
      </c>
      <c r="D32" s="325">
        <f>'[3]Boutique Air'!$GY$19</f>
        <v>48</v>
      </c>
      <c r="E32" s="326">
        <f>(C32-D32)/D32</f>
        <v>-1</v>
      </c>
      <c r="F32" s="325">
        <f>SUM('[3]Boutique Air'!$HD$19:$HM$19)</f>
        <v>416</v>
      </c>
      <c r="G32" s="325">
        <f>SUM('[3]Boutique Air'!$GP$19:$GY$19)</f>
        <v>938</v>
      </c>
      <c r="H32" s="324">
        <f>(F32-G32)/G32</f>
        <v>-0.55650319829424311</v>
      </c>
      <c r="I32" s="326">
        <f>F32/$F$73</f>
        <v>1.851678751541211E-3</v>
      </c>
      <c r="J32" s="322" t="s">
        <v>179</v>
      </c>
      <c r="K32" s="332"/>
      <c r="L32" s="323">
        <f>'[3]Boutique Air'!$HM$41</f>
        <v>0</v>
      </c>
      <c r="M32" s="325">
        <f>'[3]Boutique Air'!$GY$41</f>
        <v>169</v>
      </c>
      <c r="N32" s="326">
        <f>(L32-M32)/M32</f>
        <v>-1</v>
      </c>
      <c r="O32" s="323">
        <f>SUM('[3]Boutique Air'!$HD$41:$HM$41)</f>
        <v>1900</v>
      </c>
      <c r="P32" s="325">
        <f>SUM('[3]Boutique Air'!$GP$41:$GY$41)</f>
        <v>2877</v>
      </c>
      <c r="Q32" s="324">
        <f>(O32-P32)/P32</f>
        <v>-0.33958985053875562</v>
      </c>
      <c r="R32" s="326">
        <f>O32/$O$73</f>
        <v>9.5690146040286364E-5</v>
      </c>
      <c r="S32" s="322" t="s">
        <v>179</v>
      </c>
      <c r="T32" s="54"/>
      <c r="U32" s="473">
        <f>'[3]Boutique Air'!$HM$64</f>
        <v>0</v>
      </c>
      <c r="V32" s="465">
        <f>'[3]Boutique Air'!$GY$64</f>
        <v>0</v>
      </c>
      <c r="W32" s="474" t="e">
        <f>(U32-V32)/V32</f>
        <v>#DIV/0!</v>
      </c>
      <c r="X32" s="473">
        <f>SUM('[3]Boutique Air'!$HD$64:$HM$64)</f>
        <v>0</v>
      </c>
      <c r="Y32" s="465">
        <f>SUM('[3]Boutique Air'!$GP$64:$GY$64)</f>
        <v>0</v>
      </c>
      <c r="Z32" s="475" t="e">
        <f>(X32-Y32)/Y32</f>
        <v>#DIV/0!</v>
      </c>
      <c r="AA32" s="474">
        <f>X32/$X$73</f>
        <v>0</v>
      </c>
    </row>
    <row r="33" spans="1:27" ht="14.1" customHeight="1" x14ac:dyDescent="0.2">
      <c r="A33" s="52"/>
      <c r="B33" s="332"/>
      <c r="C33" s="327"/>
      <c r="D33" s="9"/>
      <c r="E33" s="84"/>
      <c r="F33" s="9"/>
      <c r="G33" s="9"/>
      <c r="H33" s="38"/>
      <c r="I33" s="84"/>
      <c r="J33" s="52"/>
      <c r="K33" s="332"/>
      <c r="L33" s="327"/>
      <c r="M33" s="9"/>
      <c r="N33" s="84"/>
      <c r="O33" s="327"/>
      <c r="P33" s="9"/>
      <c r="Q33" s="38"/>
      <c r="R33" s="84"/>
      <c r="S33" s="52"/>
      <c r="T33" s="54"/>
      <c r="U33" s="449"/>
      <c r="V33" s="2"/>
      <c r="W33" s="83"/>
      <c r="X33" s="449"/>
      <c r="Y33" s="2"/>
      <c r="Z33" s="3"/>
      <c r="AA33" s="83"/>
    </row>
    <row r="34" spans="1:27" ht="14.1" customHeight="1" x14ac:dyDescent="0.2">
      <c r="A34" s="322" t="s">
        <v>161</v>
      </c>
      <c r="B34" s="332"/>
      <c r="C34" s="323">
        <f>[3]Condor!$HM$19</f>
        <v>0</v>
      </c>
      <c r="D34" s="325">
        <f>[3]Condor!$GY$19</f>
        <v>0</v>
      </c>
      <c r="E34" s="326" t="e">
        <f>(C34-D34)/D34</f>
        <v>#DIV/0!</v>
      </c>
      <c r="F34" s="325">
        <f>SUM([3]Condor!$HD$19:$HM$19)</f>
        <v>0</v>
      </c>
      <c r="G34" s="325">
        <f>SUM([3]Condor!$GP$19:$GY$19)</f>
        <v>0</v>
      </c>
      <c r="H34" s="324" t="e">
        <f>(F34-G34)/G34</f>
        <v>#DIV/0!</v>
      </c>
      <c r="I34" s="326">
        <f>F34/$F$73</f>
        <v>0</v>
      </c>
      <c r="J34" s="322" t="s">
        <v>161</v>
      </c>
      <c r="K34" s="332"/>
      <c r="L34" s="323">
        <f>[3]Condor!$HM$41</f>
        <v>0</v>
      </c>
      <c r="M34" s="325">
        <f>[3]Condor!$GY$41</f>
        <v>0</v>
      </c>
      <c r="N34" s="326" t="e">
        <f>(L34-M34)/M34</f>
        <v>#DIV/0!</v>
      </c>
      <c r="O34" s="323">
        <f>SUM([3]Condor!$HD$41:$HM$41)</f>
        <v>0</v>
      </c>
      <c r="P34" s="325">
        <f>SUM([3]Condor!$GP$41:$GY$41)</f>
        <v>0</v>
      </c>
      <c r="Q34" s="324" t="e">
        <f>(O34-P34)/P34</f>
        <v>#DIV/0!</v>
      </c>
      <c r="R34" s="326">
        <f>O34/$O$73</f>
        <v>0</v>
      </c>
      <c r="S34" s="322" t="s">
        <v>161</v>
      </c>
      <c r="T34" s="54"/>
      <c r="U34" s="473">
        <f>[3]Condor!$HM$64</f>
        <v>0</v>
      </c>
      <c r="V34" s="465">
        <f>[3]Condor!$GY$64</f>
        <v>0</v>
      </c>
      <c r="W34" s="474" t="e">
        <f>(U34-V34)/V34</f>
        <v>#DIV/0!</v>
      </c>
      <c r="X34" s="473">
        <f>SUM([3]Condor!$HD$64:$HM$64)</f>
        <v>0</v>
      </c>
      <c r="Y34" s="465">
        <f>SUM([3]Condor!$GP$64:$GY$64)</f>
        <v>0</v>
      </c>
      <c r="Z34" s="475" t="e">
        <f>(X34-Y34)/Y34</f>
        <v>#DIV/0!</v>
      </c>
      <c r="AA34" s="474">
        <f>X34/$X$73</f>
        <v>0</v>
      </c>
    </row>
    <row r="35" spans="1:27" ht="14.1" customHeight="1" x14ac:dyDescent="0.2">
      <c r="A35" s="52"/>
      <c r="B35" s="332"/>
      <c r="C35" s="327"/>
      <c r="D35" s="9"/>
      <c r="E35" s="84"/>
      <c r="F35" s="9"/>
      <c r="G35" s="9"/>
      <c r="H35" s="38"/>
      <c r="I35" s="84"/>
      <c r="J35" s="52"/>
      <c r="K35" s="332"/>
      <c r="L35" s="327"/>
      <c r="M35" s="9"/>
      <c r="N35" s="84"/>
      <c r="O35" s="327"/>
      <c r="P35" s="9"/>
      <c r="Q35" s="38"/>
      <c r="R35" s="84"/>
      <c r="S35" s="52"/>
      <c r="T35" s="54"/>
      <c r="U35" s="449"/>
      <c r="V35" s="2"/>
      <c r="W35" s="83"/>
      <c r="X35" s="449"/>
      <c r="Y35" s="2"/>
      <c r="Z35" s="3"/>
      <c r="AA35" s="83"/>
    </row>
    <row r="36" spans="1:27" ht="14.1" customHeight="1" x14ac:dyDescent="0.2">
      <c r="A36" s="322" t="s">
        <v>239</v>
      </c>
      <c r="B36" s="54"/>
      <c r="C36" s="473">
        <f>'[3]Denver Air'!$HM$19</f>
        <v>156</v>
      </c>
      <c r="D36" s="465">
        <f>'[3]Denver Air'!$GY$19</f>
        <v>104</v>
      </c>
      <c r="E36" s="474">
        <f>(C36-D36)/D36</f>
        <v>0.5</v>
      </c>
      <c r="F36" s="465">
        <f>SUM('[3]Denver Air'!$HD$19:$HM$19)</f>
        <v>1136</v>
      </c>
      <c r="G36" s="465">
        <f>SUM('[3]Denver Air'!$GP$19:$GY$19)</f>
        <v>528</v>
      </c>
      <c r="H36" s="475">
        <f>(F36-G36)/G36</f>
        <v>1.1515151515151516</v>
      </c>
      <c r="I36" s="474">
        <f>F36/$F$73</f>
        <v>5.0565073599779225E-3</v>
      </c>
      <c r="J36" s="322" t="s">
        <v>239</v>
      </c>
      <c r="K36" s="54"/>
      <c r="L36" s="473">
        <f>'[3]Denver Air'!$HM$41</f>
        <v>1765</v>
      </c>
      <c r="M36" s="465">
        <f>'[3]Denver Air'!$GY$41</f>
        <v>298</v>
      </c>
      <c r="N36" s="474">
        <f>(L36-M36)/M36</f>
        <v>4.9228187919463089</v>
      </c>
      <c r="O36" s="473">
        <f>SUM('[3]Denver Air'!$HD$41:$HM$41)</f>
        <v>8505</v>
      </c>
      <c r="P36" s="465">
        <f>SUM('[3]Denver Air'!$GP$41:$GY$41)</f>
        <v>1219</v>
      </c>
      <c r="Q36" s="475">
        <f>(O36-P36)/P36</f>
        <v>5.9770303527481543</v>
      </c>
      <c r="R36" s="474">
        <f>O36/$O$73</f>
        <v>4.2833931161717658E-4</v>
      </c>
      <c r="S36" s="322" t="s">
        <v>239</v>
      </c>
      <c r="T36" s="54"/>
      <c r="U36" s="473">
        <f>'[3]Denver Air'!$HM$64</f>
        <v>0</v>
      </c>
      <c r="V36" s="465">
        <f>'[3]Denver Air'!$GY$64</f>
        <v>0</v>
      </c>
      <c r="W36" s="474" t="e">
        <f>(U36-V36)/V36</f>
        <v>#DIV/0!</v>
      </c>
      <c r="X36" s="473">
        <f>SUM('[3]Denver Air'!$HD$64:$HM$64)</f>
        <v>0</v>
      </c>
      <c r="Y36" s="465">
        <f>SUM('[3]Denver Air'!$GP$64:$GY$64)</f>
        <v>0</v>
      </c>
      <c r="Z36" s="475" t="e">
        <f>(X36-Y36)/Y36</f>
        <v>#DIV/0!</v>
      </c>
      <c r="AA36" s="474">
        <f>X36/$X$71</f>
        <v>0</v>
      </c>
    </row>
    <row r="37" spans="1:27" ht="14.1" customHeight="1" x14ac:dyDescent="0.2">
      <c r="A37" s="52"/>
      <c r="B37" s="332"/>
      <c r="C37" s="327"/>
      <c r="D37" s="9"/>
      <c r="E37" s="84"/>
      <c r="F37" s="9"/>
      <c r="G37" s="9"/>
      <c r="H37" s="38"/>
      <c r="I37" s="84"/>
      <c r="J37" s="52"/>
      <c r="K37" s="332"/>
      <c r="L37" s="327"/>
      <c r="M37" s="9"/>
      <c r="N37" s="84"/>
      <c r="O37" s="327"/>
      <c r="P37" s="9"/>
      <c r="Q37" s="38"/>
      <c r="R37" s="84"/>
      <c r="S37" s="52"/>
      <c r="T37" s="54"/>
      <c r="U37" s="449"/>
      <c r="V37" s="2"/>
      <c r="W37" s="83"/>
      <c r="X37" s="449"/>
      <c r="Y37" s="2"/>
      <c r="Z37" s="3"/>
      <c r="AA37" s="83"/>
    </row>
    <row r="38" spans="1:27" ht="14.1" customHeight="1" x14ac:dyDescent="0.2">
      <c r="A38" s="322" t="s">
        <v>18</v>
      </c>
      <c r="B38" s="335"/>
      <c r="C38" s="323">
        <f>SUM(C39:C45)</f>
        <v>18753</v>
      </c>
      <c r="D38" s="325">
        <f>SUM(D39:D45)</f>
        <v>15084</v>
      </c>
      <c r="E38" s="326">
        <f t="shared" ref="E38:E45" si="29">(C38-D38)/D38</f>
        <v>0.24323786793953858</v>
      </c>
      <c r="F38" s="328">
        <f>SUM(F39:F45)</f>
        <v>174775</v>
      </c>
      <c r="G38" s="328">
        <f>SUM(G39:G45)</f>
        <v>134182</v>
      </c>
      <c r="H38" s="324">
        <f>(F38-G38)/G38</f>
        <v>0.30252194780223873</v>
      </c>
      <c r="I38" s="326">
        <f t="shared" ref="I38:I45" si="30">F38/$F$73</f>
        <v>0.77794988894378636</v>
      </c>
      <c r="J38" s="322" t="s">
        <v>18</v>
      </c>
      <c r="K38" s="335"/>
      <c r="L38" s="323">
        <f>SUM(L39:L45)</f>
        <v>1786568</v>
      </c>
      <c r="M38" s="325">
        <f>SUM(M39:M45)</f>
        <v>753488</v>
      </c>
      <c r="N38" s="326">
        <f t="shared" ref="N38:N45" si="31">(L38-M38)/M38</f>
        <v>1.3710636400314271</v>
      </c>
      <c r="O38" s="323">
        <f>SUM(O39:O45)</f>
        <v>14271438</v>
      </c>
      <c r="P38" s="325">
        <f>SUM(P39:P45)</f>
        <v>8436227</v>
      </c>
      <c r="Q38" s="324">
        <f t="shared" ref="Q38:Q45" si="32">(O38-P38)/P38</f>
        <v>0.69168492028486195</v>
      </c>
      <c r="R38" s="326">
        <f t="shared" ref="R38:R45" si="33">O38/$O$73</f>
        <v>0.7187557823288907</v>
      </c>
      <c r="S38" s="322" t="s">
        <v>18</v>
      </c>
      <c r="T38" s="330"/>
      <c r="U38" s="473">
        <f>SUM(U39:U45)</f>
        <v>5979166</v>
      </c>
      <c r="V38" s="465">
        <f>SUM(V39:V45)</f>
        <v>3049081</v>
      </c>
      <c r="W38" s="474">
        <f t="shared" ref="W38:W45" si="34">(U38-V38)/V38</f>
        <v>0.96097315879768364</v>
      </c>
      <c r="X38" s="473">
        <f>SUM(X39:X45)</f>
        <v>37869603</v>
      </c>
      <c r="Y38" s="465">
        <f>SUM(Y39:Y45)</f>
        <v>35359647</v>
      </c>
      <c r="Z38" s="475">
        <f t="shared" ref="Z38:Z41" si="35">(X38-Y38)/Y38</f>
        <v>7.0983627183834719E-2</v>
      </c>
      <c r="AA38" s="474">
        <f t="shared" ref="AA38:AA45" si="36">X38/$X$73</f>
        <v>0.74944886136408329</v>
      </c>
    </row>
    <row r="39" spans="1:27" ht="14.1" customHeight="1" x14ac:dyDescent="0.2">
      <c r="A39" s="52"/>
      <c r="B39" s="331" t="s">
        <v>18</v>
      </c>
      <c r="C39" s="327">
        <f>[3]Delta!$HM$19</f>
        <v>9809</v>
      </c>
      <c r="D39" s="9">
        <f>[3]Delta!$GY$19</f>
        <v>6219</v>
      </c>
      <c r="E39" s="84">
        <f t="shared" si="29"/>
        <v>0.57726322559897092</v>
      </c>
      <c r="F39" s="9">
        <f>SUM([3]Delta!$HD$19:$HM$19)</f>
        <v>81200</v>
      </c>
      <c r="G39" s="9">
        <f>SUM([3]Delta!$GP$19:$GY$19)</f>
        <v>63262</v>
      </c>
      <c r="H39" s="38">
        <f t="shared" ref="H39:H45" si="37">(F39-G39)/G39</f>
        <v>0.28355094685593246</v>
      </c>
      <c r="I39" s="84">
        <f t="shared" si="30"/>
        <v>0.3614334486181402</v>
      </c>
      <c r="J39" s="52"/>
      <c r="K39" s="331" t="s">
        <v>18</v>
      </c>
      <c r="L39" s="327">
        <f>[3]Delta!$HM$41</f>
        <v>1317329</v>
      </c>
      <c r="M39" s="9">
        <f>[3]Delta!$GY$41</f>
        <v>464516</v>
      </c>
      <c r="N39" s="84">
        <f t="shared" si="31"/>
        <v>1.8359173849770514</v>
      </c>
      <c r="O39" s="327">
        <f>SUM([3]Delta!$HD$41:$HM$41)</f>
        <v>10070394</v>
      </c>
      <c r="P39" s="9">
        <f>SUM([3]Delta!$GP$41:$GY$41)</f>
        <v>6040838</v>
      </c>
      <c r="Q39" s="38">
        <f t="shared" si="32"/>
        <v>0.66705248510223247</v>
      </c>
      <c r="R39" s="84">
        <f t="shared" si="33"/>
        <v>0.50717761712801235</v>
      </c>
      <c r="S39" s="52"/>
      <c r="T39" s="54" t="s">
        <v>18</v>
      </c>
      <c r="U39" s="449">
        <f>[3]Delta!$HM$64</f>
        <v>5979166</v>
      </c>
      <c r="V39" s="2">
        <f>[3]Delta!$GY$64</f>
        <v>3049081</v>
      </c>
      <c r="W39" s="83">
        <f t="shared" si="34"/>
        <v>0.96097315879768364</v>
      </c>
      <c r="X39" s="449">
        <f>SUM([3]Delta!$HD$64:$HM$64)</f>
        <v>37869603</v>
      </c>
      <c r="Y39" s="2">
        <f>SUM([3]Delta!$GP$64:$GY$64)</f>
        <v>35359647</v>
      </c>
      <c r="Z39" s="3">
        <f t="shared" si="35"/>
        <v>7.0983627183834719E-2</v>
      </c>
      <c r="AA39" s="83">
        <f t="shared" si="36"/>
        <v>0.74944886136408329</v>
      </c>
    </row>
    <row r="40" spans="1:27" ht="14.1" customHeight="1" x14ac:dyDescent="0.2">
      <c r="A40" s="52"/>
      <c r="B40" s="333" t="s">
        <v>117</v>
      </c>
      <c r="C40" s="327">
        <f>[3]Compass!$HM$19</f>
        <v>0</v>
      </c>
      <c r="D40" s="9">
        <f>[3]Compass!$GY$19</f>
        <v>0</v>
      </c>
      <c r="E40" s="84" t="e">
        <f t="shared" si="29"/>
        <v>#DIV/0!</v>
      </c>
      <c r="F40" s="9">
        <f>SUM([3]Compass!$HD$19:$HM$19)</f>
        <v>0</v>
      </c>
      <c r="G40" s="9">
        <f>SUM([3]Compass!$GP$19:$GY$19)</f>
        <v>0</v>
      </c>
      <c r="H40" s="38" t="e">
        <f t="shared" si="37"/>
        <v>#DIV/0!</v>
      </c>
      <c r="I40" s="84">
        <f t="shared" si="30"/>
        <v>0</v>
      </c>
      <c r="J40" s="52"/>
      <c r="K40" s="333" t="s">
        <v>117</v>
      </c>
      <c r="L40" s="327">
        <f>[3]Compass!$HM$41</f>
        <v>0</v>
      </c>
      <c r="M40" s="9">
        <f>[3]Compass!$GY$41</f>
        <v>0</v>
      </c>
      <c r="N40" s="84" t="e">
        <f t="shared" si="31"/>
        <v>#DIV/0!</v>
      </c>
      <c r="O40" s="327">
        <f>SUM([3]Compass!$HD$41:$HM$41)</f>
        <v>0</v>
      </c>
      <c r="P40" s="9">
        <f>SUM([3]Compass!$GP$41:$GY$41)</f>
        <v>0</v>
      </c>
      <c r="Q40" s="38" t="e">
        <f t="shared" si="32"/>
        <v>#DIV/0!</v>
      </c>
      <c r="R40" s="84">
        <f t="shared" si="33"/>
        <v>0</v>
      </c>
      <c r="S40" s="52"/>
      <c r="T40" s="398" t="s">
        <v>117</v>
      </c>
      <c r="U40" s="449">
        <f>[3]Compass!$HM$64</f>
        <v>0</v>
      </c>
      <c r="V40" s="2">
        <f>[3]Compass!$GY$64</f>
        <v>0</v>
      </c>
      <c r="W40" s="83" t="e">
        <f t="shared" si="34"/>
        <v>#DIV/0!</v>
      </c>
      <c r="X40" s="449">
        <f>SUM([3]Compass!$HD$64:$HM$64)</f>
        <v>0</v>
      </c>
      <c r="Y40" s="2">
        <f>SUM([3]Compass!$GP$64:$GY$64)</f>
        <v>0</v>
      </c>
      <c r="Z40" s="3" t="e">
        <f t="shared" si="35"/>
        <v>#DIV/0!</v>
      </c>
      <c r="AA40" s="83">
        <f t="shared" si="36"/>
        <v>0</v>
      </c>
    </row>
    <row r="41" spans="1:27" ht="14.1" customHeight="1" x14ac:dyDescent="0.2">
      <c r="A41" s="52"/>
      <c r="B41" s="332" t="s">
        <v>158</v>
      </c>
      <c r="C41" s="327">
        <f>[3]Pinnacle!$HM$19</f>
        <v>3385</v>
      </c>
      <c r="D41" s="9">
        <f>[3]Pinnacle!$GY$19</f>
        <v>5242</v>
      </c>
      <c r="E41" s="84">
        <f t="shared" si="29"/>
        <v>-0.3542541014879817</v>
      </c>
      <c r="F41" s="9">
        <f>SUM([3]Pinnacle!$HD$19:$HM$19)</f>
        <v>35324</v>
      </c>
      <c r="G41" s="9">
        <f>SUM([3]Pinnacle!$GP$19:$GY$19)</f>
        <v>27811</v>
      </c>
      <c r="H41" s="38">
        <f t="shared" si="37"/>
        <v>0.27014490669159685</v>
      </c>
      <c r="I41" s="84">
        <f t="shared" si="30"/>
        <v>0.15723245245058109</v>
      </c>
      <c r="J41" s="52"/>
      <c r="K41" s="332" t="s">
        <v>158</v>
      </c>
      <c r="L41" s="327">
        <f>[3]Pinnacle!$HM$41</f>
        <v>167698</v>
      </c>
      <c r="M41" s="9">
        <f>[3]Pinnacle!$GY$41</f>
        <v>167696</v>
      </c>
      <c r="N41" s="84">
        <f t="shared" si="31"/>
        <v>1.1926342906211239E-5</v>
      </c>
      <c r="O41" s="327">
        <f>SUM([3]Pinnacle!$HD$41:$HM$41)</f>
        <v>1525336</v>
      </c>
      <c r="P41" s="9">
        <f>SUM([3]Pinnacle!$GP$41:$GY$41)</f>
        <v>959165</v>
      </c>
      <c r="Q41" s="38">
        <f t="shared" si="32"/>
        <v>0.59027487450021632</v>
      </c>
      <c r="R41" s="84">
        <f t="shared" si="33"/>
        <v>7.6820855052898013E-2</v>
      </c>
      <c r="S41" s="52"/>
      <c r="T41" s="54" t="s">
        <v>158</v>
      </c>
      <c r="U41" s="449">
        <f>[3]Pinnacle!$HM$64</f>
        <v>0</v>
      </c>
      <c r="V41" s="2">
        <f>[3]Pinnacle!$GY$64</f>
        <v>0</v>
      </c>
      <c r="W41" s="83" t="e">
        <f t="shared" si="34"/>
        <v>#DIV/0!</v>
      </c>
      <c r="X41" s="449">
        <f>SUM([3]Pinnacle!$HD$64:$HM$64)</f>
        <v>0</v>
      </c>
      <c r="Y41" s="2">
        <f>SUM([3]Pinnacle!$GP$64:$GY$64)</f>
        <v>0</v>
      </c>
      <c r="Z41" s="3" t="e">
        <f t="shared" si="35"/>
        <v>#DIV/0!</v>
      </c>
      <c r="AA41" s="83">
        <f t="shared" si="36"/>
        <v>0</v>
      </c>
    </row>
    <row r="42" spans="1:27" ht="14.1" customHeight="1" x14ac:dyDescent="0.2">
      <c r="A42" s="52"/>
      <c r="B42" s="332" t="s">
        <v>154</v>
      </c>
      <c r="C42" s="327">
        <f>'[3]Go Jet'!$HM$19</f>
        <v>0</v>
      </c>
      <c r="D42" s="9">
        <f>'[3]Go Jet'!$GY$19</f>
        <v>0</v>
      </c>
      <c r="E42" s="84" t="e">
        <f t="shared" si="29"/>
        <v>#DIV/0!</v>
      </c>
      <c r="F42" s="9">
        <f>SUM('[3]Go Jet'!$HD$19:$HM$19)</f>
        <v>0</v>
      </c>
      <c r="G42" s="9">
        <f>SUM('[3]Go Jet'!$GP$19:$GY$19)</f>
        <v>44</v>
      </c>
      <c r="H42" s="38">
        <f>(F42-G42)/G42</f>
        <v>-1</v>
      </c>
      <c r="I42" s="84">
        <f t="shared" si="30"/>
        <v>0</v>
      </c>
      <c r="J42" s="52"/>
      <c r="K42" s="331" t="s">
        <v>154</v>
      </c>
      <c r="L42" s="327">
        <f>'[3]Go Jet'!$HM$41</f>
        <v>0</v>
      </c>
      <c r="M42" s="9">
        <f>'[3]Go Jet'!$GY$41</f>
        <v>0</v>
      </c>
      <c r="N42" s="84" t="e">
        <f t="shared" si="31"/>
        <v>#DIV/0!</v>
      </c>
      <c r="O42" s="327">
        <f>SUM('[3]Go Jet'!$HD$41:$HM$41)</f>
        <v>0</v>
      </c>
      <c r="P42" s="9">
        <f>SUM('[3]Go Jet'!$GP$41:$GY$41)</f>
        <v>2644</v>
      </c>
      <c r="Q42" s="38">
        <f>(O42-P42)/P42</f>
        <v>-1</v>
      </c>
      <c r="R42" s="84">
        <f t="shared" si="33"/>
        <v>0</v>
      </c>
      <c r="S42" s="52"/>
      <c r="T42" s="54" t="s">
        <v>154</v>
      </c>
      <c r="U42" s="449">
        <f>'[3]Go Jet'!$HM$64</f>
        <v>0</v>
      </c>
      <c r="V42" s="2">
        <f>'[3]Go Jet'!$GY$64</f>
        <v>0</v>
      </c>
      <c r="W42" s="83" t="e">
        <f t="shared" si="34"/>
        <v>#DIV/0!</v>
      </c>
      <c r="X42" s="449">
        <f>SUM('[3]Go Jet'!$HD$64:$HM$64)</f>
        <v>0</v>
      </c>
      <c r="Y42" s="2">
        <f>SUM('[3]Go Jet'!$GP$64:$GY$64)</f>
        <v>0</v>
      </c>
      <c r="Z42" s="3" t="e">
        <f>(X42-Y42)/Y42</f>
        <v>#DIV/0!</v>
      </c>
      <c r="AA42" s="83">
        <f t="shared" si="36"/>
        <v>0</v>
      </c>
    </row>
    <row r="43" spans="1:27" ht="14.1" customHeight="1" x14ac:dyDescent="0.2">
      <c r="A43" s="52"/>
      <c r="B43" s="332" t="s">
        <v>97</v>
      </c>
      <c r="C43" s="327">
        <f>'[3]Sky West'!$HM$19</f>
        <v>5559</v>
      </c>
      <c r="D43" s="9">
        <f>'[3]Sky West'!$GY$19</f>
        <v>3623</v>
      </c>
      <c r="E43" s="84">
        <f t="shared" si="29"/>
        <v>0.53436378691691966</v>
      </c>
      <c r="F43" s="9">
        <f>SUM('[3]Sky West'!$HD$19:$HM$19)</f>
        <v>58251</v>
      </c>
      <c r="G43" s="9">
        <f>SUM('[3]Sky West'!$GP$19:$GY$19)</f>
        <v>43065</v>
      </c>
      <c r="H43" s="38">
        <f t="shared" si="37"/>
        <v>0.352629745733194</v>
      </c>
      <c r="I43" s="84">
        <f t="shared" si="30"/>
        <v>0.25928398787506513</v>
      </c>
      <c r="J43" s="52"/>
      <c r="K43" s="332" t="s">
        <v>97</v>
      </c>
      <c r="L43" s="327">
        <f>'[3]Sky West'!$HM$41</f>
        <v>301541</v>
      </c>
      <c r="M43" s="9">
        <f>'[3]Sky West'!$GY$41</f>
        <v>121276</v>
      </c>
      <c r="N43" s="84">
        <f t="shared" si="31"/>
        <v>1.4864029156634453</v>
      </c>
      <c r="O43" s="327">
        <f>SUM('[3]Sky West'!$HD$41:$HM$41)</f>
        <v>2675708</v>
      </c>
      <c r="P43" s="9">
        <f>SUM('[3]Sky West'!$GP$41:$GY$41)</f>
        <v>1433580</v>
      </c>
      <c r="Q43" s="38">
        <f t="shared" si="32"/>
        <v>0.86645181991936271</v>
      </c>
      <c r="R43" s="84">
        <f t="shared" si="33"/>
        <v>0.13475731014798029</v>
      </c>
      <c r="S43" s="52"/>
      <c r="T43" s="54" t="s">
        <v>97</v>
      </c>
      <c r="U43" s="449">
        <f>'[3]Sky West'!$HM$64</f>
        <v>0</v>
      </c>
      <c r="V43" s="2">
        <f>'[3]Sky West'!$GY$64</f>
        <v>0</v>
      </c>
      <c r="W43" s="83" t="e">
        <f t="shared" si="34"/>
        <v>#DIV/0!</v>
      </c>
      <c r="X43" s="449">
        <f>SUM('[3]Sky West'!$HD$64:$HM$64)</f>
        <v>0</v>
      </c>
      <c r="Y43" s="2">
        <f>SUM('[3]Sky West'!$GP$64:$GY$64)</f>
        <v>0</v>
      </c>
      <c r="Z43" s="3" t="e">
        <f t="shared" ref="Z43:Z45" si="38">(X43-Y43)/Y43</f>
        <v>#DIV/0!</v>
      </c>
      <c r="AA43" s="83">
        <f t="shared" si="36"/>
        <v>0</v>
      </c>
    </row>
    <row r="44" spans="1:27" ht="14.1" customHeight="1" x14ac:dyDescent="0.2">
      <c r="A44" s="52"/>
      <c r="B44" s="332" t="s">
        <v>131</v>
      </c>
      <c r="C44" s="327">
        <f>'[3]Shuttle America_Delta'!$HM$19</f>
        <v>0</v>
      </c>
      <c r="D44" s="9">
        <f>'[3]Shuttle America_Delta'!$GY$19</f>
        <v>0</v>
      </c>
      <c r="E44" s="84" t="e">
        <f t="shared" si="29"/>
        <v>#DIV/0!</v>
      </c>
      <c r="F44" s="9">
        <f>SUM('[3]Shuttle America_Delta'!$HD$19:$HM$19)</f>
        <v>0</v>
      </c>
      <c r="G44" s="9">
        <f>SUM('[3]Shuttle America_Delta'!$GP$19:$GY$19)</f>
        <v>0</v>
      </c>
      <c r="H44" s="38" t="e">
        <f t="shared" si="37"/>
        <v>#DIV/0!</v>
      </c>
      <c r="I44" s="84">
        <f t="shared" si="30"/>
        <v>0</v>
      </c>
      <c r="J44" s="52"/>
      <c r="K44" s="332" t="s">
        <v>131</v>
      </c>
      <c r="L44" s="327">
        <f>'[3]Shuttle America_Delta'!$HM$41</f>
        <v>0</v>
      </c>
      <c r="M44" s="9">
        <f>'[3]Shuttle America_Delta'!$GY$41</f>
        <v>0</v>
      </c>
      <c r="N44" s="84" t="e">
        <f t="shared" si="31"/>
        <v>#DIV/0!</v>
      </c>
      <c r="O44" s="327">
        <f>SUM('[3]Shuttle America_Delta'!$HD$41:$HM$41)</f>
        <v>0</v>
      </c>
      <c r="P44" s="9">
        <f>SUM('[3]Shuttle America_Delta'!$GP$41:$GY$41)</f>
        <v>0</v>
      </c>
      <c r="Q44" s="38" t="e">
        <f t="shared" si="32"/>
        <v>#DIV/0!</v>
      </c>
      <c r="R44" s="84">
        <f t="shared" si="33"/>
        <v>0</v>
      </c>
      <c r="S44" s="52"/>
      <c r="T44" s="54" t="s">
        <v>131</v>
      </c>
      <c r="U44" s="449">
        <f>'[3]Shuttle America_Delta'!$HM$64</f>
        <v>0</v>
      </c>
      <c r="V44" s="2">
        <f>'[3]Shuttle America_Delta'!$GY$64</f>
        <v>0</v>
      </c>
      <c r="W44" s="83" t="e">
        <f t="shared" si="34"/>
        <v>#DIV/0!</v>
      </c>
      <c r="X44" s="449">
        <f>SUM('[3]Shuttle America_Delta'!$HD$64:$HM$64)</f>
        <v>0</v>
      </c>
      <c r="Y44" s="2">
        <f>SUM('[3]Shuttle America_Delta'!$GP$64:$GY$64)</f>
        <v>0</v>
      </c>
      <c r="Z44" s="3" t="e">
        <f t="shared" si="38"/>
        <v>#DIV/0!</v>
      </c>
      <c r="AA44" s="83">
        <f t="shared" si="36"/>
        <v>0</v>
      </c>
    </row>
    <row r="45" spans="1:27" ht="14.1" customHeight="1" x14ac:dyDescent="0.2">
      <c r="A45" s="52"/>
      <c r="B45" s="397" t="s">
        <v>166</v>
      </c>
      <c r="C45" s="327">
        <f>'[3]Atlantic Southeast'!$HM$19</f>
        <v>0</v>
      </c>
      <c r="D45" s="9">
        <f>'[3]Atlantic Southeast'!$GY$19</f>
        <v>0</v>
      </c>
      <c r="E45" s="84" t="e">
        <f t="shared" si="29"/>
        <v>#DIV/0!</v>
      </c>
      <c r="F45" s="9">
        <f>SUM('[3]Atlantic Southeast'!$HD$19:$HM$19)</f>
        <v>0</v>
      </c>
      <c r="G45" s="9">
        <f>SUM('[3]Atlantic Southeast'!$GP$19:$GY$19)</f>
        <v>0</v>
      </c>
      <c r="H45" s="38" t="e">
        <f t="shared" si="37"/>
        <v>#DIV/0!</v>
      </c>
      <c r="I45" s="84">
        <f t="shared" si="30"/>
        <v>0</v>
      </c>
      <c r="J45" s="52"/>
      <c r="K45" s="397" t="s">
        <v>166</v>
      </c>
      <c r="L45" s="327">
        <f>'[3]Atlantic Southeast'!$HM$41</f>
        <v>0</v>
      </c>
      <c r="M45" s="9">
        <f>'[3]Atlantic Southeast'!$GY$41</f>
        <v>0</v>
      </c>
      <c r="N45" s="84" t="e">
        <f t="shared" si="31"/>
        <v>#DIV/0!</v>
      </c>
      <c r="O45" s="327">
        <f>SUM('[3]Atlantic Southeast'!$HD$41:$HM$41)</f>
        <v>0</v>
      </c>
      <c r="P45" s="9">
        <f>SUM('[3]Atlantic Southeast'!$GP$41:$GY$41)</f>
        <v>0</v>
      </c>
      <c r="Q45" s="38" t="e">
        <f t="shared" si="32"/>
        <v>#DIV/0!</v>
      </c>
      <c r="R45" s="84">
        <f t="shared" si="33"/>
        <v>0</v>
      </c>
      <c r="S45" s="52"/>
      <c r="T45" s="396" t="s">
        <v>166</v>
      </c>
      <c r="U45" s="449">
        <f>'[3]Atlantic Southeast'!$HM$64</f>
        <v>0</v>
      </c>
      <c r="V45" s="2">
        <f>'[3]Atlantic Southeast'!$GY$64</f>
        <v>0</v>
      </c>
      <c r="W45" s="83" t="e">
        <f t="shared" si="34"/>
        <v>#DIV/0!</v>
      </c>
      <c r="X45" s="449">
        <f>SUM('[3]Atlantic Southeast'!$HD$64:$HM$64)</f>
        <v>0</v>
      </c>
      <c r="Y45" s="2">
        <f>SUM('[3]Atlantic Southeast'!$GP$64:$GY$64)</f>
        <v>0</v>
      </c>
      <c r="Z45" s="3" t="e">
        <f t="shared" si="38"/>
        <v>#DIV/0!</v>
      </c>
      <c r="AA45" s="83">
        <f t="shared" si="36"/>
        <v>0</v>
      </c>
    </row>
    <row r="46" spans="1:27" ht="14.1" customHeight="1" x14ac:dyDescent="0.2">
      <c r="A46" s="52"/>
      <c r="B46" s="397"/>
      <c r="C46" s="327"/>
      <c r="D46" s="9"/>
      <c r="E46" s="84"/>
      <c r="F46" s="9"/>
      <c r="G46" s="9"/>
      <c r="H46" s="38"/>
      <c r="I46" s="84"/>
      <c r="J46" s="52"/>
      <c r="K46" s="397"/>
      <c r="L46" s="327"/>
      <c r="M46" s="9"/>
      <c r="N46" s="84"/>
      <c r="O46" s="327"/>
      <c r="P46" s="9"/>
      <c r="Q46" s="38"/>
      <c r="R46" s="84"/>
      <c r="S46" s="52"/>
      <c r="T46" s="396"/>
      <c r="U46" s="449"/>
      <c r="V46" s="2"/>
      <c r="W46" s="83"/>
      <c r="X46" s="449"/>
      <c r="Y46" s="2"/>
      <c r="Z46" s="3"/>
      <c r="AA46" s="83"/>
    </row>
    <row r="47" spans="1:27" s="7" customFormat="1" ht="14.1" customHeight="1" x14ac:dyDescent="0.2">
      <c r="A47" s="322" t="s">
        <v>47</v>
      </c>
      <c r="B47" s="336"/>
      <c r="C47" s="323">
        <f>[3]Frontier!$HM$19</f>
        <v>118</v>
      </c>
      <c r="D47" s="325">
        <f>[3]Frontier!$GY$19</f>
        <v>124</v>
      </c>
      <c r="E47" s="326">
        <f>(C47-D47)/D47</f>
        <v>-4.8387096774193547E-2</v>
      </c>
      <c r="F47" s="325">
        <f>SUM([3]Frontier!$HD$19:$HM$19)</f>
        <v>944</v>
      </c>
      <c r="G47" s="325">
        <f>SUM([3]Frontier!$GP$19:$GY$19)</f>
        <v>1148</v>
      </c>
      <c r="H47" s="324">
        <f>(F47-G47)/G47</f>
        <v>-0.17770034843205576</v>
      </c>
      <c r="I47" s="326">
        <f>F47/$F$73</f>
        <v>4.2018863977281327E-3</v>
      </c>
      <c r="J47" s="322" t="s">
        <v>47</v>
      </c>
      <c r="K47" s="336"/>
      <c r="L47" s="323">
        <f>[3]Frontier!$HM$41</f>
        <v>15401</v>
      </c>
      <c r="M47" s="325">
        <f>[3]Frontier!$GY$41</f>
        <v>14900</v>
      </c>
      <c r="N47" s="326">
        <f>(L47-M47)/M47</f>
        <v>3.3624161073825501E-2</v>
      </c>
      <c r="O47" s="323">
        <f>SUM([3]Frontier!$HD$41:$HM$41)</f>
        <v>146792</v>
      </c>
      <c r="P47" s="325">
        <f>SUM([3]Frontier!$GP$41:$GY$41)</f>
        <v>154862</v>
      </c>
      <c r="Q47" s="324">
        <f>(O47-P47)/P47</f>
        <v>-5.2110911650372592E-2</v>
      </c>
      <c r="R47" s="326">
        <f>O47/$O$73</f>
        <v>7.3929199566030081E-3</v>
      </c>
      <c r="S47" s="322" t="s">
        <v>47</v>
      </c>
      <c r="T47" s="54"/>
      <c r="U47" s="473">
        <f>[3]Frontier!$HM$64</f>
        <v>0</v>
      </c>
      <c r="V47" s="465">
        <f>[3]Frontier!$GY$64</f>
        <v>0</v>
      </c>
      <c r="W47" s="474" t="e">
        <f>(U47-V47)/V47</f>
        <v>#DIV/0!</v>
      </c>
      <c r="X47" s="473">
        <f>SUM([3]Frontier!$HD$64:$HM$64)</f>
        <v>0</v>
      </c>
      <c r="Y47" s="465">
        <f>SUM([3]Frontier!$GP$64:$GY$64)</f>
        <v>0</v>
      </c>
      <c r="Z47" s="475" t="e">
        <f>(X47-Y47)/Y47</f>
        <v>#DIV/0!</v>
      </c>
      <c r="AA47" s="474">
        <f>X47/$X$73</f>
        <v>0</v>
      </c>
    </row>
    <row r="48" spans="1:27" s="7" customFormat="1" ht="14.1" customHeight="1" x14ac:dyDescent="0.2">
      <c r="A48" s="322"/>
      <c r="B48" s="336"/>
      <c r="C48" s="323"/>
      <c r="D48" s="325"/>
      <c r="E48" s="326"/>
      <c r="F48" s="325"/>
      <c r="G48" s="325"/>
      <c r="H48" s="324"/>
      <c r="I48" s="326"/>
      <c r="J48" s="322"/>
      <c r="K48" s="336"/>
      <c r="L48" s="327"/>
      <c r="M48" s="9"/>
      <c r="N48" s="84"/>
      <c r="O48" s="327"/>
      <c r="P48" s="9"/>
      <c r="Q48" s="38"/>
      <c r="R48" s="84"/>
      <c r="S48" s="322"/>
      <c r="T48" s="54"/>
      <c r="U48" s="449"/>
      <c r="V48" s="2"/>
      <c r="W48" s="83"/>
      <c r="X48" s="449"/>
      <c r="Y48" s="2"/>
      <c r="Z48" s="3"/>
      <c r="AA48" s="83"/>
    </row>
    <row r="49" spans="1:27" s="7" customFormat="1" ht="14.1" customHeight="1" x14ac:dyDescent="0.2">
      <c r="A49" s="322" t="s">
        <v>48</v>
      </c>
      <c r="B49" s="336"/>
      <c r="C49" s="323">
        <f>[3]Icelandair!$HM$19</f>
        <v>20</v>
      </c>
      <c r="D49" s="325">
        <f>[3]Icelandair!$GY$19</f>
        <v>0</v>
      </c>
      <c r="E49" s="326" t="e">
        <f>(C49-D49)/D49</f>
        <v>#DIV/0!</v>
      </c>
      <c r="F49" s="325">
        <f>SUM([3]Icelandair!$HD$19:$HM$19)</f>
        <v>163</v>
      </c>
      <c r="G49" s="325">
        <f>SUM([3]Icelandair!$GP$19:$GY$19)</f>
        <v>18</v>
      </c>
      <c r="H49" s="324">
        <f>(F49-G49)/G49</f>
        <v>8.0555555555555554</v>
      </c>
      <c r="I49" s="326">
        <f>F49/$F$73</f>
        <v>7.25537587743311E-4</v>
      </c>
      <c r="J49" s="322" t="s">
        <v>48</v>
      </c>
      <c r="K49" s="336"/>
      <c r="L49" s="323">
        <f>[3]Icelandair!$HM$41</f>
        <v>1741</v>
      </c>
      <c r="M49" s="325">
        <f>[3]Icelandair!$GY$41</f>
        <v>0</v>
      </c>
      <c r="N49" s="326" t="e">
        <f>(L49-M49)/M49</f>
        <v>#DIV/0!</v>
      </c>
      <c r="O49" s="323">
        <f>SUM([3]Icelandair!$HD$41:$HM$41)</f>
        <v>16678</v>
      </c>
      <c r="P49" s="325">
        <f>SUM([3]Icelandair!$GP$41:$GY$41)</f>
        <v>2058</v>
      </c>
      <c r="Q49" s="324">
        <f>(O49-P49)/P49</f>
        <v>7.1039844509232264</v>
      </c>
      <c r="R49" s="326">
        <f>O49/$O$73</f>
        <v>8.3995802929468205E-4</v>
      </c>
      <c r="S49" s="322" t="s">
        <v>48</v>
      </c>
      <c r="T49" s="54"/>
      <c r="U49" s="473">
        <f>[3]Icelandair!$HM$64</f>
        <v>302</v>
      </c>
      <c r="V49" s="465">
        <f>[3]Icelandair!$GY$64</f>
        <v>0</v>
      </c>
      <c r="W49" s="474" t="e">
        <f>(U49-V49)/V49</f>
        <v>#DIV/0!</v>
      </c>
      <c r="X49" s="473">
        <f>SUM([3]Icelandair!$HD$64:$HM$64)</f>
        <v>26796</v>
      </c>
      <c r="Y49" s="465">
        <f>SUM([3]Icelandair!$GP$64:$GY$64)</f>
        <v>2574</v>
      </c>
      <c r="Z49" s="475">
        <f>(X49-Y49)/Y49</f>
        <v>9.4102564102564106</v>
      </c>
      <c r="AA49" s="474">
        <f>X49/$X$73</f>
        <v>5.3029950404053546E-4</v>
      </c>
    </row>
    <row r="50" spans="1:27" s="7" customFormat="1" ht="14.1" customHeight="1" x14ac:dyDescent="0.2">
      <c r="A50" s="322"/>
      <c r="B50" s="336"/>
      <c r="C50" s="323"/>
      <c r="D50" s="325"/>
      <c r="E50" s="326"/>
      <c r="F50" s="325"/>
      <c r="G50" s="325"/>
      <c r="H50" s="324"/>
      <c r="I50" s="326"/>
      <c r="J50" s="322"/>
      <c r="K50" s="336"/>
      <c r="L50" s="327"/>
      <c r="M50" s="9"/>
      <c r="N50" s="84"/>
      <c r="O50" s="327"/>
      <c r="P50" s="9"/>
      <c r="Q50" s="38"/>
      <c r="R50" s="84"/>
      <c r="S50" s="322"/>
      <c r="T50" s="54"/>
      <c r="U50" s="449"/>
      <c r="V50" s="2"/>
      <c r="W50" s="83"/>
      <c r="X50" s="449"/>
      <c r="Y50" s="2"/>
      <c r="Z50" s="3"/>
      <c r="AA50" s="83"/>
    </row>
    <row r="51" spans="1:27" s="7" customFormat="1" ht="14.1" customHeight="1" x14ac:dyDescent="0.2">
      <c r="A51" s="322" t="s">
        <v>199</v>
      </c>
      <c r="B51" s="336"/>
      <c r="C51" s="323">
        <f>'[3]Jet Blue'!$HM$19</f>
        <v>98</v>
      </c>
      <c r="D51" s="325">
        <f>'[3]Jet Blue'!$GY$19</f>
        <v>30</v>
      </c>
      <c r="E51" s="326">
        <f>(C51-D51)/D51</f>
        <v>2.2666666666666666</v>
      </c>
      <c r="F51" s="325">
        <f>SUM('[3]Jet Blue'!$HD$19:$HM$19)</f>
        <v>630</v>
      </c>
      <c r="G51" s="325">
        <f>SUM('[3]Jet Blue'!$GP$19:$GY$19)</f>
        <v>647</v>
      </c>
      <c r="H51" s="324">
        <f>(F51-G51)/G51</f>
        <v>-2.6275115919629059E-2</v>
      </c>
      <c r="I51" s="326">
        <f>F51/$F$73</f>
        <v>2.8042250323821222E-3</v>
      </c>
      <c r="J51" s="322" t="s">
        <v>199</v>
      </c>
      <c r="K51" s="336"/>
      <c r="L51" s="323">
        <f>'[3]Jet Blue'!$HM$41</f>
        <v>7843</v>
      </c>
      <c r="M51" s="325">
        <f>'[3]Jet Blue'!$GY$41</f>
        <v>1138</v>
      </c>
      <c r="N51" s="326">
        <f>(L51-M51)/M51</f>
        <v>5.8919156414762739</v>
      </c>
      <c r="O51" s="323">
        <f>SUM('[3]Jet Blue'!$HD$41:$HM$41)</f>
        <v>48583</v>
      </c>
      <c r="P51" s="325">
        <f>SUM('[3]Jet Blue'!$GP$41:$GY$41)</f>
        <v>34347</v>
      </c>
      <c r="Q51" s="324">
        <f>(O51-P51)/P51</f>
        <v>0.41447579118991468</v>
      </c>
      <c r="R51" s="326">
        <f>O51/$O$73</f>
        <v>2.446797034250122E-3</v>
      </c>
      <c r="S51" s="322" t="s">
        <v>199</v>
      </c>
      <c r="T51" s="54"/>
      <c r="U51" s="473">
        <f>'[3]Jet Blue'!$HM$64</f>
        <v>0</v>
      </c>
      <c r="V51" s="465">
        <f>'[3]Jet Blue'!$GY$64</f>
        <v>0</v>
      </c>
      <c r="W51" s="474" t="e">
        <f>(U51-V51)/V51</f>
        <v>#DIV/0!</v>
      </c>
      <c r="X51" s="473">
        <f>SUM('[3]Jet Blue'!$HD$64:$HM$64)</f>
        <v>0</v>
      </c>
      <c r="Y51" s="465">
        <f>SUM('[3]Jet Blue'!$GP$64:$GY$64)</f>
        <v>0</v>
      </c>
      <c r="Z51" s="475" t="e">
        <f>(X51-Y51)/Y51</f>
        <v>#DIV/0!</v>
      </c>
      <c r="AA51" s="474">
        <f>X51/$X$73</f>
        <v>0</v>
      </c>
    </row>
    <row r="52" spans="1:27" s="7" customFormat="1" ht="14.1" customHeight="1" x14ac:dyDescent="0.2">
      <c r="A52" s="322"/>
      <c r="B52" s="336"/>
      <c r="C52" s="323"/>
      <c r="D52" s="325"/>
      <c r="E52" s="326"/>
      <c r="F52" s="325"/>
      <c r="G52" s="325"/>
      <c r="H52" s="324"/>
      <c r="I52" s="326"/>
      <c r="J52" s="322"/>
      <c r="K52" s="336"/>
      <c r="L52" s="327"/>
      <c r="M52" s="9"/>
      <c r="N52" s="84"/>
      <c r="O52" s="327"/>
      <c r="P52" s="9"/>
      <c r="Q52" s="38"/>
      <c r="R52" s="84"/>
      <c r="S52" s="322"/>
      <c r="T52" s="54"/>
      <c r="U52" s="449"/>
      <c r="V52" s="2"/>
      <c r="W52" s="83"/>
      <c r="X52" s="449"/>
      <c r="Y52" s="2"/>
      <c r="Z52" s="3"/>
      <c r="AA52" s="83"/>
    </row>
    <row r="53" spans="1:27" s="7" customFormat="1" ht="14.1" customHeight="1" x14ac:dyDescent="0.2">
      <c r="A53" s="322" t="s">
        <v>194</v>
      </c>
      <c r="B53" s="336"/>
      <c r="C53" s="323">
        <f>[3]KLM!$HM$19</f>
        <v>26</v>
      </c>
      <c r="D53" s="325">
        <f>[3]KLM!$GY$19</f>
        <v>0</v>
      </c>
      <c r="E53" s="326" t="e">
        <f>(C53-D53)/D53</f>
        <v>#DIV/0!</v>
      </c>
      <c r="F53" s="325">
        <f>SUM([3]KLM!$HD$19:$HM$19)</f>
        <v>54</v>
      </c>
      <c r="G53" s="325">
        <f>SUM([3]KLM!$GP$19:$GY$19)</f>
        <v>80</v>
      </c>
      <c r="H53" s="324">
        <f>(F53-G53)/G53</f>
        <v>-0.32500000000000001</v>
      </c>
      <c r="I53" s="326">
        <f>F53/$F$73</f>
        <v>2.4036214563275335E-4</v>
      </c>
      <c r="J53" s="322" t="s">
        <v>194</v>
      </c>
      <c r="K53" s="336"/>
      <c r="L53" s="323">
        <f>[3]KLM!$HM$41</f>
        <v>3430</v>
      </c>
      <c r="M53" s="325">
        <f>[3]KLM!$GY$41</f>
        <v>0</v>
      </c>
      <c r="N53" s="326" t="e">
        <f>(L53-M53)/M53</f>
        <v>#DIV/0!</v>
      </c>
      <c r="O53" s="323">
        <f>SUM([3]KLM!$HD$41:$HM$41)</f>
        <v>7542</v>
      </c>
      <c r="P53" s="325">
        <f>SUM([3]KLM!$GP$41:$GY$41)</f>
        <v>15968</v>
      </c>
      <c r="Q53" s="324">
        <f>(O53-P53)/P53</f>
        <v>-0.52768036072144286</v>
      </c>
      <c r="R53" s="326">
        <f>O53/$O$73</f>
        <v>3.7983951654517879E-4</v>
      </c>
      <c r="S53" s="322" t="s">
        <v>194</v>
      </c>
      <c r="T53" s="54"/>
      <c r="U53" s="473">
        <f>[3]KLM!$HM$64</f>
        <v>589026</v>
      </c>
      <c r="V53" s="465">
        <f>[3]KLM!$GY$64</f>
        <v>0</v>
      </c>
      <c r="W53" s="474" t="e">
        <f>(U53-V53)/V53</f>
        <v>#DIV/0!</v>
      </c>
      <c r="X53" s="473">
        <f>SUM([3]KLM!$HD$64:$HM$64)</f>
        <v>1021142</v>
      </c>
      <c r="Y53" s="465">
        <f>SUM([3]KLM!$GP$64:$GY$64)</f>
        <v>818409</v>
      </c>
      <c r="Z53" s="475">
        <f>(X53-Y53)/Y53</f>
        <v>0.24771599530308194</v>
      </c>
      <c r="AA53" s="474">
        <f>X53/$X$73</f>
        <v>2.0208654133264684E-2</v>
      </c>
    </row>
    <row r="54" spans="1:27" s="7" customFormat="1" ht="14.1" customHeight="1" x14ac:dyDescent="0.2">
      <c r="A54" s="322"/>
      <c r="B54" s="336"/>
      <c r="C54" s="323"/>
      <c r="D54" s="325"/>
      <c r="E54" s="326"/>
      <c r="F54" s="325"/>
      <c r="G54" s="325"/>
      <c r="H54" s="324"/>
      <c r="I54" s="326"/>
      <c r="J54" s="322"/>
      <c r="K54" s="336"/>
      <c r="L54" s="327"/>
      <c r="M54" s="9"/>
      <c r="N54" s="84"/>
      <c r="O54" s="327"/>
      <c r="P54" s="9"/>
      <c r="Q54" s="38"/>
      <c r="R54" s="84"/>
      <c r="S54" s="322"/>
      <c r="T54" s="54"/>
      <c r="U54" s="449"/>
      <c r="V54" s="2"/>
      <c r="W54" s="83"/>
      <c r="X54" s="449"/>
      <c r="Y54" s="2"/>
      <c r="Z54" s="3"/>
      <c r="AA54" s="83"/>
    </row>
    <row r="55" spans="1:27" ht="14.1" customHeight="1" x14ac:dyDescent="0.2">
      <c r="A55" s="334" t="s">
        <v>129</v>
      </c>
      <c r="B55" s="54"/>
      <c r="C55" s="323">
        <f>[3]Southwest!$HM$19</f>
        <v>808</v>
      </c>
      <c r="D55" s="325">
        <f>[3]Southwest!$GY$19</f>
        <v>499</v>
      </c>
      <c r="E55" s="326">
        <f>(C55-D55)/D55</f>
        <v>0.61923847695390777</v>
      </c>
      <c r="F55" s="325">
        <f>SUM([3]Southwest!$HD$19:$HM$19)</f>
        <v>7837</v>
      </c>
      <c r="G55" s="325">
        <f>SUM([3]Southwest!$GP$19:$GY$19)</f>
        <v>7295</v>
      </c>
      <c r="H55" s="324">
        <f>(F55-G55)/G55</f>
        <v>7.4297464016449627E-2</v>
      </c>
      <c r="I55" s="326">
        <f>F55/$F$73</f>
        <v>3.488366917266459E-2</v>
      </c>
      <c r="J55" s="334" t="s">
        <v>129</v>
      </c>
      <c r="K55" s="54"/>
      <c r="L55" s="323">
        <f>[3]Southwest!$HM$41</f>
        <v>103466</v>
      </c>
      <c r="M55" s="325">
        <f>[3]Southwest!$GY$41</f>
        <v>42969</v>
      </c>
      <c r="N55" s="326">
        <f>(L55-M55)/M55</f>
        <v>1.4079219902720566</v>
      </c>
      <c r="O55" s="323">
        <f>SUM([3]Southwest!$HD$41:$HM$41)</f>
        <v>963302</v>
      </c>
      <c r="P55" s="325">
        <f>SUM([3]Southwest!$GP$41:$GY$41)</f>
        <v>574778</v>
      </c>
      <c r="Q55" s="324">
        <f>(O55-P55)/P55</f>
        <v>0.67595489040986256</v>
      </c>
      <c r="R55" s="326">
        <f>O55/$O$73</f>
        <v>4.8515004768894698E-2</v>
      </c>
      <c r="S55" s="322" t="s">
        <v>129</v>
      </c>
      <c r="T55" s="54"/>
      <c r="U55" s="473">
        <f>[3]Southwest!$HM$64</f>
        <v>273805</v>
      </c>
      <c r="V55" s="465">
        <f>[3]Southwest!$GY$64</f>
        <v>291422</v>
      </c>
      <c r="W55" s="474">
        <f>(U55-V55)/V55</f>
        <v>-6.0451853326104414E-2</v>
      </c>
      <c r="X55" s="473">
        <f>SUM([3]Southwest!$HD$64:$HM$64)</f>
        <v>3086033</v>
      </c>
      <c r="Y55" s="465">
        <f>SUM([3]Southwest!$GP$64:$GY$64)</f>
        <v>2525165</v>
      </c>
      <c r="Z55" s="475">
        <f>(X55-Y55)/Y55</f>
        <v>0.2221114263820384</v>
      </c>
      <c r="AA55" s="474">
        <f>X55/$X$73</f>
        <v>6.1073360552049781E-2</v>
      </c>
    </row>
    <row r="56" spans="1:27" ht="14.1" customHeight="1" x14ac:dyDescent="0.2">
      <c r="A56" s="322"/>
      <c r="B56" s="54"/>
      <c r="C56" s="323"/>
      <c r="D56" s="325"/>
      <c r="E56" s="326"/>
      <c r="F56" s="325"/>
      <c r="G56" s="325"/>
      <c r="H56" s="324"/>
      <c r="I56" s="326"/>
      <c r="J56" s="322"/>
      <c r="K56" s="54"/>
      <c r="L56" s="327"/>
      <c r="M56" s="9"/>
      <c r="N56" s="84"/>
      <c r="O56" s="327"/>
      <c r="P56" s="9"/>
      <c r="Q56" s="38"/>
      <c r="R56" s="84"/>
      <c r="S56" s="322"/>
      <c r="T56" s="54"/>
      <c r="U56" s="449"/>
      <c r="V56" s="2"/>
      <c r="W56" s="83"/>
      <c r="X56" s="449"/>
      <c r="Y56" s="2"/>
      <c r="Z56" s="3"/>
      <c r="AA56" s="83"/>
    </row>
    <row r="57" spans="1:27" ht="14.1" customHeight="1" x14ac:dyDescent="0.2">
      <c r="A57" s="322" t="s">
        <v>155</v>
      </c>
      <c r="B57" s="54"/>
      <c r="C57" s="323">
        <f>[3]Spirit!$HM$19</f>
        <v>199</v>
      </c>
      <c r="D57" s="325">
        <f>[3]Spirit!$GY$19</f>
        <v>159</v>
      </c>
      <c r="E57" s="326">
        <f>(C57-D57)/D57</f>
        <v>0.25157232704402516</v>
      </c>
      <c r="F57" s="325">
        <f>SUM([3]Spirit!$HD$19:$HM$19)</f>
        <v>2926</v>
      </c>
      <c r="G57" s="325">
        <f>SUM([3]Spirit!$GP$19:$GY$19)</f>
        <v>3060</v>
      </c>
      <c r="H57" s="324">
        <f>(F57-G57)/G57</f>
        <v>-4.3790849673202611E-2</v>
      </c>
      <c r="I57" s="326">
        <f>F57/$F$73</f>
        <v>1.3024067372619191E-2</v>
      </c>
      <c r="J57" s="322" t="s">
        <v>155</v>
      </c>
      <c r="K57" s="54"/>
      <c r="L57" s="323">
        <f>[3]Spirit!$HM$41</f>
        <v>27009</v>
      </c>
      <c r="M57" s="325">
        <f>[3]Spirit!$GY$41</f>
        <v>23155</v>
      </c>
      <c r="N57" s="326">
        <f>(L57-M57)/M57</f>
        <v>0.16644353271431656</v>
      </c>
      <c r="O57" s="323">
        <f>SUM([3]Spirit!$HD$41:$HM$41)</f>
        <v>413158</v>
      </c>
      <c r="P57" s="325">
        <f>SUM([3]Spirit!$GP$41:$GY$41)</f>
        <v>389083</v>
      </c>
      <c r="Q57" s="324">
        <f>(O57-P57)/P57</f>
        <v>6.1876257765052699E-2</v>
      </c>
      <c r="R57" s="326">
        <f>O57/$O$73</f>
        <v>2.0807973346164542E-2</v>
      </c>
      <c r="S57" s="322" t="s">
        <v>155</v>
      </c>
      <c r="T57" s="54"/>
      <c r="U57" s="473">
        <f>[3]Spirit!$HM$64</f>
        <v>0</v>
      </c>
      <c r="V57" s="465">
        <f>[3]Spirit!$GY$64</f>
        <v>0</v>
      </c>
      <c r="W57" s="474" t="e">
        <f>(U57-V57)/V57</f>
        <v>#DIV/0!</v>
      </c>
      <c r="X57" s="473">
        <f>SUM([3]Spirit!$HD$64:$HM$64)</f>
        <v>0</v>
      </c>
      <c r="Y57" s="465">
        <f>SUM([3]Spirit!$GP$64:$GY$64)</f>
        <v>0</v>
      </c>
      <c r="Z57" s="475" t="e">
        <f>(X57-Y57)/Y57</f>
        <v>#DIV/0!</v>
      </c>
      <c r="AA57" s="474">
        <f>X57/$X$73</f>
        <v>0</v>
      </c>
    </row>
    <row r="58" spans="1:27" ht="14.1" customHeight="1" x14ac:dyDescent="0.2">
      <c r="A58" s="322"/>
      <c r="B58" s="54"/>
      <c r="C58" s="323"/>
      <c r="D58" s="325"/>
      <c r="E58" s="326"/>
      <c r="F58" s="325"/>
      <c r="G58" s="325"/>
      <c r="H58" s="324"/>
      <c r="I58" s="326"/>
      <c r="J58" s="322"/>
      <c r="K58" s="54"/>
      <c r="L58" s="327"/>
      <c r="M58" s="9"/>
      <c r="N58" s="84"/>
      <c r="O58" s="327"/>
      <c r="P58" s="9"/>
      <c r="Q58" s="38"/>
      <c r="R58" s="84">
        <f>O58/$O$73</f>
        <v>0</v>
      </c>
      <c r="S58" s="322"/>
      <c r="T58" s="54"/>
      <c r="U58" s="449"/>
      <c r="V58" s="2"/>
      <c r="W58" s="83"/>
      <c r="X58" s="449"/>
      <c r="Y58" s="2"/>
      <c r="Z58" s="3"/>
      <c r="AA58" s="83">
        <f>X58/$X$73</f>
        <v>0</v>
      </c>
    </row>
    <row r="59" spans="1:27" s="7" customFormat="1" ht="14.1" customHeight="1" x14ac:dyDescent="0.2">
      <c r="A59" s="322" t="s">
        <v>49</v>
      </c>
      <c r="B59" s="336"/>
      <c r="C59" s="323">
        <f>'[3]Sun Country'!$HM$19</f>
        <v>1632</v>
      </c>
      <c r="D59" s="325">
        <f>'[3]Sun Country'!$GY$19</f>
        <v>1140</v>
      </c>
      <c r="E59" s="326">
        <f>(C59-D59)/D59</f>
        <v>0.43157894736842106</v>
      </c>
      <c r="F59" s="325">
        <f>SUM('[3]Sun Country'!$HD$19:$HM$19)</f>
        <v>15887</v>
      </c>
      <c r="G59" s="325">
        <f>SUM('[3]Sun Country'!$GP$19:$GY$19)</f>
        <v>11237</v>
      </c>
      <c r="H59" s="324">
        <f>(F59-G59)/G59</f>
        <v>0.41381151552905582</v>
      </c>
      <c r="I59" s="326">
        <f>F59/$F$73</f>
        <v>7.0715433475325051E-2</v>
      </c>
      <c r="J59" s="322" t="s">
        <v>49</v>
      </c>
      <c r="K59" s="336"/>
      <c r="L59" s="323">
        <f>'[3]Sun Country'!$HM$41</f>
        <v>199811</v>
      </c>
      <c r="M59" s="325">
        <f>'[3]Sun Country'!$GY$41</f>
        <v>127180</v>
      </c>
      <c r="N59" s="326">
        <f>(L59-M59)/M59</f>
        <v>0.57108822141846205</v>
      </c>
      <c r="O59" s="323">
        <f>SUM('[3]Sun Country'!$HD$41:$HM$41)</f>
        <v>1972390</v>
      </c>
      <c r="P59" s="325">
        <f>SUM('[3]Sun Country'!$GP$41:$GY$41)</f>
        <v>1250227</v>
      </c>
      <c r="Q59" s="324">
        <f>(O59-P59)/P59</f>
        <v>0.57762550320861727</v>
      </c>
      <c r="R59" s="326">
        <f>O59/$O$73</f>
        <v>9.9335940604421261E-2</v>
      </c>
      <c r="S59" s="322" t="s">
        <v>49</v>
      </c>
      <c r="T59" s="54"/>
      <c r="U59" s="473">
        <f>'[3]Sun Country'!$HM$64</f>
        <v>229068</v>
      </c>
      <c r="V59" s="465">
        <f>'[3]Sun Country'!$GY$64</f>
        <v>374204</v>
      </c>
      <c r="W59" s="474">
        <f>(U59-V59)/V59</f>
        <v>-0.38785261515109404</v>
      </c>
      <c r="X59" s="473">
        <f>SUM('[3]Sun Country'!$HD$64:$HM$64)</f>
        <v>3817941</v>
      </c>
      <c r="Y59" s="465">
        <f>SUM('[3]Sun Country'!$GP$64:$GY$64)</f>
        <v>3159340</v>
      </c>
      <c r="Z59" s="475">
        <f>(X59-Y59)/Y59</f>
        <v>0.20846157741806834</v>
      </c>
      <c r="AA59" s="474">
        <f>X59/$X$73</f>
        <v>7.5558001894164284E-2</v>
      </c>
    </row>
    <row r="60" spans="1:27" s="7" customFormat="1" ht="14.1" customHeight="1" x14ac:dyDescent="0.2">
      <c r="A60" s="322"/>
      <c r="B60" s="336"/>
      <c r="C60" s="323"/>
      <c r="D60" s="325"/>
      <c r="E60" s="326"/>
      <c r="F60" s="325"/>
      <c r="G60" s="325"/>
      <c r="H60" s="324"/>
      <c r="I60" s="326"/>
      <c r="J60" s="322"/>
      <c r="K60" s="336"/>
      <c r="L60" s="327"/>
      <c r="M60" s="9"/>
      <c r="N60" s="84"/>
      <c r="O60" s="327"/>
      <c r="P60" s="9"/>
      <c r="Q60" s="38"/>
      <c r="R60" s="84"/>
      <c r="S60" s="322"/>
      <c r="T60" s="54"/>
      <c r="U60" s="449"/>
      <c r="V60" s="2"/>
      <c r="W60" s="83"/>
      <c r="X60" s="449"/>
      <c r="Y60" s="2"/>
      <c r="Z60" s="3"/>
      <c r="AA60" s="83"/>
    </row>
    <row r="61" spans="1:27" s="7" customFormat="1" ht="14.1" customHeight="1" x14ac:dyDescent="0.2">
      <c r="A61" s="322" t="s">
        <v>19</v>
      </c>
      <c r="B61" s="330"/>
      <c r="C61" s="323">
        <f>SUM(C62:C68)</f>
        <v>979</v>
      </c>
      <c r="D61" s="325">
        <f>SUM(D62:D68)</f>
        <v>676</v>
      </c>
      <c r="E61" s="326">
        <f t="shared" ref="E61:E68" si="39">(C61-D61)/D61</f>
        <v>0.44822485207100593</v>
      </c>
      <c r="F61" s="325">
        <f>SUM(F62:F68)</f>
        <v>7357</v>
      </c>
      <c r="G61" s="325">
        <f>SUM(G62:G68)</f>
        <v>7581</v>
      </c>
      <c r="H61" s="324">
        <f t="shared" ref="H61:H68" si="40">(F61-G61)/G61</f>
        <v>-2.9547553093259463E-2</v>
      </c>
      <c r="I61" s="326">
        <f t="shared" ref="I61:I68" si="41">F61/$F$73</f>
        <v>3.2747116767040119E-2</v>
      </c>
      <c r="J61" s="322" t="s">
        <v>19</v>
      </c>
      <c r="K61" s="330"/>
      <c r="L61" s="323">
        <f>SUM(L62:L68)</f>
        <v>99613</v>
      </c>
      <c r="M61" s="325">
        <f>SUM(M62:M68)</f>
        <v>51040</v>
      </c>
      <c r="N61" s="326">
        <f t="shared" ref="N61:N68" si="42">(L61-M61)/M61</f>
        <v>0.95166536050156736</v>
      </c>
      <c r="O61" s="323">
        <f>SUM(O62:O68)</f>
        <v>696911</v>
      </c>
      <c r="P61" s="325">
        <f>SUM(P62:P68)</f>
        <v>486263</v>
      </c>
      <c r="Q61" s="324">
        <f t="shared" ref="Q61:Q68" si="43">(O61-P61)/P61</f>
        <v>0.43319767286427302</v>
      </c>
      <c r="R61" s="326">
        <f t="shared" ref="R61:R68" si="44">O61/$O$73</f>
        <v>3.5098692298464212E-2</v>
      </c>
      <c r="S61" s="322" t="s">
        <v>19</v>
      </c>
      <c r="T61" s="330"/>
      <c r="U61" s="473">
        <f>SUM(U62:U68)</f>
        <v>76053</v>
      </c>
      <c r="V61" s="465">
        <f>SUM(V62:V68)</f>
        <v>79096</v>
      </c>
      <c r="W61" s="474">
        <f t="shared" ref="W61:W68" si="45">(U61-V61)/V61</f>
        <v>-3.8472236269849296E-2</v>
      </c>
      <c r="X61" s="473">
        <f>SUM(X62:X68)</f>
        <v>1202489</v>
      </c>
      <c r="Y61" s="465">
        <f>SUM(Y62:Y68)</f>
        <v>709296</v>
      </c>
      <c r="Z61" s="475">
        <f t="shared" ref="Z61:Z68" si="46">(X61-Y61)/Y61</f>
        <v>0.69532747964178565</v>
      </c>
      <c r="AA61" s="474">
        <f t="shared" ref="AA61:AA68" si="47">X61/$X$73</f>
        <v>2.3797556363419896E-2</v>
      </c>
    </row>
    <row r="62" spans="1:27" s="7" customFormat="1" ht="14.1" customHeight="1" x14ac:dyDescent="0.2">
      <c r="A62" s="337"/>
      <c r="B62" s="395" t="s">
        <v>19</v>
      </c>
      <c r="C62" s="327">
        <f>[3]United!$HM$19</f>
        <v>532</v>
      </c>
      <c r="D62" s="9">
        <f>[3]United!$GY$19+[3]Continental!$GY$19</f>
        <v>286</v>
      </c>
      <c r="E62" s="84">
        <f t="shared" si="39"/>
        <v>0.8601398601398601</v>
      </c>
      <c r="F62" s="9">
        <f>SUM([3]United!$HD$19:$HM$19)</f>
        <v>3928</v>
      </c>
      <c r="G62" s="9">
        <f>SUM([3]United!$GP$19:$GY$19)+SUM([3]Continental!$GP$19:$GY$19)</f>
        <v>2446</v>
      </c>
      <c r="H62" s="38">
        <f t="shared" si="40"/>
        <v>0.60588716271463616</v>
      </c>
      <c r="I62" s="84">
        <f t="shared" si="41"/>
        <v>1.7484120519360279E-2</v>
      </c>
      <c r="J62" s="337"/>
      <c r="K62" s="395" t="s">
        <v>19</v>
      </c>
      <c r="L62" s="327">
        <f>[3]United!$HM$41</f>
        <v>70784</v>
      </c>
      <c r="M62" s="9">
        <f>[3]United!$GY$41+[3]Continental!$GY$41</f>
        <v>31605</v>
      </c>
      <c r="N62" s="84">
        <f t="shared" si="42"/>
        <v>1.2396456256921373</v>
      </c>
      <c r="O62" s="327">
        <f>SUM([3]United!$HD$41:$HM$41)</f>
        <v>490455</v>
      </c>
      <c r="P62" s="9">
        <f>SUM([3]United!$GP$41:$GY$41)+SUM([3]Continental!$GP$41:$GY$41)</f>
        <v>241546</v>
      </c>
      <c r="Q62" s="38">
        <f t="shared" si="43"/>
        <v>1.0304828065875651</v>
      </c>
      <c r="R62" s="84">
        <f t="shared" si="44"/>
        <v>2.4700900303257181E-2</v>
      </c>
      <c r="S62" s="52"/>
      <c r="T62" s="396" t="s">
        <v>19</v>
      </c>
      <c r="U62" s="449">
        <f>[3]United!$HM$64</f>
        <v>76053</v>
      </c>
      <c r="V62" s="2">
        <f>[3]United!$GY$64+[3]Continental!$GY$64</f>
        <v>79096</v>
      </c>
      <c r="W62" s="83">
        <f t="shared" si="45"/>
        <v>-3.8472236269849296E-2</v>
      </c>
      <c r="X62" s="449">
        <f>SUM([3]United!$HD$64:$HM$64)</f>
        <v>1202489</v>
      </c>
      <c r="Y62" s="2">
        <f>SUM([3]United!$GP$64:$GY$64)+SUM([3]Continental!$GP$64:$GY$64)</f>
        <v>709296</v>
      </c>
      <c r="Z62" s="3">
        <f t="shared" si="46"/>
        <v>0.69532747964178565</v>
      </c>
      <c r="AA62" s="83">
        <f t="shared" si="47"/>
        <v>2.3797556363419896E-2</v>
      </c>
    </row>
    <row r="63" spans="1:27" s="7" customFormat="1" ht="14.1" customHeight="1" x14ac:dyDescent="0.2">
      <c r="A63" s="337"/>
      <c r="B63" s="397" t="s">
        <v>166</v>
      </c>
      <c r="C63" s="327">
        <f>'[3]Continental Express'!$HM$19</f>
        <v>0</v>
      </c>
      <c r="D63" s="9">
        <f>'[3]Continental Express'!$GY$19</f>
        <v>0</v>
      </c>
      <c r="E63" s="84" t="e">
        <f t="shared" si="39"/>
        <v>#DIV/0!</v>
      </c>
      <c r="F63" s="9">
        <f>SUM('[3]Continental Express'!$HD$19:$HM$19)</f>
        <v>0</v>
      </c>
      <c r="G63" s="9">
        <f>SUM('[3]Continental Express'!$GP$19:$GY$19)</f>
        <v>236</v>
      </c>
      <c r="H63" s="38">
        <f t="shared" si="40"/>
        <v>-1</v>
      </c>
      <c r="I63" s="84">
        <f t="shared" si="41"/>
        <v>0</v>
      </c>
      <c r="J63" s="52"/>
      <c r="K63" s="395" t="s">
        <v>166</v>
      </c>
      <c r="L63" s="327">
        <f>'[3]Continental Express'!$HM$41</f>
        <v>0</v>
      </c>
      <c r="M63" s="9">
        <f>'[3]Continental Express'!$GY$41</f>
        <v>0</v>
      </c>
      <c r="N63" s="84" t="e">
        <f t="shared" si="42"/>
        <v>#DIV/0!</v>
      </c>
      <c r="O63" s="327">
        <f>SUM('[3]Continental Express'!$HD$41:$HM$41)</f>
        <v>0</v>
      </c>
      <c r="P63" s="9">
        <f>SUM('[3]Continental Express'!$GP$41:$GY$41)</f>
        <v>10983</v>
      </c>
      <c r="Q63" s="38">
        <f t="shared" si="43"/>
        <v>-1</v>
      </c>
      <c r="R63" s="84">
        <f t="shared" si="44"/>
        <v>0</v>
      </c>
      <c r="S63" s="52"/>
      <c r="T63" s="396" t="s">
        <v>166</v>
      </c>
      <c r="U63" s="449">
        <f>'[3]Continental Express'!$HM$64</f>
        <v>0</v>
      </c>
      <c r="V63" s="2">
        <f>'[3]Continental Express'!$GY$64</f>
        <v>0</v>
      </c>
      <c r="W63" s="83" t="e">
        <f t="shared" si="45"/>
        <v>#DIV/0!</v>
      </c>
      <c r="X63" s="449">
        <f>SUM('[3]Continental Express'!$HD$64:$HM$64)</f>
        <v>0</v>
      </c>
      <c r="Y63" s="2">
        <f>SUM('[3]Continental Express'!$GP$64:$GY$64)</f>
        <v>0</v>
      </c>
      <c r="Z63" s="3" t="e">
        <f t="shared" si="46"/>
        <v>#DIV/0!</v>
      </c>
      <c r="AA63" s="83">
        <f t="shared" si="47"/>
        <v>0</v>
      </c>
    </row>
    <row r="64" spans="1:27" s="7" customFormat="1" ht="14.1" customHeight="1" x14ac:dyDescent="0.2">
      <c r="A64" s="337"/>
      <c r="B64" s="332" t="s">
        <v>154</v>
      </c>
      <c r="C64" s="327">
        <f>'[3]Go Jet_UA'!$HM$19</f>
        <v>0</v>
      </c>
      <c r="D64" s="9">
        <f>'[3]Go Jet_UA'!$GY$19</f>
        <v>0</v>
      </c>
      <c r="E64" s="84" t="e">
        <f t="shared" si="39"/>
        <v>#DIV/0!</v>
      </c>
      <c r="F64" s="9">
        <f>SUM('[3]Go Jet_UA'!$HD$19:$HM$19)</f>
        <v>2</v>
      </c>
      <c r="G64" s="9">
        <f>SUM('[3]Go Jet_UA'!$GP$19:$GY$19)</f>
        <v>2</v>
      </c>
      <c r="H64" s="38">
        <f t="shared" si="40"/>
        <v>0</v>
      </c>
      <c r="I64" s="84">
        <f t="shared" si="41"/>
        <v>8.9023016901019763E-6</v>
      </c>
      <c r="J64" s="337"/>
      <c r="K64" s="331" t="s">
        <v>154</v>
      </c>
      <c r="L64" s="327">
        <f>'[3]Go Jet_UA'!$HM$41</f>
        <v>0</v>
      </c>
      <c r="M64" s="9">
        <f>'[3]Go Jet_UA'!$GY$41</f>
        <v>0</v>
      </c>
      <c r="N64" s="84" t="e">
        <f t="shared" si="42"/>
        <v>#DIV/0!</v>
      </c>
      <c r="O64" s="327">
        <f>SUM('[3]Go Jet_UA'!$HD$41:$HM$41)</f>
        <v>0</v>
      </c>
      <c r="P64" s="9">
        <f>SUM('[3]Go Jet_UA'!$GP$41:$GY$41)</f>
        <v>83</v>
      </c>
      <c r="Q64" s="38">
        <f t="shared" si="43"/>
        <v>-1</v>
      </c>
      <c r="R64" s="84">
        <f t="shared" si="44"/>
        <v>0</v>
      </c>
      <c r="S64" s="52"/>
      <c r="T64" s="54" t="s">
        <v>154</v>
      </c>
      <c r="U64" s="449">
        <f>'[3]Go Jet_UA'!$HM$64</f>
        <v>0</v>
      </c>
      <c r="V64" s="2">
        <f>'[3]Go Jet_UA'!$GY$64</f>
        <v>0</v>
      </c>
      <c r="W64" s="83" t="e">
        <f t="shared" si="45"/>
        <v>#DIV/0!</v>
      </c>
      <c r="X64" s="449">
        <f>SUM('[3]Go Jet_UA'!$HD$64:$HM$64)</f>
        <v>0</v>
      </c>
      <c r="Y64" s="2">
        <f>SUM('[3]Go Jet_UA'!$GP$64:$GY$64)</f>
        <v>0</v>
      </c>
      <c r="Z64" s="3" t="e">
        <f t="shared" si="46"/>
        <v>#DIV/0!</v>
      </c>
      <c r="AA64" s="83">
        <f t="shared" si="47"/>
        <v>0</v>
      </c>
    </row>
    <row r="65" spans="1:27" s="7" customFormat="1" ht="14.1" customHeight="1" x14ac:dyDescent="0.2">
      <c r="A65" s="337"/>
      <c r="B65" s="332" t="s">
        <v>51</v>
      </c>
      <c r="C65" s="327">
        <f>[3]MESA_UA!$HM$19</f>
        <v>166</v>
      </c>
      <c r="D65" s="9">
        <f>[3]MESA_UA!$GY$19</f>
        <v>124</v>
      </c>
      <c r="E65" s="84">
        <f t="shared" si="39"/>
        <v>0.33870967741935482</v>
      </c>
      <c r="F65" s="9">
        <f>SUM([3]MESA_UA!$HD$19:$HM$19)</f>
        <v>1284</v>
      </c>
      <c r="G65" s="9">
        <f>SUM([3]MESA_UA!$GP$19:$GY$19)</f>
        <v>1551</v>
      </c>
      <c r="H65" s="38">
        <f>(F65-G65)/G65</f>
        <v>-0.17214700193423599</v>
      </c>
      <c r="I65" s="84">
        <f t="shared" si="41"/>
        <v>5.7152776850454686E-3</v>
      </c>
      <c r="J65" s="337"/>
      <c r="K65" s="331" t="s">
        <v>51</v>
      </c>
      <c r="L65" s="327">
        <f>[3]MESA_UA!$HM$41</f>
        <v>10491</v>
      </c>
      <c r="M65" s="9">
        <f>[3]MESA_UA!$GY$41</f>
        <v>6799</v>
      </c>
      <c r="N65" s="84">
        <f t="shared" si="42"/>
        <v>0.54302103250478007</v>
      </c>
      <c r="O65" s="327">
        <f>SUM([3]MESA_UA!$HD$41:$HM$41)</f>
        <v>77455</v>
      </c>
      <c r="P65" s="9">
        <f>SUM([3]MESA_UA!$GP$41:$GY$41)</f>
        <v>74287</v>
      </c>
      <c r="Q65" s="38">
        <f t="shared" si="43"/>
        <v>4.2645415752419667E-2</v>
      </c>
      <c r="R65" s="84">
        <f t="shared" si="44"/>
        <v>3.9008843481844104E-3</v>
      </c>
      <c r="S65" s="52"/>
      <c r="T65" s="54" t="s">
        <v>51</v>
      </c>
      <c r="U65" s="449">
        <f>[3]MESA_UA!$HM$64</f>
        <v>0</v>
      </c>
      <c r="V65" s="2">
        <f>[3]MESA_UA!$GY$64</f>
        <v>0</v>
      </c>
      <c r="W65" s="83" t="e">
        <f t="shared" si="45"/>
        <v>#DIV/0!</v>
      </c>
      <c r="X65" s="449">
        <f>SUM([3]MESA_UA!$HD$64:$HM$64)</f>
        <v>0</v>
      </c>
      <c r="Y65" s="2">
        <f>SUM([3]MESA_UA!$GP$64:$GY$64)</f>
        <v>0</v>
      </c>
      <c r="Z65" s="3" t="e">
        <f t="shared" si="46"/>
        <v>#DIV/0!</v>
      </c>
      <c r="AA65" s="83">
        <f t="shared" si="47"/>
        <v>0</v>
      </c>
    </row>
    <row r="66" spans="1:27" s="7" customFormat="1" ht="14.1" customHeight="1" x14ac:dyDescent="0.2">
      <c r="A66" s="337"/>
      <c r="B66" s="397" t="s">
        <v>52</v>
      </c>
      <c r="C66" s="327">
        <f>[3]Republic_UA!$HM$19</f>
        <v>185</v>
      </c>
      <c r="D66" s="9">
        <f>[3]Republic_UA!$GY$19</f>
        <v>124</v>
      </c>
      <c r="E66" s="84">
        <f t="shared" si="39"/>
        <v>0.49193548387096775</v>
      </c>
      <c r="F66" s="9">
        <f>SUM([3]Republic_UA!$HD$19:$HM$19)</f>
        <v>1307</v>
      </c>
      <c r="G66" s="9">
        <f>SUM([3]Republic_UA!$GP$19:$GY$19)</f>
        <v>1918</v>
      </c>
      <c r="H66" s="38">
        <f t="shared" ref="H66" si="48">(F66-G66)/G66</f>
        <v>-0.31856100104275287</v>
      </c>
      <c r="I66" s="84">
        <f t="shared" si="41"/>
        <v>5.8176541544816412E-3</v>
      </c>
      <c r="J66" s="337"/>
      <c r="K66" s="397" t="s">
        <v>52</v>
      </c>
      <c r="L66" s="327">
        <f>[3]Republic_UA!$HM$41</f>
        <v>11957</v>
      </c>
      <c r="M66" s="9">
        <f>[3]Republic_UA!$GY$41</f>
        <v>5713</v>
      </c>
      <c r="N66" s="84">
        <f t="shared" si="42"/>
        <v>1.0929459128303869</v>
      </c>
      <c r="O66" s="327">
        <f>SUM([3]Republic_UA!$HD$41:$HM$41)</f>
        <v>76867</v>
      </c>
      <c r="P66" s="9">
        <f>SUM([3]Republic_UA!$GP$41:$GY$41)</f>
        <v>86682</v>
      </c>
      <c r="Q66" s="38">
        <f t="shared" si="43"/>
        <v>-0.11322996700583743</v>
      </c>
      <c r="R66" s="84">
        <f t="shared" si="44"/>
        <v>3.8712707661466795E-3</v>
      </c>
      <c r="S66" s="52"/>
      <c r="T66" s="396" t="s">
        <v>52</v>
      </c>
      <c r="U66" s="449">
        <f>[3]Republic_UA!$HM$64</f>
        <v>0</v>
      </c>
      <c r="V66" s="2">
        <f>[3]Republic_UA!$GY$64</f>
        <v>0</v>
      </c>
      <c r="W66" s="83" t="e">
        <f t="shared" si="45"/>
        <v>#DIV/0!</v>
      </c>
      <c r="X66" s="449">
        <f>SUM([3]Republic_UA!$HD$64:$HM$64)</f>
        <v>0</v>
      </c>
      <c r="Y66" s="2">
        <f>SUM([3]Republic_UA!$GP$64:$GY$64)</f>
        <v>0</v>
      </c>
      <c r="Z66" s="3" t="e">
        <f t="shared" si="46"/>
        <v>#DIV/0!</v>
      </c>
      <c r="AA66" s="83">
        <f t="shared" si="47"/>
        <v>0</v>
      </c>
    </row>
    <row r="67" spans="1:27" s="7" customFormat="1" ht="14.1" customHeight="1" x14ac:dyDescent="0.2">
      <c r="A67" s="337"/>
      <c r="B67" s="332" t="s">
        <v>97</v>
      </c>
      <c r="C67" s="327">
        <f>'[3]Sky West_UA'!$HM$19</f>
        <v>96</v>
      </c>
      <c r="D67" s="9">
        <f>'[3]Sky West_UA'!$GY$19+'[3]Sky West_CO'!$GY$19</f>
        <v>142</v>
      </c>
      <c r="E67" s="84">
        <f t="shared" si="39"/>
        <v>-0.323943661971831</v>
      </c>
      <c r="F67" s="9">
        <f>SUM('[3]Sky West_UA'!$HD$19:$HM$19)</f>
        <v>836</v>
      </c>
      <c r="G67" s="9">
        <f>SUM('[3]Sky West_UA'!$GP$19:$GY$19)+SUM('[3]Sky West_CO'!$GP$19:$GY$19)</f>
        <v>1428</v>
      </c>
      <c r="H67" s="38">
        <f t="shared" si="40"/>
        <v>-0.41456582633053224</v>
      </c>
      <c r="I67" s="84">
        <f t="shared" si="41"/>
        <v>3.7211621064626261E-3</v>
      </c>
      <c r="J67" s="337"/>
      <c r="K67" s="331" t="s">
        <v>97</v>
      </c>
      <c r="L67" s="327">
        <f>'[3]Sky West_UA'!$HM$41</f>
        <v>6381</v>
      </c>
      <c r="M67" s="9">
        <f>'[3]Sky West_UA'!$GY$41+'[3]Sky West_CO'!$GY$41</f>
        <v>6923</v>
      </c>
      <c r="N67" s="84">
        <f t="shared" si="42"/>
        <v>-7.8289758775097501E-2</v>
      </c>
      <c r="O67" s="327">
        <f>SUM('[3]Sky West_UA'!$HD$41:$HM$41)</f>
        <v>52134</v>
      </c>
      <c r="P67" s="9">
        <f>SUM('[3]Sky West_UA'!$GP$41:$GY$41)+SUM('[3]Sky West_CO'!$GP$41:$GY$41)</f>
        <v>72682</v>
      </c>
      <c r="Q67" s="38">
        <f t="shared" si="43"/>
        <v>-0.28271098758977464</v>
      </c>
      <c r="R67" s="84">
        <f t="shared" si="44"/>
        <v>2.6256368808759414E-3</v>
      </c>
      <c r="S67" s="52"/>
      <c r="T67" s="54" t="s">
        <v>97</v>
      </c>
      <c r="U67" s="449">
        <f>'[3]Sky West_UA'!$HM$64</f>
        <v>0</v>
      </c>
      <c r="V67" s="2">
        <f>'[3]Sky West_UA'!$GY$64+'[3]Sky West_CO'!$GY$64</f>
        <v>0</v>
      </c>
      <c r="W67" s="83" t="e">
        <f t="shared" si="45"/>
        <v>#DIV/0!</v>
      </c>
      <c r="X67" s="449">
        <f>SUM('[3]Sky West_UA'!$HD$64:$HM$64)</f>
        <v>0</v>
      </c>
      <c r="Y67" s="2">
        <f>SUM('[3]Sky West_UA'!$GP$64:$GY$64)+SUM('[3]Sky West_CO'!$GP$64:$GY$64)</f>
        <v>0</v>
      </c>
      <c r="Z67" s="3" t="e">
        <f t="shared" si="46"/>
        <v>#DIV/0!</v>
      </c>
      <c r="AA67" s="83">
        <f t="shared" si="47"/>
        <v>0</v>
      </c>
    </row>
    <row r="68" spans="1:27" s="7" customFormat="1" ht="14.1" customHeight="1" x14ac:dyDescent="0.2">
      <c r="A68" s="337"/>
      <c r="B68" s="333" t="s">
        <v>131</v>
      </c>
      <c r="C68" s="327">
        <f>'[3]Shuttle America'!$HM$19</f>
        <v>0</v>
      </c>
      <c r="D68" s="9">
        <f>'[3]Shuttle America'!$GY$19</f>
        <v>0</v>
      </c>
      <c r="E68" s="84" t="e">
        <f t="shared" si="39"/>
        <v>#DIV/0!</v>
      </c>
      <c r="F68" s="9">
        <f>SUM('[3]Shuttle America'!$HD$19:$HM$19)</f>
        <v>0</v>
      </c>
      <c r="G68" s="9">
        <f>SUM('[3]Shuttle America'!$GP$19:$GY$19)</f>
        <v>0</v>
      </c>
      <c r="H68" s="38" t="e">
        <f t="shared" si="40"/>
        <v>#DIV/0!</v>
      </c>
      <c r="I68" s="84">
        <f t="shared" si="41"/>
        <v>0</v>
      </c>
      <c r="J68" s="337"/>
      <c r="K68" s="333" t="s">
        <v>131</v>
      </c>
      <c r="L68" s="327">
        <f>'[3]Shuttle America'!$HM$41</f>
        <v>0</v>
      </c>
      <c r="M68" s="9">
        <f>'[3]Shuttle America'!$GY$41</f>
        <v>0</v>
      </c>
      <c r="N68" s="84" t="e">
        <f t="shared" si="42"/>
        <v>#DIV/0!</v>
      </c>
      <c r="O68" s="327">
        <f>SUM('[3]Shuttle America'!$HD$41:$HM$41)</f>
        <v>0</v>
      </c>
      <c r="P68" s="9">
        <f>SUM('[3]Shuttle America'!$GP$41:$GY$41)</f>
        <v>0</v>
      </c>
      <c r="Q68" s="38" t="e">
        <f t="shared" si="43"/>
        <v>#DIV/0!</v>
      </c>
      <c r="R68" s="84">
        <f t="shared" si="44"/>
        <v>0</v>
      </c>
      <c r="S68" s="52"/>
      <c r="T68" s="398" t="s">
        <v>131</v>
      </c>
      <c r="U68" s="449">
        <f>'[3]Shuttle America'!$HM$64</f>
        <v>0</v>
      </c>
      <c r="V68" s="2">
        <f>'[3]Shuttle America'!$GY$64</f>
        <v>0</v>
      </c>
      <c r="W68" s="83" t="e">
        <f t="shared" si="45"/>
        <v>#DIV/0!</v>
      </c>
      <c r="X68" s="449">
        <f>SUM('[3]Shuttle America'!$HD$64:$HM$64)</f>
        <v>0</v>
      </c>
      <c r="Y68" s="2">
        <f>SUM('[3]Shuttle America'!$GP$64:$GY$64)</f>
        <v>0</v>
      </c>
      <c r="Z68" s="3" t="e">
        <f t="shared" si="46"/>
        <v>#DIV/0!</v>
      </c>
      <c r="AA68" s="83">
        <f t="shared" si="47"/>
        <v>0</v>
      </c>
    </row>
    <row r="69" spans="1:27" s="7" customFormat="1" ht="14.1" customHeight="1" thickBot="1" x14ac:dyDescent="0.25">
      <c r="A69" s="400"/>
      <c r="B69" s="401"/>
      <c r="C69" s="338"/>
      <c r="D69" s="340"/>
      <c r="E69" s="341"/>
      <c r="F69" s="342"/>
      <c r="G69" s="342"/>
      <c r="H69" s="339"/>
      <c r="I69" s="341"/>
      <c r="J69" s="400"/>
      <c r="K69" s="401"/>
      <c r="L69" s="338"/>
      <c r="M69" s="342"/>
      <c r="N69" s="341"/>
      <c r="O69" s="338"/>
      <c r="P69" s="342"/>
      <c r="Q69" s="339"/>
      <c r="R69" s="434"/>
      <c r="S69" s="522"/>
      <c r="T69" s="523"/>
      <c r="U69" s="511"/>
      <c r="V69" s="340"/>
      <c r="W69" s="512"/>
      <c r="X69" s="511"/>
      <c r="Y69" s="340"/>
      <c r="Z69" s="513"/>
      <c r="AA69" s="506"/>
    </row>
    <row r="70" spans="1:27" s="202" customFormat="1" ht="14.1" customHeight="1" thickBot="1" x14ac:dyDescent="0.25">
      <c r="B70" s="237"/>
      <c r="C70" s="325"/>
      <c r="D70" s="325"/>
      <c r="E70" s="324"/>
      <c r="F70" s="399"/>
      <c r="G70" s="325"/>
      <c r="H70" s="324"/>
      <c r="I70" s="324"/>
      <c r="J70" s="343"/>
      <c r="K70" s="237"/>
      <c r="L70" s="344"/>
      <c r="M70" s="345"/>
      <c r="N70" s="343"/>
      <c r="O70" s="203"/>
      <c r="P70" s="203"/>
      <c r="Q70" s="203"/>
      <c r="R70" s="446"/>
      <c r="S70" s="524"/>
      <c r="T70" s="200"/>
      <c r="U70" s="525"/>
      <c r="V70" s="526"/>
      <c r="W70" s="524"/>
    </row>
    <row r="71" spans="1:27" ht="14.1" customHeight="1" x14ac:dyDescent="0.2">
      <c r="B71" s="346" t="s">
        <v>133</v>
      </c>
      <c r="C71" s="410">
        <f>+C73-C72</f>
        <v>14365</v>
      </c>
      <c r="D71" s="410">
        <f>+D73-D72</f>
        <v>9412</v>
      </c>
      <c r="E71" s="411">
        <f>(C71-D71)/D71</f>
        <v>0.52624309392265189</v>
      </c>
      <c r="F71" s="410">
        <f>+F73-F72</f>
        <v>123229</v>
      </c>
      <c r="G71" s="410">
        <f>+G73-G72</f>
        <v>99508</v>
      </c>
      <c r="H71" s="415">
        <f>(F71-G71)/G71</f>
        <v>0.23838284359046508</v>
      </c>
      <c r="I71" s="453">
        <f>F71/$F$73</f>
        <v>0.54851086748478817</v>
      </c>
      <c r="K71" s="346" t="s">
        <v>133</v>
      </c>
      <c r="L71" s="410">
        <f>+L73-L72</f>
        <v>1881791</v>
      </c>
      <c r="M71" s="410">
        <f>+M73-M72</f>
        <v>781482</v>
      </c>
      <c r="N71" s="411">
        <f>(L71-M71)/M71</f>
        <v>1.4079774070292086</v>
      </c>
      <c r="O71" s="410">
        <f>+O73-O72</f>
        <v>15170800</v>
      </c>
      <c r="P71" s="410">
        <f>+P73-P72</f>
        <v>9417007</v>
      </c>
      <c r="Q71" s="445">
        <f>(O71-P71)/P71</f>
        <v>0.61100018296683867</v>
      </c>
      <c r="R71" s="450">
        <f>+O71/O73</f>
        <v>0.76405056186735598</v>
      </c>
      <c r="S71" s="3"/>
      <c r="T71" s="527" t="s">
        <v>133</v>
      </c>
      <c r="U71" s="410">
        <f>+U73-U72</f>
        <v>7290819</v>
      </c>
      <c r="V71" s="410">
        <f>+V73-V72</f>
        <v>3971038</v>
      </c>
      <c r="W71" s="411">
        <f>(U71-V71)/V71</f>
        <v>0.83599829565972428</v>
      </c>
      <c r="X71" s="410">
        <f>+X73-X72</f>
        <v>50486746</v>
      </c>
      <c r="Y71" s="410">
        <f>+Y73-Y72</f>
        <v>44720265</v>
      </c>
      <c r="Z71" s="528">
        <f>(X71-Y71)/Y71</f>
        <v>0.12894559099772776</v>
      </c>
      <c r="AA71" s="450">
        <f>+X71/X73</f>
        <v>0.99914525915884789</v>
      </c>
    </row>
    <row r="72" spans="1:27" ht="14.1" customHeight="1" x14ac:dyDescent="0.2">
      <c r="B72" s="300" t="s">
        <v>134</v>
      </c>
      <c r="C72" s="412">
        <f>C68+C45+C43+C41+C40+C44+C25+C67+C64+C42+C63+C65+C30+C29+C26+C20+C8+C66+C27+C28+C10+C21+C9</f>
        <v>9992</v>
      </c>
      <c r="D72" s="412">
        <f>D68+D45+D43+D41+D40+D44+D25+D67+D64+D42+D63+D65+D30+D29+D26+D20+D8+D66+D27+D28+D10+D21+D9</f>
        <v>9523</v>
      </c>
      <c r="E72" s="347">
        <f>(C72-D72)/D72</f>
        <v>4.9249186180825369E-2</v>
      </c>
      <c r="F72" s="412">
        <f>F68+F45+F43+F41+F40+F44+F25+F67+F64+F42+F63+F65+F30+F29+F26+F20+F8+F66+F27+F28+F10+F21+F9</f>
        <v>101432</v>
      </c>
      <c r="G72" s="412">
        <f>G68+G45+G43+G41+G40+G44+G25+G67+G64+G42+G63+G65+G30+G29+G26+G20+G8+G66+G27+G28+G10+G21+G9</f>
        <v>80201</v>
      </c>
      <c r="H72" s="416">
        <f>(F72-G72)/G72</f>
        <v>0.26472238500766826</v>
      </c>
      <c r="I72" s="454">
        <f>F72/$F$73</f>
        <v>0.45148913251521183</v>
      </c>
      <c r="K72" s="300" t="s">
        <v>134</v>
      </c>
      <c r="L72" s="412">
        <f>L68+L45+L43+L41+L40+L44+L25+L67+L64+L42+L63+L65+L30+L29+L26+L20+L8+L66+L27+L28+L10+L21+L9</f>
        <v>534015</v>
      </c>
      <c r="M72" s="412">
        <f>M68+M45+M43+M41+M40+M44+M25+M67+M64+M42+M63+M65+M30+M29+M26+M20+M8+M66+M27+M28+M10+M21+M9</f>
        <v>323107</v>
      </c>
      <c r="N72" s="347">
        <f>(L72-M72)/M72</f>
        <v>0.65274970830096535</v>
      </c>
      <c r="O72" s="412">
        <f>O68+O45+O43+O41+O40+O44+O25+O67+O64+O42+O63+O65+O30+O29+O26+O20+O8+O66+O27+O28+O10+O21+O9</f>
        <v>4684954</v>
      </c>
      <c r="P72" s="412">
        <f>P68+P45+P43+P41+P40+P44+P25+P67+P64+P42+P63+P65+P30+P29+P26+P20+P8+P66+P27+P28+P10+P21+P9</f>
        <v>2840041</v>
      </c>
      <c r="Q72" s="443">
        <f>(O72-P72)/P72</f>
        <v>0.6496078753792639</v>
      </c>
      <c r="R72" s="451">
        <f>+O72/O73</f>
        <v>0.23594943813264407</v>
      </c>
      <c r="S72" s="3"/>
      <c r="T72" s="200" t="s">
        <v>134</v>
      </c>
      <c r="U72" s="412">
        <f>U68+U45+U43+U41+U40+U44+U25+U67+U64+U42+U63+U65+U30+U29+U26+U20+U8+U66+U27+U28+U10+U21+U9</f>
        <v>3902</v>
      </c>
      <c r="V72" s="412">
        <f>V68+V45+V43+V41+V40+V44+V25+V67+V64+V42+V63+V65+V30+V29+V26+V20+V8+V66+V27+V28+V10+V21+V9</f>
        <v>1069</v>
      </c>
      <c r="W72" s="347">
        <f>(U72-V72)/V72</f>
        <v>2.6501403180542562</v>
      </c>
      <c r="X72" s="412">
        <f>X68+X45+X43+X41+X40+X44+X25+X67+X64+X42+X63+X65+X30+X29+X26+X20+X8+X66+X27+X28+X10+X21+X9</f>
        <v>43190</v>
      </c>
      <c r="Y72" s="412">
        <f>Y68+Y45+Y43+Y41+Y40+Y44+Y25+Y67+Y64+Y42+Y63+Y65+Y30+Y29+Y26+Y20+Y8+Y66+Y27+Y28+Y10+Y21+Y9</f>
        <v>30572</v>
      </c>
      <c r="Z72" s="529">
        <f>(X72-Y72)/Y72</f>
        <v>0.41273060316629595</v>
      </c>
      <c r="AA72" s="451">
        <f>+X72/X73</f>
        <v>8.5474084115206477E-4</v>
      </c>
    </row>
    <row r="73" spans="1:27" ht="14.1" customHeight="1" thickBot="1" x14ac:dyDescent="0.25">
      <c r="B73" s="300" t="s">
        <v>135</v>
      </c>
      <c r="C73" s="413">
        <f>C61+C59+C55+C49+C47+C38+C23+C18+C6+C57+C34+C32+C12+C53+C14+C51+C4+C36+C16</f>
        <v>24357</v>
      </c>
      <c r="D73" s="413">
        <f>D61+D59+D55+D49+D47+D38+D23+D18+D6+D57+D34+D32+D12+D53+D14+D51+D4+D36+D16</f>
        <v>18935</v>
      </c>
      <c r="E73" s="414">
        <f>(C73-D73)/D73</f>
        <v>0.28634803274359649</v>
      </c>
      <c r="F73" s="413">
        <f>F61+F59+F55+F49+F47+F38+F23+F18+F6+F57+F34+F32+F12+F53+F14+F51+F4+F36+F16</f>
        <v>224661</v>
      </c>
      <c r="G73" s="413">
        <f>G61+G59+G55+G49+G47+G38+G23+G18+G6+G57+G34+G32+G12+G53+G14+G51+G4+G36+G16</f>
        <v>179709</v>
      </c>
      <c r="H73" s="417">
        <f>(F73-G73)/G73</f>
        <v>0.2501377226516201</v>
      </c>
      <c r="I73" s="455">
        <f>+H73/H73</f>
        <v>1</v>
      </c>
      <c r="K73" s="300" t="s">
        <v>135</v>
      </c>
      <c r="L73" s="413">
        <f>L61+L59+L55+L49+L47+L38+L23+L18+L6+L57+L34+L32+L12+L53+L14+L51+L4+L36+L16</f>
        <v>2415806</v>
      </c>
      <c r="M73" s="413">
        <f>M61+M59+M55+M49+M47+M38+M23+M18+M6+M57+M34+M32+M12+M53+M14+M51+M4+M36+M16</f>
        <v>1104589</v>
      </c>
      <c r="N73" s="414">
        <f>(L73-M73)/M73</f>
        <v>1.1870632425273111</v>
      </c>
      <c r="O73" s="413">
        <f>O61+O59+O55+O49+O47+O38+O23+O18+O6+O57+O34+O32+O12+O53+O14+O51+O4+O36+O16</f>
        <v>19855754</v>
      </c>
      <c r="P73" s="413">
        <f>P61+P59+P55+P49+P47+P38+P23+P18+P6+P57+P34+P32+P12+P53+P14+P51+P4+P36+P16</f>
        <v>12257048</v>
      </c>
      <c r="Q73" s="417">
        <f>(O73-P73)/P73</f>
        <v>0.61994584666715835</v>
      </c>
      <c r="R73" s="455">
        <f>+Q73/Q73</f>
        <v>1</v>
      </c>
      <c r="S73" s="3"/>
      <c r="T73" s="200" t="s">
        <v>135</v>
      </c>
      <c r="U73" s="413">
        <f>U61+U59+U55+U49+U47+U38+U23+U18+U6+U57+U34+U32+U12+U53+U14+U51+U4+U36+U16</f>
        <v>7294721</v>
      </c>
      <c r="V73" s="413">
        <f>V61+V59+V55+V49+V47+V38+V23+V18+V6+V57+V34+V32+V12+V53+V14+V51+V4+V36+V16</f>
        <v>3972107</v>
      </c>
      <c r="W73" s="414">
        <f>(U73-V73)/V73</f>
        <v>0.83648652969318293</v>
      </c>
      <c r="X73" s="413">
        <f>X61+X59+X55+X49+X47+X38+X23+X18+X6+X57+X34+X32+X12+X53+X14+X51+X4+X36+X16</f>
        <v>50529936</v>
      </c>
      <c r="Y73" s="413">
        <f>Y61+Y59+Y55+Y49+Y47+Y38+Y23+Y18+Y6+Y57+Y34+Y32+Y12+Y53+Y14+Y51+Y4+Y36+Y16</f>
        <v>44750837</v>
      </c>
      <c r="Z73" s="417">
        <f>(X73-Y73)/Y73</f>
        <v>0.12913946168202395</v>
      </c>
      <c r="AA73" s="455">
        <f>+Z73/Z73</f>
        <v>1</v>
      </c>
    </row>
    <row r="74" spans="1:27" x14ac:dyDescent="0.2">
      <c r="D74" s="201"/>
      <c r="E74" s="201"/>
      <c r="F74" s="4"/>
      <c r="G74" s="7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Q75" t="s">
        <v>249</v>
      </c>
      <c r="U75" s="128"/>
      <c r="V75" s="128"/>
      <c r="W75" s="128"/>
    </row>
    <row r="76" spans="1:27" x14ac:dyDescent="0.2">
      <c r="E76"/>
      <c r="F76" s="2"/>
      <c r="H76"/>
      <c r="I76"/>
      <c r="J76"/>
      <c r="K76"/>
      <c r="N76"/>
      <c r="O76" s="2"/>
      <c r="P76" s="2"/>
      <c r="U76" s="128"/>
      <c r="V76" s="128"/>
      <c r="W76" s="128"/>
    </row>
    <row r="77" spans="1:27" x14ac:dyDescent="0.2">
      <c r="E77"/>
      <c r="F77" s="2"/>
      <c r="H77"/>
      <c r="I77"/>
      <c r="J77"/>
      <c r="K77"/>
      <c r="N77"/>
      <c r="O77" s="2"/>
      <c r="P77" s="2"/>
      <c r="U77" s="128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E1195" s="36"/>
      <c r="F1195" s="204"/>
      <c r="G1195" s="5"/>
      <c r="H1195" s="36"/>
      <c r="I1195" s="36"/>
      <c r="K1195" s="11"/>
    </row>
    <row r="1196" spans="5:11" x14ac:dyDescent="0.2">
      <c r="E1196" s="36"/>
      <c r="F1196" s="204"/>
      <c r="G1196" s="5"/>
      <c r="H1196" s="36"/>
      <c r="I1196" s="36"/>
      <c r="K1196" s="11"/>
    </row>
    <row r="1197" spans="5:11" x14ac:dyDescent="0.2">
      <c r="E1197" s="36"/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  <row r="4710" spans="6:11" x14ac:dyDescent="0.2">
      <c r="F4710" s="204"/>
      <c r="G4710" s="5"/>
      <c r="H4710" s="36"/>
      <c r="I4710" s="36"/>
      <c r="K4710" s="11"/>
    </row>
    <row r="4711" spans="6:11" x14ac:dyDescent="0.2">
      <c r="F4711" s="204"/>
      <c r="G4711" s="5"/>
      <c r="H4711" s="36"/>
      <c r="I4711" s="36"/>
      <c r="K4711" s="11"/>
    </row>
    <row r="4712" spans="6:11" x14ac:dyDescent="0.2">
      <c r="F4712" s="204"/>
      <c r="G4712" s="5"/>
      <c r="H4712" s="36"/>
      <c r="I4712" s="36"/>
      <c r="K4712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October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44470</v>
      </c>
      <c r="B1" s="539" t="s">
        <v>17</v>
      </c>
      <c r="C1" s="539" t="s">
        <v>18</v>
      </c>
      <c r="D1" s="539" t="s">
        <v>19</v>
      </c>
      <c r="E1" s="539" t="s">
        <v>155</v>
      </c>
      <c r="F1" s="539" t="s">
        <v>161</v>
      </c>
      <c r="G1" s="539" t="s">
        <v>156</v>
      </c>
      <c r="H1" s="457" t="s">
        <v>199</v>
      </c>
      <c r="I1" s="457" t="s">
        <v>194</v>
      </c>
      <c r="J1" s="408" t="s">
        <v>20</v>
      </c>
      <c r="K1" s="409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56"/>
      <c r="I2" s="456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[3]American!$HM$22</f>
        <v>54104</v>
      </c>
      <c r="C4" s="20">
        <f>[3]Delta!$HM$22+[3]Delta!$HM$32</f>
        <v>655888</v>
      </c>
      <c r="D4" s="20">
        <f>[3]United!$HM$22</f>
        <v>35296</v>
      </c>
      <c r="E4" s="20">
        <f>[3]Spirit!$HM$22</f>
        <v>13885</v>
      </c>
      <c r="F4" s="20">
        <f>[3]Condor!$HM$22</f>
        <v>0</v>
      </c>
      <c r="G4" s="20">
        <f>'[3]Air France'!$HM$32</f>
        <v>0</v>
      </c>
      <c r="H4" s="20">
        <f>'[3]Jet Blue'!$HM$22</f>
        <v>3851</v>
      </c>
      <c r="I4" s="20">
        <f>[3]KLM!$HM$22+[3]KLM!$HM$32</f>
        <v>2252</v>
      </c>
      <c r="J4" s="20">
        <f>'Other Major Airline Stats'!K5</f>
        <v>172130</v>
      </c>
      <c r="K4" s="254">
        <f>SUM(B4:J4)</f>
        <v>937406</v>
      </c>
    </row>
    <row r="5" spans="1:20" x14ac:dyDescent="0.2">
      <c r="A5" s="60" t="s">
        <v>31</v>
      </c>
      <c r="B5" s="13">
        <f>[3]American!$HM$23</f>
        <v>55667</v>
      </c>
      <c r="C5" s="13">
        <f>[3]Delta!$HM$23+[3]Delta!$HM$33</f>
        <v>661441</v>
      </c>
      <c r="D5" s="13">
        <f>[3]United!$HM$23</f>
        <v>35488</v>
      </c>
      <c r="E5" s="13">
        <f>[3]Spirit!$HM$23</f>
        <v>13124</v>
      </c>
      <c r="F5" s="13">
        <f>[3]Condor!$HM$23</f>
        <v>0</v>
      </c>
      <c r="G5" s="13">
        <f>'[3]Air France'!$HM$33</f>
        <v>0</v>
      </c>
      <c r="H5" s="13">
        <f>'[3]Jet Blue'!$HM$23</f>
        <v>3992</v>
      </c>
      <c r="I5" s="13">
        <f>[3]KLM!$HM$23+[3]KLM!$HM$33</f>
        <v>1178</v>
      </c>
      <c r="J5" s="13">
        <f>'Other Major Airline Stats'!K6</f>
        <v>173495</v>
      </c>
      <c r="K5" s="255">
        <f>SUM(B5:J5)</f>
        <v>944385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109771</v>
      </c>
      <c r="C6" s="33">
        <f t="shared" si="0"/>
        <v>1317329</v>
      </c>
      <c r="D6" s="33">
        <f t="shared" si="0"/>
        <v>70784</v>
      </c>
      <c r="E6" s="33">
        <f t="shared" si="0"/>
        <v>27009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7843</v>
      </c>
      <c r="I6" s="33">
        <f t="shared" si="1"/>
        <v>3430</v>
      </c>
      <c r="J6" s="33">
        <f>SUM(J4:J5)</f>
        <v>345625</v>
      </c>
      <c r="K6" s="256">
        <f>SUM(B6:J6)</f>
        <v>1881791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[3]American!$HM$27</f>
        <v>1306</v>
      </c>
      <c r="C9" s="20">
        <f>[3]Delta!$HM$27+[3]Delta!$HM$37</f>
        <v>21553</v>
      </c>
      <c r="D9" s="20">
        <f>[3]United!$HM$27</f>
        <v>1051</v>
      </c>
      <c r="E9" s="20">
        <f>[3]Spirit!$HM$27</f>
        <v>99</v>
      </c>
      <c r="F9" s="20">
        <f>[3]Condor!$HM$27</f>
        <v>0</v>
      </c>
      <c r="G9" s="20">
        <f>'[3]Air France'!$HM$37</f>
        <v>0</v>
      </c>
      <c r="H9" s="20">
        <f>'[3]Jet Blue'!$HM$27</f>
        <v>85</v>
      </c>
      <c r="I9" s="20">
        <f>[3]KLM!$HM$27+[3]KLM!$HM$37</f>
        <v>7</v>
      </c>
      <c r="J9" s="20">
        <f>'Other Major Airline Stats'!K10</f>
        <v>3220</v>
      </c>
      <c r="K9" s="254">
        <f>SUM(B9:J9)</f>
        <v>27321</v>
      </c>
    </row>
    <row r="10" spans="1:20" x14ac:dyDescent="0.2">
      <c r="A10" s="60" t="s">
        <v>33</v>
      </c>
      <c r="B10" s="13">
        <f>[3]American!$HM$28</f>
        <v>1459</v>
      </c>
      <c r="C10" s="13">
        <f>[3]Delta!$HM$28+[3]Delta!$HM$38</f>
        <v>21773</v>
      </c>
      <c r="D10" s="13">
        <f>[3]United!$HM$28</f>
        <v>1065</v>
      </c>
      <c r="E10" s="13">
        <f>[3]Spirit!$HM$28</f>
        <v>83</v>
      </c>
      <c r="F10" s="13">
        <f>[3]Condor!$HM$28</f>
        <v>0</v>
      </c>
      <c r="G10" s="13">
        <f>'[3]Air France'!$HM$38</f>
        <v>0</v>
      </c>
      <c r="H10" s="13">
        <f>'[3]Jet Blue'!$HM$28</f>
        <v>121</v>
      </c>
      <c r="I10" s="13">
        <f>[3]KLM!$HM$28+[3]KLM!$HM$38</f>
        <v>4</v>
      </c>
      <c r="J10" s="13">
        <f>'Other Major Airline Stats'!K11</f>
        <v>2318</v>
      </c>
      <c r="K10" s="255">
        <f>SUM(B10:J10)</f>
        <v>26823</v>
      </c>
    </row>
    <row r="11" spans="1:20" ht="15.75" thickBot="1" x14ac:dyDescent="0.3">
      <c r="A11" s="61" t="s">
        <v>34</v>
      </c>
      <c r="B11" s="257">
        <f t="shared" ref="B11:J11" si="3">SUM(B9:B10)</f>
        <v>2765</v>
      </c>
      <c r="C11" s="257">
        <f t="shared" si="3"/>
        <v>43326</v>
      </c>
      <c r="D11" s="257">
        <f t="shared" si="3"/>
        <v>2116</v>
      </c>
      <c r="E11" s="257">
        <f t="shared" si="3"/>
        <v>182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206</v>
      </c>
      <c r="I11" s="257">
        <f t="shared" si="4"/>
        <v>11</v>
      </c>
      <c r="J11" s="257">
        <f t="shared" si="3"/>
        <v>5538</v>
      </c>
      <c r="K11" s="258">
        <f>SUM(B11:J11)</f>
        <v>54144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[3]American!$HM$4</f>
        <v>388</v>
      </c>
      <c r="C15" s="20">
        <f>[3]Delta!$HM$4+[3]Delta!$HM$15</f>
        <v>4903</v>
      </c>
      <c r="D15" s="20">
        <f>[3]United!$HM$4</f>
        <v>266</v>
      </c>
      <c r="E15" s="20">
        <f>[3]Spirit!$HM$4</f>
        <v>100</v>
      </c>
      <c r="F15" s="20">
        <f>[3]Condor!$HM$4</f>
        <v>0</v>
      </c>
      <c r="G15" s="20">
        <f>'[3]Air France'!$HM$15</f>
        <v>0</v>
      </c>
      <c r="H15" s="20">
        <f>'[3]Jet Blue'!$HM$4</f>
        <v>50</v>
      </c>
      <c r="I15" s="20">
        <f>[3]KLM!$HM$4+[3]KLM!$HM$15</f>
        <v>13</v>
      </c>
      <c r="J15" s="20">
        <f>'Other Major Airline Stats'!K16</f>
        <v>1358</v>
      </c>
      <c r="K15" s="26">
        <f>SUM(B15:J15)</f>
        <v>7078</v>
      </c>
    </row>
    <row r="16" spans="1:20" x14ac:dyDescent="0.2">
      <c r="A16" s="60" t="s">
        <v>23</v>
      </c>
      <c r="B16" s="13">
        <f>[3]American!$HM$5</f>
        <v>388</v>
      </c>
      <c r="C16" s="13">
        <f>[3]Delta!$HM$5+[3]Delta!$HM$16</f>
        <v>4897</v>
      </c>
      <c r="D16" s="13">
        <f>[3]United!$HM$5</f>
        <v>266</v>
      </c>
      <c r="E16" s="13">
        <f>[3]Spirit!$HM$5</f>
        <v>99</v>
      </c>
      <c r="F16" s="13">
        <f>[3]Condor!$HM$5</f>
        <v>0</v>
      </c>
      <c r="G16" s="13">
        <f>'[3]Air France'!$HM$16</f>
        <v>0</v>
      </c>
      <c r="H16" s="13">
        <f>'[3]Jet Blue'!$HM$5</f>
        <v>48</v>
      </c>
      <c r="I16" s="13">
        <f>[3]KLM!$HM$5+[3]KLM!$HM$16</f>
        <v>13</v>
      </c>
      <c r="J16" s="13">
        <f>'Other Major Airline Stats'!K17</f>
        <v>1358</v>
      </c>
      <c r="K16" s="32">
        <f>SUM(B16:J16)</f>
        <v>7069</v>
      </c>
    </row>
    <row r="17" spans="1:11" x14ac:dyDescent="0.2">
      <c r="A17" s="60" t="s">
        <v>24</v>
      </c>
      <c r="B17" s="261">
        <f t="shared" ref="B17:J17" si="6">SUM(B15:B16)</f>
        <v>776</v>
      </c>
      <c r="C17" s="259">
        <f t="shared" si="6"/>
        <v>9800</v>
      </c>
      <c r="D17" s="259">
        <f t="shared" si="6"/>
        <v>532</v>
      </c>
      <c r="E17" s="259">
        <f t="shared" si="6"/>
        <v>199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98</v>
      </c>
      <c r="I17" s="259">
        <f t="shared" si="7"/>
        <v>26</v>
      </c>
      <c r="J17" s="259">
        <f t="shared" si="6"/>
        <v>2716</v>
      </c>
      <c r="K17" s="260">
        <f>SUM(B17:J17)</f>
        <v>14147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[3]American!$HM$8</f>
        <v>0</v>
      </c>
      <c r="C19" s="20">
        <f>[3]Delta!$HM$8</f>
        <v>3</v>
      </c>
      <c r="D19" s="20">
        <f>[3]United!$HM$8</f>
        <v>0</v>
      </c>
      <c r="E19" s="20">
        <f>[3]Spirit!$HM$8</f>
        <v>0</v>
      </c>
      <c r="F19" s="20">
        <f>[3]Condor!$HM$8</f>
        <v>0</v>
      </c>
      <c r="G19" s="20">
        <f>'[3]Air France'!$HM$8</f>
        <v>0</v>
      </c>
      <c r="H19" s="20">
        <f>'[3]Jet Blue'!$HM$8</f>
        <v>0</v>
      </c>
      <c r="I19" s="20">
        <f>[3]KLM!$HM$8</f>
        <v>0</v>
      </c>
      <c r="J19" s="20">
        <f>'Other Major Airline Stats'!K20</f>
        <v>108</v>
      </c>
      <c r="K19" s="26">
        <f>SUM(B19:J19)</f>
        <v>111</v>
      </c>
    </row>
    <row r="20" spans="1:11" x14ac:dyDescent="0.2">
      <c r="A20" s="60" t="s">
        <v>26</v>
      </c>
      <c r="B20" s="13">
        <f>[3]American!$HM$9</f>
        <v>0</v>
      </c>
      <c r="C20" s="13">
        <f>[3]Delta!$HM$9</f>
        <v>6</v>
      </c>
      <c r="D20" s="13">
        <f>[3]United!$HM$9</f>
        <v>0</v>
      </c>
      <c r="E20" s="13">
        <f>[3]Spirit!$HM$9</f>
        <v>0</v>
      </c>
      <c r="F20" s="13">
        <f>[3]Condor!$HM$9</f>
        <v>0</v>
      </c>
      <c r="G20" s="13">
        <f>'[3]Air France'!$HM$9</f>
        <v>0</v>
      </c>
      <c r="H20" s="13">
        <f>'[3]Jet Blue'!$HM$9</f>
        <v>0</v>
      </c>
      <c r="I20" s="13">
        <f>[3]KLM!$HM$9</f>
        <v>0</v>
      </c>
      <c r="J20" s="13">
        <f>'Other Major Airline Stats'!K21</f>
        <v>101</v>
      </c>
      <c r="K20" s="32">
        <f>SUM(B20:J20)</f>
        <v>107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9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209</v>
      </c>
      <c r="K21" s="173">
        <f>SUM(B21:J21)</f>
        <v>218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776</v>
      </c>
      <c r="C23" s="27">
        <f t="shared" si="12"/>
        <v>9809</v>
      </c>
      <c r="D23" s="27">
        <f t="shared" si="12"/>
        <v>532</v>
      </c>
      <c r="E23" s="27">
        <f>E17+E21</f>
        <v>199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98</v>
      </c>
      <c r="I23" s="27">
        <f t="shared" si="13"/>
        <v>26</v>
      </c>
      <c r="J23" s="27">
        <f t="shared" si="12"/>
        <v>2925</v>
      </c>
      <c r="K23" s="28">
        <f>SUM(B23:J23)</f>
        <v>14365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[3]American!$HM$47</f>
        <v>48744</v>
      </c>
      <c r="C28" s="20">
        <f>[3]Delta!$HM$47</f>
        <v>1917950</v>
      </c>
      <c r="D28" s="20">
        <f>[3]United!$HM$47</f>
        <v>43488</v>
      </c>
      <c r="E28" s="20">
        <f>[3]Spirit!$HM$47</f>
        <v>0</v>
      </c>
      <c r="F28" s="20">
        <f>[3]Condor!$HM$47</f>
        <v>0</v>
      </c>
      <c r="G28" s="20">
        <f>'[3]Air France'!$HM$47</f>
        <v>0</v>
      </c>
      <c r="H28" s="20">
        <f>'[3]Jet Blue'!$HM$47</f>
        <v>0</v>
      </c>
      <c r="I28" s="20">
        <f>[3]KLM!$HM$47</f>
        <v>522268</v>
      </c>
      <c r="J28" s="20">
        <f>'Other Major Airline Stats'!K28</f>
        <v>248998</v>
      </c>
      <c r="K28" s="26">
        <f>SUM(B28:J28)</f>
        <v>2781448</v>
      </c>
    </row>
    <row r="29" spans="1:11" x14ac:dyDescent="0.2">
      <c r="A29" s="60" t="s">
        <v>38</v>
      </c>
      <c r="B29" s="13">
        <f>[3]American!$HM$48</f>
        <v>62767</v>
      </c>
      <c r="C29" s="13">
        <f>[3]Delta!$HM$48</f>
        <v>1453335</v>
      </c>
      <c r="D29" s="13">
        <f>[3]United!$HM$48</f>
        <v>20882</v>
      </c>
      <c r="E29" s="13">
        <f>[3]Spirit!$HM$48</f>
        <v>0</v>
      </c>
      <c r="F29" s="13">
        <f>[3]Condor!$HM$48</f>
        <v>0</v>
      </c>
      <c r="G29" s="13">
        <f>'[3]Air France'!$HM$48</f>
        <v>0</v>
      </c>
      <c r="H29" s="13">
        <f>'[3]Jet Blue'!$HM$48</f>
        <v>0</v>
      </c>
      <c r="I29" s="13">
        <f>[3]KLM!$HM$48</f>
        <v>0</v>
      </c>
      <c r="J29" s="13">
        <f>'Other Major Airline Stats'!K29</f>
        <v>96601</v>
      </c>
      <c r="K29" s="32">
        <f>SUM(B29:J29)</f>
        <v>1633585</v>
      </c>
    </row>
    <row r="30" spans="1:11" x14ac:dyDescent="0.2">
      <c r="A30" s="64" t="s">
        <v>39</v>
      </c>
      <c r="B30" s="261">
        <f t="shared" ref="B30:J30" si="15">SUM(B28:B29)</f>
        <v>111511</v>
      </c>
      <c r="C30" s="261">
        <f t="shared" si="15"/>
        <v>3371285</v>
      </c>
      <c r="D30" s="261">
        <f t="shared" si="15"/>
        <v>64370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522268</v>
      </c>
      <c r="J30" s="261">
        <f t="shared" si="15"/>
        <v>345599</v>
      </c>
      <c r="K30" s="26">
        <f>SUM(B30:J30)</f>
        <v>4415033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[3]American!$HM$52</f>
        <v>4589</v>
      </c>
      <c r="C33" s="20">
        <f>[3]Delta!$HM$52</f>
        <v>1344296</v>
      </c>
      <c r="D33" s="20">
        <f>[3]United!$HM$52</f>
        <v>10950</v>
      </c>
      <c r="E33" s="20">
        <f>[3]Spirit!$HM$52</f>
        <v>0</v>
      </c>
      <c r="F33" s="20">
        <f>[3]Condor!$HM$52</f>
        <v>0</v>
      </c>
      <c r="G33" s="20">
        <f>'[3]Air France'!$HM$52</f>
        <v>0</v>
      </c>
      <c r="H33" s="20">
        <f>'[3]Jet Blue'!$HM$52</f>
        <v>0</v>
      </c>
      <c r="I33" s="20">
        <f>[3]KLM!$HM$52</f>
        <v>66758</v>
      </c>
      <c r="J33" s="20">
        <f>'Other Major Airline Stats'!K33</f>
        <v>64830</v>
      </c>
      <c r="K33" s="26">
        <f t="shared" si="18"/>
        <v>1491423</v>
      </c>
    </row>
    <row r="34" spans="1:11" x14ac:dyDescent="0.2">
      <c r="A34" s="60" t="s">
        <v>38</v>
      </c>
      <c r="B34" s="13">
        <f>[3]American!$HM$53</f>
        <v>6243</v>
      </c>
      <c r="C34" s="13">
        <f>[3]Delta!$HM$53</f>
        <v>1263585</v>
      </c>
      <c r="D34" s="13">
        <f>[3]United!$HM$53</f>
        <v>733</v>
      </c>
      <c r="E34" s="13">
        <f>[3]Spirit!$HM$53</f>
        <v>0</v>
      </c>
      <c r="F34" s="13">
        <f>[3]Condor!$HM$53</f>
        <v>0</v>
      </c>
      <c r="G34" s="13">
        <f>'[3]Air France'!$HM$53</f>
        <v>0</v>
      </c>
      <c r="H34" s="13">
        <f>'[3]Jet Blue'!$HM$53</f>
        <v>0</v>
      </c>
      <c r="I34" s="13">
        <f>[3]KLM!$HM$53</f>
        <v>0</v>
      </c>
      <c r="J34" s="13">
        <f>'Other Major Airline Stats'!K34</f>
        <v>113802</v>
      </c>
      <c r="K34" s="32">
        <f t="shared" si="18"/>
        <v>1384363</v>
      </c>
    </row>
    <row r="35" spans="1:11" x14ac:dyDescent="0.2">
      <c r="A35" s="64" t="s">
        <v>41</v>
      </c>
      <c r="B35" s="261">
        <f t="shared" ref="B35:J35" si="19">SUM(B33:B34)</f>
        <v>10832</v>
      </c>
      <c r="C35" s="261">
        <f t="shared" si="19"/>
        <v>2607881</v>
      </c>
      <c r="D35" s="261">
        <f t="shared" si="19"/>
        <v>11683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66758</v>
      </c>
      <c r="J35" s="261">
        <f t="shared" si="19"/>
        <v>178632</v>
      </c>
      <c r="K35" s="26">
        <f t="shared" si="18"/>
        <v>2875786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[3]American!$HM$57</f>
        <v>0</v>
      </c>
      <c r="C38" s="20">
        <f>[3]Delta!$HM$57</f>
        <v>0</v>
      </c>
      <c r="D38" s="20">
        <f>[3]United!$HM$57</f>
        <v>0</v>
      </c>
      <c r="E38" s="20">
        <f>[3]Spirit!$HM$57</f>
        <v>0</v>
      </c>
      <c r="F38" s="20">
        <f>[3]Condor!$HM$57</f>
        <v>0</v>
      </c>
      <c r="G38" s="20">
        <f>'[3]Air France'!$HM$57</f>
        <v>0</v>
      </c>
      <c r="H38" s="20">
        <f>'[3]Jet Blue'!$HM$57</f>
        <v>0</v>
      </c>
      <c r="I38" s="20">
        <f>[3]KLM!$HM$57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[3]American!$HM$58</f>
        <v>0</v>
      </c>
      <c r="C39" s="13">
        <f>[3]Delta!$HM$58</f>
        <v>0</v>
      </c>
      <c r="D39" s="13">
        <f>[3]United!$HM$58</f>
        <v>0</v>
      </c>
      <c r="E39" s="13">
        <f>[3]Spirit!$HM$58</f>
        <v>0</v>
      </c>
      <c r="F39" s="13">
        <f>[3]Condor!$HM$58</f>
        <v>0</v>
      </c>
      <c r="G39" s="13">
        <f>'[3]Air France'!$HM$58</f>
        <v>0</v>
      </c>
      <c r="H39" s="13">
        <f>'[3]Jet Blue'!$HM$58</f>
        <v>0</v>
      </c>
      <c r="I39" s="13">
        <f>[3]KLM!$HM$58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53333</v>
      </c>
      <c r="C43" s="20">
        <f t="shared" si="25"/>
        <v>3262246</v>
      </c>
      <c r="D43" s="20">
        <f t="shared" si="25"/>
        <v>54438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589026</v>
      </c>
      <c r="J43" s="20">
        <f t="shared" si="25"/>
        <v>313828</v>
      </c>
      <c r="K43" s="26">
        <f>SUM(B43:J43)</f>
        <v>4272871</v>
      </c>
    </row>
    <row r="44" spans="1:11" x14ac:dyDescent="0.2">
      <c r="A44" s="60" t="s">
        <v>38</v>
      </c>
      <c r="B44" s="13">
        <f t="shared" si="25"/>
        <v>69010</v>
      </c>
      <c r="C44" s="13">
        <f t="shared" si="25"/>
        <v>2716920</v>
      </c>
      <c r="D44" s="13">
        <f t="shared" si="25"/>
        <v>21615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210403</v>
      </c>
      <c r="K44" s="26">
        <f>SUM(B44:J44)</f>
        <v>3017948</v>
      </c>
    </row>
    <row r="45" spans="1:11" ht="15.75" thickBot="1" x14ac:dyDescent="0.3">
      <c r="A45" s="61" t="s">
        <v>46</v>
      </c>
      <c r="B45" s="262">
        <f t="shared" ref="B45:J45" si="30">SUM(B43:B44)</f>
        <v>122343</v>
      </c>
      <c r="C45" s="262">
        <f t="shared" si="30"/>
        <v>5979166</v>
      </c>
      <c r="D45" s="262">
        <f t="shared" si="30"/>
        <v>76053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589026</v>
      </c>
      <c r="J45" s="262">
        <f t="shared" si="30"/>
        <v>524231</v>
      </c>
      <c r="K45" s="263">
        <f>SUM(B45:J45)</f>
        <v>7290819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[3]Delta!$HM$70+[3]Delta!$HM$73</f>
        <v>399690</v>
      </c>
      <c r="D47" s="278"/>
      <c r="E47" s="278"/>
      <c r="F47" s="278"/>
      <c r="G47" s="278"/>
      <c r="H47" s="278"/>
      <c r="I47" s="278"/>
      <c r="J47" s="278"/>
      <c r="K47" s="279">
        <f>SUM(B47:J47)</f>
        <v>399690</v>
      </c>
    </row>
    <row r="48" spans="1:11" hidden="1" x14ac:dyDescent="0.2">
      <c r="A48" s="349" t="s">
        <v>122</v>
      </c>
      <c r="C48" s="291">
        <f>[3]Delta!$HM$71+[3]Delta!$HM$74</f>
        <v>261751</v>
      </c>
      <c r="D48" s="278"/>
      <c r="E48" s="278"/>
      <c r="F48" s="278"/>
      <c r="G48" s="278"/>
      <c r="H48" s="278"/>
      <c r="I48" s="278"/>
      <c r="J48" s="278"/>
      <c r="K48" s="279">
        <f>SUM(B48:J48)</f>
        <v>261751</v>
      </c>
    </row>
    <row r="49" spans="1:11" hidden="1" x14ac:dyDescent="0.2">
      <c r="A49" s="350" t="s">
        <v>123</v>
      </c>
      <c r="C49" s="292">
        <f>SUM(C47:C48)</f>
        <v>661441</v>
      </c>
      <c r="K49" s="279">
        <f>SUM(B49:J49)</f>
        <v>661441</v>
      </c>
    </row>
    <row r="50" spans="1:11" x14ac:dyDescent="0.2">
      <c r="A50" s="348" t="s">
        <v>121</v>
      </c>
      <c r="B50" s="360"/>
      <c r="C50" s="294">
        <f>[3]Delta!$HM$70+[3]Delta!$HM$73</f>
        <v>399690</v>
      </c>
      <c r="D50" s="360"/>
      <c r="E50" s="294">
        <f>[3]Spirit!$HM$70+[3]Spirit!$HM$73</f>
        <v>0</v>
      </c>
      <c r="F50" s="360"/>
      <c r="G50" s="360"/>
      <c r="H50" s="360"/>
      <c r="I50" s="360"/>
      <c r="J50" s="293">
        <f>'Other Major Airline Stats'!K48</f>
        <v>153642</v>
      </c>
      <c r="K50" s="282">
        <f>SUM(B50:J50)</f>
        <v>553332</v>
      </c>
    </row>
    <row r="51" spans="1:11" x14ac:dyDescent="0.2">
      <c r="A51" s="362" t="s">
        <v>122</v>
      </c>
      <c r="B51" s="360"/>
      <c r="C51" s="294">
        <f>[3]Delta!$HM$71+[3]Delta!$HM$74</f>
        <v>261751</v>
      </c>
      <c r="D51" s="360"/>
      <c r="E51" s="294">
        <f>[3]Spirit!$HM$71+[3]Spirit!$HM$74</f>
        <v>0</v>
      </c>
      <c r="F51" s="360"/>
      <c r="G51" s="360"/>
      <c r="H51" s="360"/>
      <c r="I51" s="360"/>
      <c r="J51" s="293">
        <f>+'Other Major Airline Stats'!K49</f>
        <v>170</v>
      </c>
      <c r="K51" s="282">
        <f>SUM(B51:J51)</f>
        <v>261921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G2" sqref="G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44470</v>
      </c>
      <c r="B2" s="407" t="s">
        <v>47</v>
      </c>
      <c r="C2" s="406" t="s">
        <v>248</v>
      </c>
      <c r="D2" s="538" t="s">
        <v>211</v>
      </c>
      <c r="E2" s="538" t="s">
        <v>239</v>
      </c>
      <c r="F2" s="406" t="s">
        <v>179</v>
      </c>
      <c r="G2" s="407" t="s">
        <v>48</v>
      </c>
      <c r="H2" s="406" t="s">
        <v>129</v>
      </c>
      <c r="I2" s="406" t="s">
        <v>49</v>
      </c>
      <c r="J2" s="406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[3]Frontier!$HM$22</f>
        <v>9267</v>
      </c>
      <c r="C5" s="116">
        <f>'[3]Allegiant '!$HM$22</f>
        <v>2233</v>
      </c>
      <c r="D5" s="128">
        <f>'[3]Aer Lingus'!$HM$22+'[3]Aer Lingus'!$HM$32</f>
        <v>0</v>
      </c>
      <c r="E5" s="116">
        <f>'[3]Denver Air'!$HM$22+'[3]Denver Air'!$HM$32</f>
        <v>988</v>
      </c>
      <c r="F5" s="116">
        <f>'[3]Boutique Air'!$HM$22</f>
        <v>0</v>
      </c>
      <c r="G5" s="144">
        <f>[3]Icelandair!$HM$32</f>
        <v>933</v>
      </c>
      <c r="H5" s="116">
        <f>[3]Southwest!$HM$22</f>
        <v>51503</v>
      </c>
      <c r="I5" s="116">
        <f>'[3]Sun Country'!$HM$22+'[3]Sun Country'!$HM$32</f>
        <v>97962</v>
      </c>
      <c r="J5" s="116">
        <f>[3]Alaska!$HM$22</f>
        <v>9244</v>
      </c>
      <c r="K5" s="145">
        <f>SUM(B5:J5)</f>
        <v>172130</v>
      </c>
      <c r="N5" s="128"/>
    </row>
    <row r="6" spans="1:14" x14ac:dyDescent="0.2">
      <c r="A6" s="60" t="s">
        <v>31</v>
      </c>
      <c r="B6" s="144">
        <f>[3]Frontier!$HM$23</f>
        <v>6134</v>
      </c>
      <c r="C6" s="116">
        <f>'[3]Allegiant '!$HM$23</f>
        <v>2366</v>
      </c>
      <c r="D6" s="128">
        <f>'[3]Aer Lingus'!$HM$23+'[3]Aer Lingus'!$HM$33</f>
        <v>0</v>
      </c>
      <c r="E6" s="116">
        <f>'[3]Denver Air'!$HM$23+'[3]Denver Air'!$HM$33</f>
        <v>777</v>
      </c>
      <c r="F6" s="116">
        <f>'[3]Boutique Air'!$HM$23</f>
        <v>0</v>
      </c>
      <c r="G6" s="144">
        <f>[3]Icelandair!$HM$33</f>
        <v>808</v>
      </c>
      <c r="H6" s="116">
        <f>[3]Southwest!$HM$23</f>
        <v>51963</v>
      </c>
      <c r="I6" s="116">
        <f>'[3]Sun Country'!$HM$23+'[3]Sun Country'!$HM$33</f>
        <v>101849</v>
      </c>
      <c r="J6" s="116">
        <f>[3]Alaska!$HM$23</f>
        <v>9598</v>
      </c>
      <c r="K6" s="145">
        <f>SUM(B6:J6)</f>
        <v>173495</v>
      </c>
    </row>
    <row r="7" spans="1:14" ht="15" x14ac:dyDescent="0.25">
      <c r="A7" s="58" t="s">
        <v>7</v>
      </c>
      <c r="B7" s="153">
        <f t="shared" ref="B7:J7" si="0">SUM(B5:B6)</f>
        <v>15401</v>
      </c>
      <c r="C7" s="153">
        <f t="shared" ref="C7:F7" si="1">SUM(C5:C6)</f>
        <v>4599</v>
      </c>
      <c r="D7" s="153">
        <f>SUM(D5:D6)</f>
        <v>0</v>
      </c>
      <c r="E7" s="153">
        <f>SUM(E5:E6)</f>
        <v>1765</v>
      </c>
      <c r="F7" s="153">
        <f t="shared" si="1"/>
        <v>0</v>
      </c>
      <c r="G7" s="153">
        <f t="shared" si="0"/>
        <v>1741</v>
      </c>
      <c r="H7" s="153">
        <f t="shared" si="0"/>
        <v>103466</v>
      </c>
      <c r="I7" s="153">
        <f>SUM(I5:I6)</f>
        <v>199811</v>
      </c>
      <c r="J7" s="153">
        <f t="shared" si="0"/>
        <v>18842</v>
      </c>
      <c r="K7" s="154">
        <f>SUM(B7:J7)</f>
        <v>345625</v>
      </c>
    </row>
    <row r="8" spans="1:14" x14ac:dyDescent="0.2">
      <c r="A8" s="60"/>
      <c r="B8" s="152"/>
      <c r="C8" s="152"/>
      <c r="D8" s="466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66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[3]Frontier!$HM$27</f>
        <v>85</v>
      </c>
      <c r="C10" s="152">
        <f>'[3]Allegiant '!$HM$27</f>
        <v>0</v>
      </c>
      <c r="D10" s="466">
        <f>'[3]Aer Lingus'!$HM$27+'[3]Aer Lingus'!$HM$37</f>
        <v>0</v>
      </c>
      <c r="E10" s="152">
        <f>'[3]Denver Air'!$HM$27+'[3]Denver Air'!$HM$37</f>
        <v>27</v>
      </c>
      <c r="F10" s="152">
        <f>'[3]Boutique Air'!$HM$27</f>
        <v>0</v>
      </c>
      <c r="G10" s="152">
        <f>[3]Icelandair!$HM$37</f>
        <v>1</v>
      </c>
      <c r="H10" s="152">
        <f>[3]Southwest!$HM$27</f>
        <v>818</v>
      </c>
      <c r="I10" s="152">
        <f>'[3]Sun Country'!$HM$27+'[3]Sun Country'!$HM$37</f>
        <v>2030</v>
      </c>
      <c r="J10" s="152">
        <f>[3]Alaska!$HM$27</f>
        <v>259</v>
      </c>
      <c r="K10" s="145">
        <f>SUM(B10:J10)</f>
        <v>3220</v>
      </c>
    </row>
    <row r="11" spans="1:14" x14ac:dyDescent="0.2">
      <c r="A11" s="60" t="s">
        <v>33</v>
      </c>
      <c r="B11" s="155">
        <f>[3]Frontier!$HM$28</f>
        <v>77</v>
      </c>
      <c r="C11" s="155">
        <f>'[3]Allegiant '!$HM$28</f>
        <v>0</v>
      </c>
      <c r="D11" s="155">
        <f>'[3]Aer Lingus'!$HM$28+'[3]Aer Lingus'!$HM$38</f>
        <v>0</v>
      </c>
      <c r="E11" s="155">
        <f>'[3]Denver Air'!$HM$28+'[3]Denver Air'!$HM$38</f>
        <v>33</v>
      </c>
      <c r="F11" s="155">
        <f>'[3]Boutique Air'!$HM$28</f>
        <v>0</v>
      </c>
      <c r="G11" s="155">
        <f>[3]Icelandair!$HM$38</f>
        <v>2</v>
      </c>
      <c r="H11" s="155">
        <f>[3]Southwest!$HM$28</f>
        <v>1040</v>
      </c>
      <c r="I11" s="155">
        <f>'[3]Sun Country'!$HM$28+'[3]Sun Country'!$HM$38</f>
        <v>894</v>
      </c>
      <c r="J11" s="155">
        <f>[3]Alaska!$HM$28</f>
        <v>272</v>
      </c>
      <c r="K11" s="145">
        <f>SUM(B11:J11)</f>
        <v>2318</v>
      </c>
    </row>
    <row r="12" spans="1:14" ht="15.75" thickBot="1" x14ac:dyDescent="0.3">
      <c r="A12" s="61" t="s">
        <v>34</v>
      </c>
      <c r="B12" s="148">
        <f t="shared" ref="B12:J12" si="2">SUM(B10:B11)</f>
        <v>162</v>
      </c>
      <c r="C12" s="148">
        <f t="shared" ref="C12:F12" si="3">SUM(C10:C11)</f>
        <v>0</v>
      </c>
      <c r="D12" s="148">
        <f>SUM(D10:D11)</f>
        <v>0</v>
      </c>
      <c r="E12" s="148">
        <f>SUM(E10:E11)</f>
        <v>60</v>
      </c>
      <c r="F12" s="148">
        <f t="shared" si="3"/>
        <v>0</v>
      </c>
      <c r="G12" s="148">
        <f t="shared" si="2"/>
        <v>3</v>
      </c>
      <c r="H12" s="148">
        <f t="shared" si="2"/>
        <v>1858</v>
      </c>
      <c r="I12" s="148">
        <f>SUM(I10:I11)</f>
        <v>2924</v>
      </c>
      <c r="J12" s="148">
        <f t="shared" si="2"/>
        <v>531</v>
      </c>
      <c r="K12" s="156">
        <f>SUM(B12:J12)</f>
        <v>5538</v>
      </c>
      <c r="N12" s="128"/>
    </row>
    <row r="13" spans="1:14" ht="15" x14ac:dyDescent="0.25">
      <c r="A13" s="57"/>
      <c r="B13" s="264"/>
      <c r="C13" s="264"/>
      <c r="D13" s="467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[3]Frontier!$HM$4</f>
        <v>59</v>
      </c>
      <c r="C16" s="104">
        <f>'[3]Allegiant '!$HM$4</f>
        <v>32</v>
      </c>
      <c r="D16" s="128">
        <f>'[3]Aer Lingus'!$HM$4+'[3]Aer Lingus'!$HM$15</f>
        <v>0</v>
      </c>
      <c r="E16" s="116">
        <f>'[3]Denver Air'!$HM$4+'[3]Denver Air'!$HM$15</f>
        <v>78</v>
      </c>
      <c r="F16" s="104">
        <f>'[3]Boutique Air'!$HM$4</f>
        <v>0</v>
      </c>
      <c r="G16" s="144">
        <f>[3]Icelandair!$HM$15</f>
        <v>10</v>
      </c>
      <c r="H16" s="104">
        <f>[3]Southwest!$HM$4</f>
        <v>405</v>
      </c>
      <c r="I16" s="116">
        <f>'[3]Sun Country'!$HM$4+'[3]Sun Country'!$HM$15</f>
        <v>711</v>
      </c>
      <c r="J16" s="116">
        <f>[3]Alaska!$HM$4</f>
        <v>63</v>
      </c>
      <c r="K16" s="145">
        <f>SUM(B16:J16)</f>
        <v>1358</v>
      </c>
    </row>
    <row r="17" spans="1:258" x14ac:dyDescent="0.2">
      <c r="A17" s="60" t="s">
        <v>23</v>
      </c>
      <c r="B17" s="144">
        <f>[3]Frontier!$HM$5</f>
        <v>59</v>
      </c>
      <c r="C17" s="104">
        <f>'[3]Allegiant '!$HM$5</f>
        <v>32</v>
      </c>
      <c r="D17" s="128">
        <f>'[3]Aer Lingus'!$HM$5+'[3]Aer Lingus'!$HM$16</f>
        <v>0</v>
      </c>
      <c r="E17" s="116">
        <f>'[3]Denver Air'!$HM$5+'[3]Denver Air'!$HM$16</f>
        <v>78</v>
      </c>
      <c r="F17" s="104">
        <f>'[3]Boutique Air'!$HM$5</f>
        <v>0</v>
      </c>
      <c r="G17" s="144">
        <f>[3]Icelandair!$HM$16</f>
        <v>10</v>
      </c>
      <c r="H17" s="104">
        <f>[3]Southwest!$HM$5</f>
        <v>403</v>
      </c>
      <c r="I17" s="116">
        <f>'[3]Sun Country'!$HM$5+'[3]Sun Country'!$HM$16</f>
        <v>714</v>
      </c>
      <c r="J17" s="116">
        <f>[3]Alaska!$HM$5</f>
        <v>62</v>
      </c>
      <c r="K17" s="145">
        <f>SUM(B17:J17)</f>
        <v>1358</v>
      </c>
    </row>
    <row r="18" spans="1:258" x14ac:dyDescent="0.2">
      <c r="A18" s="64" t="s">
        <v>24</v>
      </c>
      <c r="B18" s="146">
        <f t="shared" ref="B18:J18" si="4">SUM(B16:B17)</f>
        <v>118</v>
      </c>
      <c r="C18" s="146">
        <f t="shared" ref="C18:F18" si="5">SUM(C16:C17)</f>
        <v>64</v>
      </c>
      <c r="D18" s="162">
        <f t="shared" si="5"/>
        <v>0</v>
      </c>
      <c r="E18" s="146">
        <f t="shared" si="5"/>
        <v>156</v>
      </c>
      <c r="F18" s="146">
        <f t="shared" si="5"/>
        <v>0</v>
      </c>
      <c r="G18" s="146">
        <f t="shared" si="4"/>
        <v>20</v>
      </c>
      <c r="H18" s="146">
        <f t="shared" si="4"/>
        <v>808</v>
      </c>
      <c r="I18" s="146">
        <f t="shared" si="4"/>
        <v>1425</v>
      </c>
      <c r="J18" s="146">
        <f t="shared" si="4"/>
        <v>125</v>
      </c>
      <c r="K18" s="147">
        <f>SUM(B18:J18)</f>
        <v>2716</v>
      </c>
    </row>
    <row r="19" spans="1:258" x14ac:dyDescent="0.2">
      <c r="A19" s="64"/>
      <c r="B19" s="114"/>
      <c r="C19" s="114"/>
      <c r="D19" s="464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[3]Frontier!$HM$8</f>
        <v>0</v>
      </c>
      <c r="C20" s="116">
        <f>'[3]Allegiant '!$HM$8</f>
        <v>0</v>
      </c>
      <c r="D20" s="128">
        <f>'[3]Aer Lingus'!$HM$8</f>
        <v>0</v>
      </c>
      <c r="E20" s="116">
        <f>'[3]Denver Air'!$HM$8</f>
        <v>0</v>
      </c>
      <c r="F20" s="116">
        <f>'[3]Boutique Air'!$HM$8</f>
        <v>0</v>
      </c>
      <c r="G20" s="144">
        <f>[3]Icelandair!$HM$8</f>
        <v>0</v>
      </c>
      <c r="H20" s="116">
        <f>[3]Southwest!$HM$8</f>
        <v>0</v>
      </c>
      <c r="I20" s="116">
        <f>'[3]Sun Country'!$HM$8</f>
        <v>107</v>
      </c>
      <c r="J20" s="116">
        <f>[3]Alaska!$HM$8</f>
        <v>1</v>
      </c>
      <c r="K20" s="145">
        <f>SUM(B20:J20)</f>
        <v>108</v>
      </c>
    </row>
    <row r="21" spans="1:258" x14ac:dyDescent="0.2">
      <c r="A21" s="60" t="s">
        <v>26</v>
      </c>
      <c r="B21" s="144">
        <f>[3]Frontier!$HM$9</f>
        <v>0</v>
      </c>
      <c r="C21" s="116">
        <f>'[3]Allegiant '!$HM$9</f>
        <v>0</v>
      </c>
      <c r="D21" s="128">
        <f>'[3]Aer Lingus'!$HM$9</f>
        <v>0</v>
      </c>
      <c r="E21" s="116">
        <f>'[3]Denver Air'!$HM$9</f>
        <v>0</v>
      </c>
      <c r="F21" s="116">
        <f>'[3]Boutique Air'!$HM$9</f>
        <v>0</v>
      </c>
      <c r="G21" s="144">
        <f>[3]Icelandair!$HM$9</f>
        <v>0</v>
      </c>
      <c r="H21" s="116">
        <f>[3]Southwest!$HM$9</f>
        <v>0</v>
      </c>
      <c r="I21" s="116">
        <f>'[3]Sun Country'!$HM$9</f>
        <v>100</v>
      </c>
      <c r="J21" s="116">
        <f>[3]Alaska!$HM$9</f>
        <v>1</v>
      </c>
      <c r="K21" s="145">
        <f>SUM(B21:J21)</f>
        <v>101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0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207</v>
      </c>
      <c r="J22" s="146">
        <f t="shared" si="6"/>
        <v>2</v>
      </c>
      <c r="K22" s="147">
        <f>SUM(B22:J22)</f>
        <v>209</v>
      </c>
    </row>
    <row r="23" spans="1:258" ht="15.75" thickBot="1" x14ac:dyDescent="0.3">
      <c r="A23" s="61" t="s">
        <v>28</v>
      </c>
      <c r="B23" s="148">
        <f t="shared" ref="B23:J23" si="8">B22+B18</f>
        <v>118</v>
      </c>
      <c r="C23" s="148">
        <f t="shared" ref="C23:F23" si="9">C22+C18</f>
        <v>64</v>
      </c>
      <c r="D23" s="148">
        <f t="shared" si="9"/>
        <v>0</v>
      </c>
      <c r="E23" s="148">
        <f t="shared" si="9"/>
        <v>156</v>
      </c>
      <c r="F23" s="148">
        <f t="shared" si="9"/>
        <v>0</v>
      </c>
      <c r="G23" s="148">
        <f t="shared" si="8"/>
        <v>20</v>
      </c>
      <c r="H23" s="148">
        <f t="shared" si="8"/>
        <v>808</v>
      </c>
      <c r="I23" s="148">
        <f t="shared" si="8"/>
        <v>1632</v>
      </c>
      <c r="J23" s="148">
        <f t="shared" si="8"/>
        <v>127</v>
      </c>
      <c r="K23" s="149">
        <f>SUM(B23:J23)</f>
        <v>2925</v>
      </c>
    </row>
    <row r="24" spans="1:258" x14ac:dyDescent="0.2">
      <c r="A24" s="20"/>
      <c r="B24" s="20"/>
      <c r="C24" s="20"/>
      <c r="D24" s="468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69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[3]Frontier!$HM$47</f>
        <v>0</v>
      </c>
      <c r="C28" s="116">
        <f>'[3]Allegiant '!$HM$47</f>
        <v>0</v>
      </c>
      <c r="D28" s="128">
        <f>'[3]Aer Lingus'!$HM$47</f>
        <v>0</v>
      </c>
      <c r="E28" s="116">
        <f>'[3]Denver Air'!$HM$47</f>
        <v>0</v>
      </c>
      <c r="F28" s="116">
        <f>'[3]Boutique Air'!$HM$47</f>
        <v>0</v>
      </c>
      <c r="G28" s="144">
        <f>[3]Icelandair!$HM$47</f>
        <v>302</v>
      </c>
      <c r="H28" s="116">
        <f>[3]Southwest!$HM$47</f>
        <v>213397</v>
      </c>
      <c r="I28" s="116">
        <f>'[3]Sun Country'!$HM$47</f>
        <v>18665</v>
      </c>
      <c r="J28" s="116">
        <f>[3]Alaska!$HM$47</f>
        <v>16634</v>
      </c>
      <c r="K28" s="145">
        <f>SUM(B28:J28)</f>
        <v>248998</v>
      </c>
    </row>
    <row r="29" spans="1:258" x14ac:dyDescent="0.2">
      <c r="A29" s="60" t="s">
        <v>38</v>
      </c>
      <c r="B29" s="144">
        <f>[3]Frontier!$HM$48</f>
        <v>0</v>
      </c>
      <c r="C29" s="116">
        <f>'[3]Allegiant '!$HM$48</f>
        <v>0</v>
      </c>
      <c r="D29" s="128">
        <f>'[3]Aer Lingus'!$HM$48</f>
        <v>0</v>
      </c>
      <c r="E29" s="116">
        <f>'[3]Denver Air'!$HM$48</f>
        <v>0</v>
      </c>
      <c r="F29" s="116">
        <f>'[3]Boutique Air'!$HM$48</f>
        <v>0</v>
      </c>
      <c r="G29" s="144">
        <f>[3]Icelandair!$HM$48</f>
        <v>0</v>
      </c>
      <c r="H29" s="116">
        <f>[3]Southwest!$HM$48</f>
        <v>0</v>
      </c>
      <c r="I29" s="116">
        <f>'[3]Sun Country'!$HM$48</f>
        <v>96601</v>
      </c>
      <c r="J29" s="116">
        <f>[3]Alaska!$HM$48</f>
        <v>0</v>
      </c>
      <c r="K29" s="145">
        <f>SUM(B29:J29)</f>
        <v>96601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302</v>
      </c>
      <c r="H30" s="160">
        <f t="shared" si="10"/>
        <v>213397</v>
      </c>
      <c r="I30" s="160">
        <f t="shared" si="10"/>
        <v>115266</v>
      </c>
      <c r="J30" s="160">
        <f t="shared" si="10"/>
        <v>16634</v>
      </c>
      <c r="K30" s="163">
        <f>SUM(B30:J30)</f>
        <v>345599</v>
      </c>
    </row>
    <row r="31" spans="1:258" x14ac:dyDescent="0.2">
      <c r="A31" s="60"/>
      <c r="B31" s="152"/>
      <c r="C31" s="152"/>
      <c r="D31" s="466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[3]Frontier!$HM$52</f>
        <v>0</v>
      </c>
      <c r="C33" s="116">
        <f>'[3]Allegiant '!$HM$52</f>
        <v>0</v>
      </c>
      <c r="D33" s="128">
        <f>'[3]Aer Lingus'!$HM$52</f>
        <v>0</v>
      </c>
      <c r="E33" s="116">
        <f>'[3]Denver Air'!$HM$52</f>
        <v>0</v>
      </c>
      <c r="F33" s="116">
        <f>'[3]Boutique Air'!$HM$52</f>
        <v>0</v>
      </c>
      <c r="G33" s="144">
        <f>[3]Icelandair!$HM$52</f>
        <v>0</v>
      </c>
      <c r="H33" s="116">
        <f>[3]Southwest!$HM$52</f>
        <v>60408</v>
      </c>
      <c r="I33" s="116">
        <f>'[3]Sun Country'!$HM$52</f>
        <v>0</v>
      </c>
      <c r="J33" s="116">
        <f>[3]Alaska!$HM$52</f>
        <v>4422</v>
      </c>
      <c r="K33" s="145">
        <f>SUM(B33:J33)</f>
        <v>64830</v>
      </c>
    </row>
    <row r="34" spans="1:11" x14ac:dyDescent="0.2">
      <c r="A34" s="60" t="s">
        <v>38</v>
      </c>
      <c r="B34" s="144">
        <f>[3]Frontier!$HM$53</f>
        <v>0</v>
      </c>
      <c r="C34" s="116">
        <f>'[3]Allegiant '!$HM$53</f>
        <v>0</v>
      </c>
      <c r="D34" s="128">
        <f>'[3]Aer Lingus'!$HM$53</f>
        <v>0</v>
      </c>
      <c r="E34" s="116">
        <f>'[3]Denver Air'!$HM$53</f>
        <v>0</v>
      </c>
      <c r="F34" s="116">
        <f>'[3]Boutique Air'!$HM$53</f>
        <v>0</v>
      </c>
      <c r="G34" s="144">
        <f>[3]Icelandair!$HM$53</f>
        <v>0</v>
      </c>
      <c r="H34" s="116">
        <f>[3]Southwest!$HM$53</f>
        <v>0</v>
      </c>
      <c r="I34" s="116">
        <f>'[3]Sun Country'!$HM$53</f>
        <v>113802</v>
      </c>
      <c r="J34" s="116">
        <f>[3]Alaska!$HM$53</f>
        <v>0</v>
      </c>
      <c r="K34" s="161">
        <f>SUM(B34:J34)</f>
        <v>113802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60408</v>
      </c>
      <c r="I35" s="162">
        <f t="shared" si="12"/>
        <v>113802</v>
      </c>
      <c r="J35" s="162">
        <f t="shared" si="12"/>
        <v>4422</v>
      </c>
      <c r="K35" s="163">
        <f>SUM(B35:J35)</f>
        <v>178632</v>
      </c>
    </row>
    <row r="36" spans="1:11" hidden="1" x14ac:dyDescent="0.2">
      <c r="A36" s="60"/>
      <c r="B36" s="152"/>
      <c r="C36" s="152"/>
      <c r="D36" s="466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66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[3]Frontier!$HM$57</f>
        <v>0</v>
      </c>
      <c r="C38" s="152">
        <f>'[3]Allegiant '!$HM$57</f>
        <v>0</v>
      </c>
      <c r="D38" s="466">
        <f>'[3]Aer Lingus'!$HM$57</f>
        <v>0</v>
      </c>
      <c r="E38" s="152">
        <f>'[3]Denver Air'!$HM$57</f>
        <v>0</v>
      </c>
      <c r="F38" s="152">
        <f>'[3]Boutique Air'!$HM$57</f>
        <v>0</v>
      </c>
      <c r="G38" s="152">
        <f>[3]Icelandair!$HM$57</f>
        <v>0</v>
      </c>
      <c r="H38" s="152">
        <f>[3]Southwest!$HM$57</f>
        <v>0</v>
      </c>
      <c r="I38" s="152">
        <f>'[3]Sun Country'!$HM$57</f>
        <v>0</v>
      </c>
      <c r="J38" s="152">
        <f>[3]Alaska!$HM$57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[3]Frontier!$HM$58</f>
        <v>0</v>
      </c>
      <c r="C39" s="155">
        <f>'[3]Allegiant '!$HM$58</f>
        <v>0</v>
      </c>
      <c r="D39" s="155">
        <f>'[3]Aer Lingus'!$HM$58</f>
        <v>0</v>
      </c>
      <c r="E39" s="155">
        <f>'[3]Denver Air'!$HM$58</f>
        <v>0</v>
      </c>
      <c r="F39" s="155">
        <f>'[3]Boutique Air'!$HM$58</f>
        <v>0</v>
      </c>
      <c r="G39" s="155">
        <f>[3]Icelandair!$HM$58</f>
        <v>0</v>
      </c>
      <c r="H39" s="155">
        <f>[3]Southwest!$HM$58</f>
        <v>0</v>
      </c>
      <c r="I39" s="155">
        <f>'[3]Sun Country'!$HM$58</f>
        <v>0</v>
      </c>
      <c r="J39" s="155">
        <f>[3]Alaska!$HM$58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0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66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66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66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302</v>
      </c>
      <c r="H43" s="152">
        <f t="shared" si="16"/>
        <v>273805</v>
      </c>
      <c r="I43" s="152">
        <f t="shared" si="16"/>
        <v>18665</v>
      </c>
      <c r="J43" s="152">
        <f t="shared" si="16"/>
        <v>21056</v>
      </c>
      <c r="K43" s="145">
        <f>SUM(B43:J43)</f>
        <v>313828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210403</v>
      </c>
      <c r="J44" s="155">
        <f t="shared" si="18"/>
        <v>0</v>
      </c>
      <c r="K44" s="145">
        <f>SUM(B44:J44)</f>
        <v>210403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302</v>
      </c>
      <c r="H45" s="165">
        <f t="shared" si="20"/>
        <v>273805</v>
      </c>
      <c r="I45" s="165">
        <f t="shared" si="20"/>
        <v>229068</v>
      </c>
      <c r="J45" s="165">
        <f t="shared" si="20"/>
        <v>21056</v>
      </c>
      <c r="K45" s="166">
        <f>SUM(B45:J45)</f>
        <v>524231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[3]Southwest!$HM$70+[3]Southwest!$HM$73</f>
        <v>51793</v>
      </c>
      <c r="I48" s="294">
        <f>'[3]Sun Country'!$HM$70+'[3]Sun Country'!$HM$73</f>
        <v>101849</v>
      </c>
      <c r="J48" s="360"/>
      <c r="K48" s="282">
        <f>SUM(B48:J48)</f>
        <v>153642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[3]Southwest!$HM$71+[3]Southwest!$HM$74</f>
        <v>170</v>
      </c>
      <c r="I49" s="294">
        <f>'[3]Sun Country'!$HM$71+'[3]Sun Country'!$HM$74</f>
        <v>0</v>
      </c>
      <c r="J49" s="360"/>
      <c r="K49" s="282">
        <f>SUM(B49:J49)</f>
        <v>170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October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C4" sqref="C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44470</v>
      </c>
      <c r="B2" s="405" t="s">
        <v>157</v>
      </c>
      <c r="C2" s="405" t="s">
        <v>160</v>
      </c>
      <c r="D2" s="405" t="s">
        <v>168</v>
      </c>
      <c r="E2" s="405" t="s">
        <v>167</v>
      </c>
      <c r="F2" s="405" t="s">
        <v>169</v>
      </c>
      <c r="G2" s="405" t="s">
        <v>198</v>
      </c>
      <c r="H2" s="405" t="s">
        <v>173</v>
      </c>
      <c r="I2" s="405" t="s">
        <v>180</v>
      </c>
      <c r="J2" s="405" t="s">
        <v>196</v>
      </c>
      <c r="K2" s="405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[3]Pinnacle!$HM$22+[3]Pinnacle!$HM$32</f>
        <v>84406</v>
      </c>
      <c r="C5" s="130">
        <f>[3]MESA_UA!$HM$22</f>
        <v>5180</v>
      </c>
      <c r="D5" s="128">
        <f>'[3]Sky West'!$HM$22+'[3]Sky West'!$HM$32</f>
        <v>151785</v>
      </c>
      <c r="E5" s="128">
        <f>'[3]Sky West_UA'!$HM$22</f>
        <v>3080</v>
      </c>
      <c r="F5" s="128">
        <f>'[3]Sky West_AS'!$HM$22</f>
        <v>1732</v>
      </c>
      <c r="G5" s="128">
        <f>'[3]Sky West_AA'!$HM$22</f>
        <v>2549</v>
      </c>
      <c r="H5" s="128">
        <f>[3]Republic!$HM$22</f>
        <v>7371</v>
      </c>
      <c r="I5" s="128">
        <f>[3]Republic_UA!$HM$22</f>
        <v>5920</v>
      </c>
      <c r="J5" s="128">
        <f>'[3]Sky Regional'!$HM$32</f>
        <v>0</v>
      </c>
      <c r="K5" s="128">
        <f>'[3]American Eagle'!$HM$22</f>
        <v>790</v>
      </c>
      <c r="L5" s="128">
        <f>'Other Regional'!L5</f>
        <v>5654</v>
      </c>
      <c r="M5" s="108">
        <f>SUM(B5:L5)</f>
        <v>268467</v>
      </c>
    </row>
    <row r="6" spans="1:15" s="10" customFormat="1" x14ac:dyDescent="0.2">
      <c r="A6" s="60" t="s">
        <v>31</v>
      </c>
      <c r="B6" s="129">
        <f>[3]Pinnacle!$HM$23+[3]Pinnacle!$HM$33</f>
        <v>83292</v>
      </c>
      <c r="C6" s="130">
        <f>[3]MESA_UA!$HM$23</f>
        <v>5311</v>
      </c>
      <c r="D6" s="128">
        <f>'[3]Sky West'!$HM$23+'[3]Sky West'!$HM$33</f>
        <v>149756</v>
      </c>
      <c r="E6" s="128">
        <f>'[3]Sky West_UA'!$HM$23</f>
        <v>3301</v>
      </c>
      <c r="F6" s="128">
        <f>'[3]Sky West_AS'!$HM$23</f>
        <v>1635</v>
      </c>
      <c r="G6" s="128">
        <f>'[3]Sky West_AA'!$HM$23</f>
        <v>2812</v>
      </c>
      <c r="H6" s="128">
        <f>[3]Republic!$HM$23</f>
        <v>7111</v>
      </c>
      <c r="I6" s="128">
        <f>[3]Republic_UA!$HM$23</f>
        <v>6037</v>
      </c>
      <c r="J6" s="128">
        <f>'[3]Sky Regional'!$HM$33</f>
        <v>0</v>
      </c>
      <c r="K6" s="128">
        <f>'[3]American Eagle'!$HM$23</f>
        <v>904</v>
      </c>
      <c r="L6" s="128">
        <f>'Other Regional'!L6</f>
        <v>5389</v>
      </c>
      <c r="M6" s="113">
        <f>SUM(B6:L6)</f>
        <v>265548</v>
      </c>
    </row>
    <row r="7" spans="1:15" ht="15" thickBot="1" x14ac:dyDescent="0.25">
      <c r="A7" s="71" t="s">
        <v>7</v>
      </c>
      <c r="B7" s="131">
        <f>SUM(B5:B6)</f>
        <v>167698</v>
      </c>
      <c r="C7" s="131">
        <f t="shared" ref="C7:L7" si="0">SUM(C5:C6)</f>
        <v>10491</v>
      </c>
      <c r="D7" s="131">
        <f t="shared" si="0"/>
        <v>301541</v>
      </c>
      <c r="E7" s="131">
        <f t="shared" si="0"/>
        <v>6381</v>
      </c>
      <c r="F7" s="131">
        <f t="shared" ref="F7:G7" si="1">SUM(F5:F6)</f>
        <v>3367</v>
      </c>
      <c r="G7" s="131">
        <f t="shared" si="1"/>
        <v>5361</v>
      </c>
      <c r="H7" s="131">
        <f t="shared" si="0"/>
        <v>14482</v>
      </c>
      <c r="I7" s="131">
        <f t="shared" si="0"/>
        <v>11957</v>
      </c>
      <c r="J7" s="131">
        <f t="shared" si="0"/>
        <v>0</v>
      </c>
      <c r="K7" s="131">
        <f t="shared" si="0"/>
        <v>1694</v>
      </c>
      <c r="L7" s="131">
        <f t="shared" si="0"/>
        <v>11043</v>
      </c>
      <c r="M7" s="132">
        <f>SUM(B7:L7)</f>
        <v>534015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[3]Pinnacle!$HM$27+[3]Pinnacle!$HM$37</f>
        <v>3144</v>
      </c>
      <c r="C10" s="130">
        <f>[3]MESA_UA!$HM$27</f>
        <v>114</v>
      </c>
      <c r="D10" s="128">
        <f>'[3]Sky West'!$HM$27+'[3]Sky West'!$HM$37</f>
        <v>4379</v>
      </c>
      <c r="E10" s="128">
        <f>'[3]Sky West_UA'!$HM$27</f>
        <v>85</v>
      </c>
      <c r="F10" s="128">
        <f>'[3]Sky West_AS'!$HM$27</f>
        <v>34</v>
      </c>
      <c r="G10" s="128">
        <f>'[3]Sky West_AA'!$HM$27</f>
        <v>117</v>
      </c>
      <c r="H10" s="128">
        <f>[3]Republic!$HM$27</f>
        <v>293</v>
      </c>
      <c r="I10" s="128">
        <f>[3]Republic_UA!$HM$27</f>
        <v>168</v>
      </c>
      <c r="J10" s="128">
        <f>'[3]Sky Regional'!$HM$37</f>
        <v>0</v>
      </c>
      <c r="K10" s="128">
        <f>'[3]American Eagle'!$HM$27</f>
        <v>30</v>
      </c>
      <c r="L10" s="128">
        <f>'Other Regional'!L10</f>
        <v>104</v>
      </c>
      <c r="M10" s="108">
        <f>SUM(B10:L10)</f>
        <v>8468</v>
      </c>
    </row>
    <row r="11" spans="1:15" x14ac:dyDescent="0.2">
      <c r="A11" s="60" t="s">
        <v>33</v>
      </c>
      <c r="B11" s="129">
        <f>[3]Pinnacle!$HM$28+[3]Pinnacle!$HM$38</f>
        <v>2890</v>
      </c>
      <c r="C11" s="130">
        <f>[3]MESA_UA!$HM$28</f>
        <v>163</v>
      </c>
      <c r="D11" s="128">
        <f>'[3]Sky West'!$HM$28+'[3]Sky West'!$HM$38</f>
        <v>4287</v>
      </c>
      <c r="E11" s="128">
        <f>'[3]Sky West_UA'!$HM$28</f>
        <v>64</v>
      </c>
      <c r="F11" s="128">
        <f>'[3]Sky West_AS'!$HM$28</f>
        <v>35</v>
      </c>
      <c r="G11" s="128">
        <f>'[3]Sky West_AA'!$HM$28</f>
        <v>95</v>
      </c>
      <c r="H11" s="128">
        <f>[3]Republic!$HM$28</f>
        <v>289</v>
      </c>
      <c r="I11" s="128">
        <f>[3]Republic_UA!$HM$28</f>
        <v>136</v>
      </c>
      <c r="J11" s="128">
        <f>'[3]Sky Regional'!$HM$38</f>
        <v>0</v>
      </c>
      <c r="K11" s="128">
        <f>'[3]American Eagle'!$HM$28</f>
        <v>35</v>
      </c>
      <c r="L11" s="128">
        <f>'Other Regional'!L11</f>
        <v>97</v>
      </c>
      <c r="M11" s="113">
        <f>SUM(B11:L11)</f>
        <v>8091</v>
      </c>
    </row>
    <row r="12" spans="1:15" ht="15" thickBot="1" x14ac:dyDescent="0.25">
      <c r="A12" s="72" t="s">
        <v>34</v>
      </c>
      <c r="B12" s="134">
        <f t="shared" ref="B12:L12" si="2">SUM(B10:B11)</f>
        <v>6034</v>
      </c>
      <c r="C12" s="134">
        <f t="shared" si="2"/>
        <v>277</v>
      </c>
      <c r="D12" s="134">
        <f t="shared" si="2"/>
        <v>8666</v>
      </c>
      <c r="E12" s="134">
        <f t="shared" si="2"/>
        <v>149</v>
      </c>
      <c r="F12" s="134">
        <f t="shared" ref="F12:G12" si="3">SUM(F10:F11)</f>
        <v>69</v>
      </c>
      <c r="G12" s="134">
        <f t="shared" si="3"/>
        <v>212</v>
      </c>
      <c r="H12" s="134">
        <f t="shared" si="2"/>
        <v>582</v>
      </c>
      <c r="I12" s="134">
        <f t="shared" si="2"/>
        <v>304</v>
      </c>
      <c r="J12" s="134">
        <f t="shared" si="2"/>
        <v>0</v>
      </c>
      <c r="K12" s="134">
        <f t="shared" si="2"/>
        <v>65</v>
      </c>
      <c r="L12" s="134">
        <f t="shared" si="2"/>
        <v>201</v>
      </c>
      <c r="M12" s="135">
        <f>SUM(B12:L12)</f>
        <v>16559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[3]Pinnacle!$HM$4+[3]Pinnacle!$HM$15</f>
        <v>1692</v>
      </c>
      <c r="C15" s="106">
        <f>[3]MESA_UA!$HM$4</f>
        <v>84</v>
      </c>
      <c r="D15" s="104">
        <f>'[3]Sky West'!$HM$4+'[3]Sky West'!$HM$15</f>
        <v>2780</v>
      </c>
      <c r="E15" s="104">
        <f>'[3]Sky West_UA'!$HM$4</f>
        <v>48</v>
      </c>
      <c r="F15" s="104">
        <f>'[3]Sky West_AS'!$HM$4</f>
        <v>24</v>
      </c>
      <c r="G15" s="104">
        <f>'[3]Sky West_AA'!$HM$4</f>
        <v>49</v>
      </c>
      <c r="H15" s="107">
        <f>[3]Republic!$HM$4</f>
        <v>126</v>
      </c>
      <c r="I15" s="424">
        <f>[3]Republic_UA!$HM$4</f>
        <v>92</v>
      </c>
      <c r="J15" s="424">
        <f>'[3]Sky Regional'!$HM$15</f>
        <v>0</v>
      </c>
      <c r="K15" s="107">
        <f>'[3]American Eagle'!$HM$4</f>
        <v>14</v>
      </c>
      <c r="L15" s="105">
        <f>'Other Regional'!L15</f>
        <v>87</v>
      </c>
      <c r="M15" s="108">
        <f t="shared" ref="M15:M21" si="5">SUM(B15:L15)</f>
        <v>4996</v>
      </c>
    </row>
    <row r="16" spans="1:15" x14ac:dyDescent="0.2">
      <c r="A16" s="60" t="s">
        <v>54</v>
      </c>
      <c r="B16" s="13">
        <f>[3]Pinnacle!$HM$5+[3]Pinnacle!$HM$16</f>
        <v>1691</v>
      </c>
      <c r="C16" s="111">
        <f>[3]MESA_UA!$HM$5</f>
        <v>82</v>
      </c>
      <c r="D16" s="109">
        <f>'[3]Sky West'!$HM$5+'[3]Sky West'!$HM$16</f>
        <v>2776</v>
      </c>
      <c r="E16" s="109">
        <f>'[3]Sky West_UA'!$HM$5</f>
        <v>48</v>
      </c>
      <c r="F16" s="109">
        <f>'[3]Sky West_AS'!$HM$5</f>
        <v>24</v>
      </c>
      <c r="G16" s="109">
        <f>'[3]Sky West_AA'!$HM$5</f>
        <v>49</v>
      </c>
      <c r="H16" s="112">
        <f>[3]Republic!$HM$5</f>
        <v>127</v>
      </c>
      <c r="I16" s="269">
        <f>[3]Republic_UA!$HM$5</f>
        <v>93</v>
      </c>
      <c r="J16" s="269">
        <f>'[3]Sky Regional'!$HM$16</f>
        <v>0</v>
      </c>
      <c r="K16" s="112">
        <f>'[3]American Eagle'!$HM$5</f>
        <v>14</v>
      </c>
      <c r="L16" s="110">
        <f>'Other Regional'!L16</f>
        <v>87</v>
      </c>
      <c r="M16" s="113">
        <f t="shared" si="5"/>
        <v>4991</v>
      </c>
      <c r="O16" s="128"/>
    </row>
    <row r="17" spans="1:13" x14ac:dyDescent="0.2">
      <c r="A17" s="69" t="s">
        <v>55</v>
      </c>
      <c r="B17" s="114">
        <f t="shared" ref="B17:E17" si="6">SUM(B15:B16)</f>
        <v>3383</v>
      </c>
      <c r="C17" s="114">
        <f t="shared" si="6"/>
        <v>166</v>
      </c>
      <c r="D17" s="114">
        <f t="shared" si="6"/>
        <v>5556</v>
      </c>
      <c r="E17" s="114">
        <f t="shared" si="6"/>
        <v>96</v>
      </c>
      <c r="F17" s="114">
        <f t="shared" ref="F17:G17" si="7">SUM(F15:F16)</f>
        <v>48</v>
      </c>
      <c r="G17" s="114">
        <f t="shared" si="7"/>
        <v>98</v>
      </c>
      <c r="H17" s="114">
        <f>SUM(H15:H16)</f>
        <v>253</v>
      </c>
      <c r="I17" s="114">
        <f t="shared" ref="I17:J17" si="8">SUM(I15:I16)</f>
        <v>185</v>
      </c>
      <c r="J17" s="114">
        <f t="shared" si="8"/>
        <v>0</v>
      </c>
      <c r="K17" s="114">
        <f>SUM(K15:K16)</f>
        <v>28</v>
      </c>
      <c r="L17" s="114">
        <f>SUM(L15:L16)</f>
        <v>174</v>
      </c>
      <c r="M17" s="115">
        <f t="shared" si="5"/>
        <v>9987</v>
      </c>
    </row>
    <row r="18" spans="1:13" x14ac:dyDescent="0.2">
      <c r="A18" s="60" t="s">
        <v>56</v>
      </c>
      <c r="B18" s="116">
        <f>[3]Pinnacle!$HM$8</f>
        <v>1</v>
      </c>
      <c r="C18" s="117">
        <f>[3]MESA_UA!$HM$8</f>
        <v>0</v>
      </c>
      <c r="D18" s="116">
        <f>'[3]Sky West'!$HM$8</f>
        <v>3</v>
      </c>
      <c r="E18" s="116">
        <f>'[3]Sky West_UA'!$HM$8</f>
        <v>0</v>
      </c>
      <c r="F18" s="116">
        <f>'[3]Sky West_AS'!$HM$8</f>
        <v>0</v>
      </c>
      <c r="G18" s="116">
        <f>'[3]Sky West_AA'!$HM$8</f>
        <v>0</v>
      </c>
      <c r="H18" s="116">
        <f>[3]Republic!$HM$8</f>
        <v>0</v>
      </c>
      <c r="I18" s="116">
        <f>[3]Republic_UA!$HM$8</f>
        <v>0</v>
      </c>
      <c r="J18" s="116">
        <f>'[3]Sky Regional'!$HM$8</f>
        <v>0</v>
      </c>
      <c r="K18" s="116">
        <f>'[3]American Eagle'!$HM$8</f>
        <v>0</v>
      </c>
      <c r="L18" s="116">
        <f>'Other Regional'!L18</f>
        <v>0</v>
      </c>
      <c r="M18" s="108">
        <f t="shared" si="5"/>
        <v>4</v>
      </c>
    </row>
    <row r="19" spans="1:13" x14ac:dyDescent="0.2">
      <c r="A19" s="60" t="s">
        <v>57</v>
      </c>
      <c r="B19" s="118">
        <f>[3]Pinnacle!$HM$9</f>
        <v>1</v>
      </c>
      <c r="C19" s="119">
        <f>[3]MESA_UA!$HM$9</f>
        <v>0</v>
      </c>
      <c r="D19" s="118">
        <f>'[3]Sky West'!$HM$9</f>
        <v>0</v>
      </c>
      <c r="E19" s="118">
        <f>'[3]Sky West_UA'!$HM$9</f>
        <v>0</v>
      </c>
      <c r="F19" s="118">
        <f>'[3]Sky West_AS'!$HM$9</f>
        <v>0</v>
      </c>
      <c r="G19" s="118">
        <f>'[3]Sky West_AA'!$HM$9</f>
        <v>0</v>
      </c>
      <c r="H19" s="118">
        <f>[3]Republic!$HM$9</f>
        <v>0</v>
      </c>
      <c r="I19" s="118">
        <f>[3]Republic_UA!$HM$9</f>
        <v>0</v>
      </c>
      <c r="J19" s="118">
        <f>'[3]Sky Regional'!$HM$9</f>
        <v>0</v>
      </c>
      <c r="K19" s="118">
        <f>'[3]American Eagle'!$HM$9</f>
        <v>0</v>
      </c>
      <c r="L19" s="118">
        <f>'Other Regional'!L19</f>
        <v>0</v>
      </c>
      <c r="M19" s="113">
        <f t="shared" si="5"/>
        <v>1</v>
      </c>
    </row>
    <row r="20" spans="1:13" x14ac:dyDescent="0.2">
      <c r="A20" s="69" t="s">
        <v>58</v>
      </c>
      <c r="B20" s="114">
        <f t="shared" ref="B20:L20" si="9">SUM(B18:B19)</f>
        <v>2</v>
      </c>
      <c r="C20" s="114">
        <f t="shared" si="9"/>
        <v>0</v>
      </c>
      <c r="D20" s="114">
        <f t="shared" si="9"/>
        <v>3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5</v>
      </c>
    </row>
    <row r="21" spans="1:13" ht="15.75" thickBot="1" x14ac:dyDescent="0.3">
      <c r="A21" s="70" t="s">
        <v>28</v>
      </c>
      <c r="B21" s="120">
        <f>SUM(B20,B17)</f>
        <v>3385</v>
      </c>
      <c r="C21" s="120">
        <f t="shared" ref="C21:K21" si="11">SUM(C20,C17)</f>
        <v>166</v>
      </c>
      <c r="D21" s="120">
        <f t="shared" si="11"/>
        <v>5559</v>
      </c>
      <c r="E21" s="120">
        <f t="shared" si="11"/>
        <v>96</v>
      </c>
      <c r="F21" s="120">
        <f t="shared" ref="F21:G21" si="12">SUM(F20,F17)</f>
        <v>48</v>
      </c>
      <c r="G21" s="120">
        <f t="shared" si="12"/>
        <v>98</v>
      </c>
      <c r="H21" s="120">
        <f t="shared" si="11"/>
        <v>253</v>
      </c>
      <c r="I21" s="120">
        <f t="shared" si="11"/>
        <v>185</v>
      </c>
      <c r="J21" s="120">
        <f t="shared" si="11"/>
        <v>0</v>
      </c>
      <c r="K21" s="120">
        <f t="shared" si="11"/>
        <v>28</v>
      </c>
      <c r="L21" s="120">
        <f>SUM(L20,L17)</f>
        <v>174</v>
      </c>
      <c r="M21" s="121">
        <f t="shared" si="5"/>
        <v>9992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[3]Pinnacle!$HM$47</f>
        <v>0</v>
      </c>
      <c r="C25" s="130">
        <f>[3]MESA_UA!$HM$47</f>
        <v>0</v>
      </c>
      <c r="D25" s="128">
        <f>'[3]Sky West'!$HM$47</f>
        <v>0</v>
      </c>
      <c r="E25" s="128">
        <f>'[3]Sky West_UA'!$HM$47</f>
        <v>0</v>
      </c>
      <c r="F25" s="128">
        <f>'[3]Sky West_AS'!$HM$47</f>
        <v>1227</v>
      </c>
      <c r="G25" s="128">
        <f>'[3]Sky West_AA'!$HM$47</f>
        <v>112</v>
      </c>
      <c r="H25" s="128">
        <f>[3]Republic!$HM$47</f>
        <v>1</v>
      </c>
      <c r="I25" s="128">
        <f>[3]Republic_UA!$HM$47</f>
        <v>0</v>
      </c>
      <c r="J25" s="128">
        <f>'[3]Sky Regional'!$HM$47</f>
        <v>0</v>
      </c>
      <c r="K25" s="128">
        <f>'[3]American Eagle'!$HM$47</f>
        <v>56</v>
      </c>
      <c r="L25" s="128">
        <f>'Other Regional'!L25</f>
        <v>97</v>
      </c>
      <c r="M25" s="108">
        <f>SUM(B25:L25)</f>
        <v>1493</v>
      </c>
    </row>
    <row r="26" spans="1:13" x14ac:dyDescent="0.2">
      <c r="A26" s="73" t="s">
        <v>38</v>
      </c>
      <c r="B26" s="128">
        <f>[3]Pinnacle!$HM$48</f>
        <v>0</v>
      </c>
      <c r="C26" s="130">
        <f>[3]MESA_UA!$HM$48</f>
        <v>0</v>
      </c>
      <c r="D26" s="128">
        <f>'[3]Sky West'!$HM$48</f>
        <v>0</v>
      </c>
      <c r="E26" s="128">
        <f>'[3]Sky West_UA'!$HM$48</f>
        <v>0</v>
      </c>
      <c r="F26" s="128">
        <f>'[3]Sky West_AS'!$HM$48</f>
        <v>0</v>
      </c>
      <c r="G26" s="128">
        <f>'[3]Sky West_AA'!$HM$48</f>
        <v>0</v>
      </c>
      <c r="H26" s="128">
        <f>[3]Republic!$HM$48</f>
        <v>0</v>
      </c>
      <c r="I26" s="128">
        <f>[3]Republic_UA!$HM$48</f>
        <v>0</v>
      </c>
      <c r="J26" s="128">
        <f>'[3]Sky Regional'!$HM$48</f>
        <v>0</v>
      </c>
      <c r="K26" s="128">
        <f>'[3]American Eagle'!$HM$48</f>
        <v>0</v>
      </c>
      <c r="L26" s="128">
        <f>'Other Regional'!L26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1227</v>
      </c>
      <c r="G27" s="131">
        <f t="shared" si="14"/>
        <v>112</v>
      </c>
      <c r="H27" s="131">
        <f t="shared" si="13"/>
        <v>1</v>
      </c>
      <c r="I27" s="131">
        <f t="shared" si="13"/>
        <v>0</v>
      </c>
      <c r="J27" s="131">
        <f t="shared" si="13"/>
        <v>0</v>
      </c>
      <c r="K27" s="131">
        <f t="shared" si="13"/>
        <v>56</v>
      </c>
      <c r="L27" s="131">
        <f t="shared" si="13"/>
        <v>97</v>
      </c>
      <c r="M27" s="132">
        <f>SUM(B27:L27)</f>
        <v>1493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[3]Pinnacle!$HM$52</f>
        <v>0</v>
      </c>
      <c r="C30" s="130">
        <f>[3]MESA_UA!$HM$52</f>
        <v>0</v>
      </c>
      <c r="D30" s="128">
        <f>'[3]Sky West'!$HM$52</f>
        <v>0</v>
      </c>
      <c r="E30" s="128">
        <f>'[3]Sky West_UA'!$HM$52</f>
        <v>0</v>
      </c>
      <c r="F30" s="128">
        <f>'[3]Sky West_AS'!$HM$52</f>
        <v>258</v>
      </c>
      <c r="G30" s="128">
        <f>'[3]Sky West_AA'!$HM$52</f>
        <v>36</v>
      </c>
      <c r="H30" s="128">
        <f>[3]Republic!$HM$52</f>
        <v>180</v>
      </c>
      <c r="I30" s="128">
        <f>[3]Republic_UA!$HM$52</f>
        <v>0</v>
      </c>
      <c r="J30" s="128">
        <f>'[3]Sky Regional'!$HM$52</f>
        <v>0</v>
      </c>
      <c r="K30" s="128">
        <f>'[3]American Eagle'!$HM$52</f>
        <v>0</v>
      </c>
      <c r="L30" s="128">
        <f>'Other Regional'!L30</f>
        <v>15</v>
      </c>
      <c r="M30" s="108">
        <f t="shared" ref="M30:M37" si="15">SUM(B30:L30)</f>
        <v>489</v>
      </c>
    </row>
    <row r="31" spans="1:13" x14ac:dyDescent="0.2">
      <c r="A31" s="73" t="s">
        <v>60</v>
      </c>
      <c r="B31" s="128">
        <f>[3]Pinnacle!$HM$53</f>
        <v>0</v>
      </c>
      <c r="C31" s="130">
        <f>[3]MESA_UA!$HM$53</f>
        <v>0</v>
      </c>
      <c r="D31" s="128">
        <f>'[3]Sky West'!$HM$53</f>
        <v>0</v>
      </c>
      <c r="E31" s="128">
        <f>'[3]Sky West_UA'!$HM$53</f>
        <v>0</v>
      </c>
      <c r="F31" s="128">
        <f>'[3]Sky West_AS'!$HM$53</f>
        <v>1312</v>
      </c>
      <c r="G31" s="128">
        <f>'[3]Sky West_AA'!$HM$53</f>
        <v>0</v>
      </c>
      <c r="H31" s="128">
        <f>[3]Republic!$HM$53</f>
        <v>0</v>
      </c>
      <c r="I31" s="128">
        <f>[3]Republic_UA!$HM$53</f>
        <v>0</v>
      </c>
      <c r="J31" s="128">
        <f>'[3]Sky Regional'!$HM$53</f>
        <v>0</v>
      </c>
      <c r="K31" s="128">
        <f>'[3]American Eagle'!$HM$53</f>
        <v>0</v>
      </c>
      <c r="L31" s="128">
        <f>'Other Regional'!L31</f>
        <v>608</v>
      </c>
      <c r="M31" s="108">
        <f t="shared" si="15"/>
        <v>1920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1570</v>
      </c>
      <c r="G32" s="131">
        <f t="shared" si="17"/>
        <v>36</v>
      </c>
      <c r="H32" s="131">
        <f t="shared" si="16"/>
        <v>180</v>
      </c>
      <c r="I32" s="131">
        <f t="shared" si="16"/>
        <v>0</v>
      </c>
      <c r="J32" s="131">
        <f t="shared" si="16"/>
        <v>0</v>
      </c>
      <c r="K32" s="131">
        <f t="shared" si="16"/>
        <v>0</v>
      </c>
      <c r="L32" s="131">
        <f>SUM(L30:L31)</f>
        <v>623</v>
      </c>
      <c r="M32" s="132">
        <f t="shared" si="15"/>
        <v>2409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[3]Pinnacle!$HM$57</f>
        <v>0</v>
      </c>
      <c r="C35" s="130">
        <f>[3]MESA_UA!$HM$57</f>
        <v>0</v>
      </c>
      <c r="D35" s="128">
        <f>'[3]Sky West'!$HM$57</f>
        <v>0</v>
      </c>
      <c r="E35" s="128">
        <f>'[3]Sky West_UA'!$HM$57</f>
        <v>0</v>
      </c>
      <c r="F35" s="128">
        <f>'[3]Sky West_AS'!$HM$57</f>
        <v>0</v>
      </c>
      <c r="G35" s="128">
        <f>'[3]Sky West_AA'!$HM$57</f>
        <v>0</v>
      </c>
      <c r="H35" s="128">
        <f>[3]Republic!$HM$57</f>
        <v>0</v>
      </c>
      <c r="I35" s="128">
        <f>[3]Republic!$HM$57</f>
        <v>0</v>
      </c>
      <c r="J35" s="128">
        <f>[3]Republic!$HM$57</f>
        <v>0</v>
      </c>
      <c r="K35" s="128">
        <f>'[3]American Eagle'!$HM$57</f>
        <v>0</v>
      </c>
      <c r="L35" s="128">
        <f>'Other Regional'!L35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[3]Pinnacle!$HM$58</f>
        <v>0</v>
      </c>
      <c r="C36" s="130">
        <f>[3]MESA_UA!$HM$58</f>
        <v>0</v>
      </c>
      <c r="D36" s="128">
        <f>'[3]Sky West'!$HM$58</f>
        <v>0</v>
      </c>
      <c r="E36" s="128">
        <f>'[3]Sky West_UA'!$HM$58</f>
        <v>0</v>
      </c>
      <c r="F36" s="128">
        <f>'[3]Sky West_AS'!$HM$58</f>
        <v>0</v>
      </c>
      <c r="G36" s="128">
        <f>'[3]Sky West_AA'!$HM$58</f>
        <v>0</v>
      </c>
      <c r="H36" s="128">
        <f>[3]Republic!$HM$58</f>
        <v>0</v>
      </c>
      <c r="I36" s="128">
        <f>[3]Republic!$HM$58</f>
        <v>0</v>
      </c>
      <c r="J36" s="128">
        <f>[3]Republic!$HM$58</f>
        <v>0</v>
      </c>
      <c r="K36" s="128">
        <f>'[3]American Eagle'!$HM$58</f>
        <v>0</v>
      </c>
      <c r="L36" s="128">
        <f>'Other Regional'!L36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1485</v>
      </c>
      <c r="G40" s="128">
        <f t="shared" ref="G40" si="22">SUM(G35,G30,G25)</f>
        <v>148</v>
      </c>
      <c r="H40" s="128">
        <f t="shared" si="20"/>
        <v>181</v>
      </c>
      <c r="I40" s="128">
        <f t="shared" si="20"/>
        <v>0</v>
      </c>
      <c r="J40" s="128">
        <f t="shared" si="20"/>
        <v>0</v>
      </c>
      <c r="K40" s="128">
        <f>SUM(K35,K30,K25)</f>
        <v>56</v>
      </c>
      <c r="L40" s="128">
        <f>L35+L30+L25</f>
        <v>112</v>
      </c>
      <c r="M40" s="108">
        <f>SUM(B40:L40)</f>
        <v>1982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1312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608</v>
      </c>
      <c r="M41" s="108">
        <f>SUM(B41:L41)</f>
        <v>1920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2797</v>
      </c>
      <c r="G42" s="134">
        <f t="shared" ref="G42" si="24">SUM(G37,G32,G27)</f>
        <v>148</v>
      </c>
      <c r="H42" s="134">
        <f t="shared" si="20"/>
        <v>181</v>
      </c>
      <c r="I42" s="134">
        <f t="shared" si="20"/>
        <v>0</v>
      </c>
      <c r="J42" s="134">
        <f t="shared" si="20"/>
        <v>0</v>
      </c>
      <c r="K42" s="134">
        <f>SUM(K37,K32,K27)</f>
        <v>56</v>
      </c>
      <c r="L42" s="134">
        <f>SUM(L37,L32,L27)</f>
        <v>720</v>
      </c>
      <c r="M42" s="135">
        <f>SUM(B42:L42)</f>
        <v>3902</v>
      </c>
    </row>
    <row r="44" spans="1:13" x14ac:dyDescent="0.2">
      <c r="A44" s="348" t="s">
        <v>121</v>
      </c>
      <c r="B44" s="293">
        <f>[3]Pinnacle!$HM$70+[3]Pinnacle!$HM$73</f>
        <v>26901</v>
      </c>
      <c r="D44" s="294">
        <f>'[3]Sky West'!$HM$70+'[3]Sky West'!$HM$73</f>
        <v>52712</v>
      </c>
      <c r="E44" s="5"/>
      <c r="F44" s="5"/>
      <c r="G44" s="5"/>
      <c r="L44" s="294">
        <f>+'Other Regional'!L46</f>
        <v>0</v>
      </c>
      <c r="M44" s="282">
        <f>SUM(B44:L44)</f>
        <v>79613</v>
      </c>
    </row>
    <row r="45" spans="1:13" x14ac:dyDescent="0.2">
      <c r="A45" s="362" t="s">
        <v>122</v>
      </c>
      <c r="B45" s="293">
        <f>[3]Pinnacle!$HM$71+[3]Pinnacle!$HM$74</f>
        <v>56391</v>
      </c>
      <c r="D45" s="294">
        <f>'[3]Sky West'!$HM$71+'[3]Sky West'!$HM$74</f>
        <v>97044</v>
      </c>
      <c r="E45" s="5"/>
      <c r="F45" s="5"/>
      <c r="G45" s="5"/>
      <c r="L45" s="294">
        <f>+'Other Regional'!L47</f>
        <v>0</v>
      </c>
      <c r="M45" s="282">
        <f>SUM(B45:L45)</f>
        <v>153435</v>
      </c>
    </row>
    <row r="46" spans="1:13" x14ac:dyDescent="0.2">
      <c r="A46" s="284" t="s">
        <v>123</v>
      </c>
      <c r="B46" s="285">
        <f>SUM(B44:B45)</f>
        <v>83292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October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F6" sqref="F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s="7" customFormat="1" ht="36" customHeight="1" x14ac:dyDescent="0.2">
      <c r="A1" s="358"/>
    </row>
    <row r="2" spans="1:12" s="7" customFormat="1" ht="55.5" customHeight="1" thickBot="1" x14ac:dyDescent="0.25">
      <c r="A2" s="351">
        <v>44470</v>
      </c>
      <c r="B2" s="460" t="s">
        <v>171</v>
      </c>
      <c r="C2" s="460" t="s">
        <v>170</v>
      </c>
      <c r="D2" s="460" t="s">
        <v>197</v>
      </c>
      <c r="E2" s="460" t="s">
        <v>240</v>
      </c>
      <c r="F2" s="460" t="s">
        <v>245</v>
      </c>
      <c r="G2" s="460" t="s">
        <v>181</v>
      </c>
      <c r="H2" s="460" t="s">
        <v>175</v>
      </c>
      <c r="I2" s="460" t="s">
        <v>174</v>
      </c>
      <c r="J2" s="460" t="s">
        <v>159</v>
      </c>
      <c r="K2" s="460" t="s">
        <v>162</v>
      </c>
      <c r="L2" s="461" t="s">
        <v>21</v>
      </c>
    </row>
    <row r="3" spans="1:12" ht="15" x14ac:dyDescent="0.25">
      <c r="A3" s="252" t="s">
        <v>3</v>
      </c>
      <c r="B3" s="374"/>
      <c r="C3" s="374"/>
      <c r="D3" s="374"/>
      <c r="E3" s="374"/>
      <c r="F3" s="374"/>
      <c r="G3" s="374"/>
      <c r="H3" s="375"/>
      <c r="I3" s="375"/>
      <c r="J3" s="375"/>
      <c r="K3" s="375"/>
      <c r="L3" s="459"/>
    </row>
    <row r="4" spans="1:12" x14ac:dyDescent="0.2">
      <c r="A4" s="60" t="s">
        <v>29</v>
      </c>
      <c r="B4" s="126"/>
      <c r="C4" s="126"/>
      <c r="D4" s="126"/>
      <c r="E4" s="126"/>
      <c r="F4" s="127"/>
      <c r="G4" s="127"/>
      <c r="H4" s="129"/>
      <c r="I4" s="129"/>
      <c r="J4" s="129"/>
      <c r="K4" s="129"/>
      <c r="L4" s="108"/>
    </row>
    <row r="5" spans="1:12" x14ac:dyDescent="0.2">
      <c r="A5" s="60" t="s">
        <v>30</v>
      </c>
      <c r="B5" s="129">
        <f>'[3]Shuttle America'!$HM$22</f>
        <v>0</v>
      </c>
      <c r="C5" s="129">
        <f>'[3]Shuttle America_Delta'!$HM$22</f>
        <v>0</v>
      </c>
      <c r="D5" s="425">
        <f>[3]Horizon_AS!$HM$22+[3]Horizon_AS!$HM$32</f>
        <v>407</v>
      </c>
      <c r="E5" s="425">
        <f>'[3]Air Wisconsin'!$HM$22</f>
        <v>0</v>
      </c>
      <c r="F5" s="425">
        <f>[3]Jazz_AC!$HM$22+[3]Jazz_AC!$HM$32</f>
        <v>2152</v>
      </c>
      <c r="G5" s="425">
        <f>[3]PSA!$HM$22</f>
        <v>3095</v>
      </c>
      <c r="H5" s="129">
        <f>'[3]Atlantic Southeast'!$HM$22+'[3]Atlantic Southeast'!$HM$32</f>
        <v>0</v>
      </c>
      <c r="I5" s="129">
        <f>'[3]Continental Express'!$HM$22</f>
        <v>0</v>
      </c>
      <c r="J5" s="128">
        <f>'[3]Go Jet_UA'!$HM$22</f>
        <v>0</v>
      </c>
      <c r="K5" s="20">
        <f>'[3]Go Jet'!$HM$22+'[3]Go Jet'!$HM$32</f>
        <v>0</v>
      </c>
      <c r="L5" s="108">
        <f>SUM(B5:K5)</f>
        <v>5654</v>
      </c>
    </row>
    <row r="6" spans="1:12" s="10" customFormat="1" x14ac:dyDescent="0.2">
      <c r="A6" s="60" t="s">
        <v>31</v>
      </c>
      <c r="B6" s="129">
        <f>'[3]Shuttle America'!$HM$23</f>
        <v>0</v>
      </c>
      <c r="C6" s="129">
        <f>'[3]Shuttle America_Delta'!$HM$23</f>
        <v>0</v>
      </c>
      <c r="D6" s="425">
        <f>[3]Horizon_AS!$HM$23+[3]Horizon_AS!$HM$33</f>
        <v>358</v>
      </c>
      <c r="E6" s="425">
        <f>'[3]Air Wisconsin'!$HM$23</f>
        <v>0</v>
      </c>
      <c r="F6" s="425">
        <f>[3]Jazz_AC!$HM$23+[3]Jazz_AC!$HM$33</f>
        <v>1891</v>
      </c>
      <c r="G6" s="425">
        <f>[3]PSA!$HM$23</f>
        <v>3140</v>
      </c>
      <c r="H6" s="129">
        <f>'[3]Atlantic Southeast'!$HM$23+'[3]Atlantic Southeast'!$HM$33</f>
        <v>0</v>
      </c>
      <c r="I6" s="129">
        <f>'[3]Continental Express'!$HM$23</f>
        <v>0</v>
      </c>
      <c r="J6" s="128">
        <f>'[3]Go Jet_UA'!$HM$23</f>
        <v>0</v>
      </c>
      <c r="K6" s="13">
        <f>'[3]Go Jet'!$HM$23+'[3]Go Jet'!$HM$33</f>
        <v>0</v>
      </c>
      <c r="L6" s="113">
        <f>SUM(B6:K6)</f>
        <v>5389</v>
      </c>
    </row>
    <row r="7" spans="1:12" ht="15" thickBot="1" x14ac:dyDescent="0.25">
      <c r="A7" s="71" t="s">
        <v>7</v>
      </c>
      <c r="B7" s="131">
        <f t="shared" ref="B7:J7" si="0">SUM(B5:B6)</f>
        <v>0</v>
      </c>
      <c r="C7" s="131">
        <f t="shared" si="0"/>
        <v>0</v>
      </c>
      <c r="D7" s="131">
        <f t="shared" ref="D7:F7" si="1">SUM(D5:D6)</f>
        <v>765</v>
      </c>
      <c r="E7" s="131">
        <f t="shared" si="1"/>
        <v>0</v>
      </c>
      <c r="F7" s="131">
        <f t="shared" si="1"/>
        <v>4043</v>
      </c>
      <c r="G7" s="131">
        <f t="shared" si="0"/>
        <v>6235</v>
      </c>
      <c r="H7" s="131">
        <f t="shared" si="0"/>
        <v>0</v>
      </c>
      <c r="I7" s="131">
        <f t="shared" si="0"/>
        <v>0</v>
      </c>
      <c r="J7" s="131">
        <f t="shared" si="0"/>
        <v>0</v>
      </c>
      <c r="K7" s="131">
        <f>SUM(K5:K6)</f>
        <v>0</v>
      </c>
      <c r="L7" s="132">
        <f>SUM(B7:K7)</f>
        <v>11043</v>
      </c>
    </row>
    <row r="8" spans="1:12" ht="13.5" thickTop="1" x14ac:dyDescent="0.2">
      <c r="A8" s="60"/>
      <c r="B8" s="129"/>
      <c r="C8" s="129"/>
      <c r="D8" s="425"/>
      <c r="E8" s="425"/>
      <c r="F8" s="425"/>
      <c r="G8" s="425"/>
      <c r="H8" s="129"/>
      <c r="I8" s="129"/>
      <c r="J8" s="128"/>
      <c r="K8" s="313"/>
      <c r="L8" s="133"/>
    </row>
    <row r="9" spans="1:12" s="10" customFormat="1" x14ac:dyDescent="0.2">
      <c r="A9" s="60" t="s">
        <v>32</v>
      </c>
      <c r="B9" s="129"/>
      <c r="C9" s="129"/>
      <c r="D9" s="425"/>
      <c r="E9" s="425"/>
      <c r="F9" s="425"/>
      <c r="G9" s="425"/>
      <c r="H9" s="129"/>
      <c r="I9" s="129"/>
      <c r="J9" s="128"/>
      <c r="K9" s="20"/>
      <c r="L9" s="108"/>
    </row>
    <row r="10" spans="1:12" x14ac:dyDescent="0.2">
      <c r="A10" s="60" t="s">
        <v>30</v>
      </c>
      <c r="B10" s="129">
        <f>'[3]Shuttle America'!$HM$27</f>
        <v>0</v>
      </c>
      <c r="C10" s="129">
        <f>'[3]Shuttle America_Delta'!$HM$27</f>
        <v>0</v>
      </c>
      <c r="D10" s="425">
        <f>[3]Horizon_AS!$HM$27+[3]Horizon_AS!$HM$37</f>
        <v>13</v>
      </c>
      <c r="E10" s="425">
        <f>'[3]Air Wisconsin'!$HM$27</f>
        <v>0</v>
      </c>
      <c r="F10" s="425">
        <f>[3]Jazz_AC!$HM$27+[3]Jazz_AC!$HM$37</f>
        <v>18</v>
      </c>
      <c r="G10" s="425">
        <f>[3]PSA!$HM$27</f>
        <v>73</v>
      </c>
      <c r="H10" s="20">
        <f>'[3]Atlantic Southeast'!$HM$27+'[3]Atlantic Southeast'!$HM$37</f>
        <v>0</v>
      </c>
      <c r="I10" s="129">
        <f>'[3]Continental Express'!$HM$27</f>
        <v>0</v>
      </c>
      <c r="J10" s="128">
        <f>'[3]Go Jet_UA'!$HM$27</f>
        <v>0</v>
      </c>
      <c r="K10" s="20">
        <f>'[3]Go Jet'!$HM$27+'[3]Go Jet'!$HM$37</f>
        <v>0</v>
      </c>
      <c r="L10" s="108">
        <f>SUM(B10:K10)</f>
        <v>104</v>
      </c>
    </row>
    <row r="11" spans="1:12" x14ac:dyDescent="0.2">
      <c r="A11" s="60" t="s">
        <v>33</v>
      </c>
      <c r="B11" s="129">
        <f>'[3]Shuttle America'!$HM$28</f>
        <v>0</v>
      </c>
      <c r="C11" s="129">
        <f>'[3]Shuttle America_Delta'!$HM$28</f>
        <v>0</v>
      </c>
      <c r="D11" s="425">
        <f>[3]Horizon_AS!$HM$28+[3]Horizon_AS!$HM$38</f>
        <v>17</v>
      </c>
      <c r="E11" s="425">
        <f>'[3]Air Wisconsin'!$HM$28</f>
        <v>0</v>
      </c>
      <c r="F11" s="425">
        <f>[3]Jazz_AC!$HM$28+[3]Jazz_AC!$HM$38</f>
        <v>20</v>
      </c>
      <c r="G11" s="425">
        <f>[3]PSA!$HM$28</f>
        <v>60</v>
      </c>
      <c r="H11" s="13">
        <f>'[3]Atlantic Southeast'!$HM$28+'[3]Atlantic Southeast'!$HM$38</f>
        <v>0</v>
      </c>
      <c r="I11" s="129">
        <f>'[3]Continental Express'!$HM$28</f>
        <v>0</v>
      </c>
      <c r="J11" s="128">
        <f>'[3]Go Jet_UA'!$HM$28</f>
        <v>0</v>
      </c>
      <c r="K11" s="13">
        <f>'[3]Go Jet'!$HM$28+'[3]Go Jet'!$HM$38</f>
        <v>0</v>
      </c>
      <c r="L11" s="113">
        <f>SUM(B11:K11)</f>
        <v>97</v>
      </c>
    </row>
    <row r="12" spans="1:12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G12" si="2">SUM(D10:D11)</f>
        <v>30</v>
      </c>
      <c r="E12" s="134">
        <f t="shared" ref="E12:F12" si="3">SUM(E10:E11)</f>
        <v>0</v>
      </c>
      <c r="F12" s="134">
        <f t="shared" si="3"/>
        <v>38</v>
      </c>
      <c r="G12" s="134">
        <f t="shared" si="2"/>
        <v>133</v>
      </c>
      <c r="H12" s="134">
        <f t="shared" ref="H12:J12" si="4">SUM(H10:H11)</f>
        <v>0</v>
      </c>
      <c r="I12" s="134">
        <f t="shared" si="4"/>
        <v>0</v>
      </c>
      <c r="J12" s="134">
        <f t="shared" si="4"/>
        <v>0</v>
      </c>
      <c r="K12" s="134">
        <f t="shared" ref="K12" si="5">SUM(K10:K11)</f>
        <v>0</v>
      </c>
      <c r="L12" s="135">
        <f>SUM(B12:K12)</f>
        <v>201</v>
      </c>
    </row>
    <row r="13" spans="1:12" ht="6" customHeight="1" thickBot="1" x14ac:dyDescent="0.25"/>
    <row r="14" spans="1:12" ht="15.75" thickTop="1" x14ac:dyDescent="0.25">
      <c r="A14" s="59" t="s">
        <v>9</v>
      </c>
      <c r="B14" s="101"/>
      <c r="C14" s="101"/>
      <c r="D14" s="101"/>
      <c r="E14" s="101"/>
      <c r="F14" s="101"/>
      <c r="G14" s="101"/>
      <c r="H14" s="102"/>
      <c r="I14" s="102"/>
      <c r="J14" s="101"/>
      <c r="K14" s="101"/>
      <c r="L14" s="103"/>
    </row>
    <row r="15" spans="1:12" x14ac:dyDescent="0.2">
      <c r="A15" s="60" t="s">
        <v>53</v>
      </c>
      <c r="B15" s="104">
        <f>'[3]Shuttle America'!$HM$4</f>
        <v>0</v>
      </c>
      <c r="C15" s="104">
        <f>'[3]Shuttle America_Delta'!$HM$4</f>
        <v>0</v>
      </c>
      <c r="D15" s="426">
        <f>[3]Horizon_AS!$HM$4</f>
        <v>6</v>
      </c>
      <c r="E15" s="426">
        <f>'[3]Air Wisconsin'!$HM$4</f>
        <v>0</v>
      </c>
      <c r="F15" s="426">
        <f>[3]Jazz_AC!$HM$4+[3]Jazz_AC!$HM$15</f>
        <v>31</v>
      </c>
      <c r="G15" s="426">
        <f>[3]PSA!$HM$4</f>
        <v>50</v>
      </c>
      <c r="H15" s="105">
        <f>'[3]Atlantic Southeast'!$HM$4+'[3]Atlantic Southeast'!$HM$15</f>
        <v>0</v>
      </c>
      <c r="I15" s="105">
        <f>'[3]Continental Express'!$HM$4</f>
        <v>0</v>
      </c>
      <c r="J15" s="104">
        <f>'[3]Go Jet_UA'!$HM$4</f>
        <v>0</v>
      </c>
      <c r="K15" s="20">
        <f>'[3]Go Jet'!$HM$4+'[3]Go Jet'!$HM$15</f>
        <v>0</v>
      </c>
      <c r="L15" s="108">
        <f t="shared" ref="L15:L21" si="6">SUM(B15:K15)</f>
        <v>87</v>
      </c>
    </row>
    <row r="16" spans="1:12" x14ac:dyDescent="0.2">
      <c r="A16" s="60" t="s">
        <v>54</v>
      </c>
      <c r="B16" s="109">
        <f>'[3]Shuttle America'!$HM$5</f>
        <v>0</v>
      </c>
      <c r="C16" s="109">
        <f>'[3]Shuttle America_Delta'!$HM$5</f>
        <v>0</v>
      </c>
      <c r="D16" s="427">
        <f>[3]Horizon_AS!$HM$5</f>
        <v>6</v>
      </c>
      <c r="E16" s="427">
        <f>'[3]Air Wisconsin'!$HM$5</f>
        <v>0</v>
      </c>
      <c r="F16" s="427">
        <f>[3]Jazz_AC!$HM$5+[3]Jazz_AC!$HM$16</f>
        <v>31</v>
      </c>
      <c r="G16" s="427">
        <f>[3]PSA!$HM$5</f>
        <v>50</v>
      </c>
      <c r="H16" s="110">
        <f>'[3]Atlantic Southeast'!$HM$5+'[3]Atlantic Southeast'!$HM$16</f>
        <v>0</v>
      </c>
      <c r="I16" s="110">
        <f>'[3]Continental Express'!$HM$5</f>
        <v>0</v>
      </c>
      <c r="J16" s="109">
        <f>'[3]Go Jet_UA'!$HM$5</f>
        <v>0</v>
      </c>
      <c r="K16" s="13">
        <f>'[3]Go Jet'!$HM$5+'[3]Go Jet'!$HM$16</f>
        <v>0</v>
      </c>
      <c r="L16" s="113">
        <f t="shared" si="6"/>
        <v>87</v>
      </c>
    </row>
    <row r="17" spans="1:15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G17" si="7">SUM(D15:D16)</f>
        <v>12</v>
      </c>
      <c r="E17" s="114">
        <f t="shared" ref="E17:F17" si="8">SUM(E15:E16)</f>
        <v>0</v>
      </c>
      <c r="F17" s="114">
        <f t="shared" si="8"/>
        <v>62</v>
      </c>
      <c r="G17" s="114">
        <f t="shared" si="7"/>
        <v>100</v>
      </c>
      <c r="H17" s="114">
        <f t="shared" ref="H17:J17" si="9">SUM(H15:H16)</f>
        <v>0</v>
      </c>
      <c r="I17" s="114">
        <f t="shared" si="9"/>
        <v>0</v>
      </c>
      <c r="J17" s="114">
        <f t="shared" si="9"/>
        <v>0</v>
      </c>
      <c r="K17" s="259">
        <f>SUM(K15:K16)</f>
        <v>0</v>
      </c>
      <c r="L17" s="115">
        <f t="shared" si="6"/>
        <v>174</v>
      </c>
    </row>
    <row r="18" spans="1:15" x14ac:dyDescent="0.2">
      <c r="A18" s="60" t="s">
        <v>56</v>
      </c>
      <c r="B18" s="116">
        <f>'[3]Shuttle America'!$HM$8</f>
        <v>0</v>
      </c>
      <c r="C18" s="116">
        <f>'[3]Shuttle America_Delta'!$HM$8</f>
        <v>0</v>
      </c>
      <c r="D18" s="116">
        <f>[3]Horizon_AS!$HM$8</f>
        <v>0</v>
      </c>
      <c r="E18" s="116">
        <f>'[3]Air Wisconsin'!$HM$8</f>
        <v>0</v>
      </c>
      <c r="F18" s="116">
        <f>[3]Jazz_AC!$HM$8</f>
        <v>0</v>
      </c>
      <c r="G18" s="116">
        <f>[3]PSA!$HM$8</f>
        <v>0</v>
      </c>
      <c r="H18" s="107">
        <f>'[3]Atlantic Southeast'!$HM$8</f>
        <v>0</v>
      </c>
      <c r="I18" s="107">
        <f>'[3]Continental Express'!$HM$8</f>
        <v>0</v>
      </c>
      <c r="J18" s="116">
        <f>'[3]Go Jet_UA'!$HM$8</f>
        <v>0</v>
      </c>
      <c r="K18" s="20">
        <f>'[3]Go Jet'!$HM$8</f>
        <v>0</v>
      </c>
      <c r="L18" s="108">
        <f t="shared" si="6"/>
        <v>0</v>
      </c>
      <c r="O18" s="351"/>
    </row>
    <row r="19" spans="1:15" x14ac:dyDescent="0.2">
      <c r="A19" s="60" t="s">
        <v>57</v>
      </c>
      <c r="B19" s="118">
        <f>'[3]Shuttle America'!$HM$9</f>
        <v>0</v>
      </c>
      <c r="C19" s="118">
        <f>'[3]Shuttle America_Delta'!$HM$9</f>
        <v>0</v>
      </c>
      <c r="D19" s="118">
        <f>[3]Horizon_AS!$HM$9</f>
        <v>0</v>
      </c>
      <c r="E19" s="118">
        <f>'[3]Air Wisconsin'!$HM$9</f>
        <v>0</v>
      </c>
      <c r="F19" s="118">
        <f>[3]Jazz_AC!$HM$9</f>
        <v>0</v>
      </c>
      <c r="G19" s="118">
        <f>[3]PSA!$HM$9</f>
        <v>0</v>
      </c>
      <c r="H19" s="112">
        <f>'[3]Atlantic Southeast'!$HM$9</f>
        <v>0</v>
      </c>
      <c r="I19" s="112">
        <f>'[3]Continental Express'!$HM$9</f>
        <v>0</v>
      </c>
      <c r="J19" s="118">
        <f>'[3]Go Jet_UA'!$HM$9</f>
        <v>0</v>
      </c>
      <c r="K19" s="13">
        <f>'[3]Go Jet'!$HM$9</f>
        <v>0</v>
      </c>
      <c r="L19" s="113">
        <f t="shared" si="6"/>
        <v>0</v>
      </c>
    </row>
    <row r="20" spans="1:15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G20" si="10">SUM(D18:D19)</f>
        <v>0</v>
      </c>
      <c r="E20" s="114">
        <f t="shared" ref="E20:F20" si="11">SUM(E18:E19)</f>
        <v>0</v>
      </c>
      <c r="F20" s="114">
        <f t="shared" si="11"/>
        <v>0</v>
      </c>
      <c r="G20" s="114">
        <f t="shared" si="10"/>
        <v>0</v>
      </c>
      <c r="H20" s="114">
        <f t="shared" ref="H20:J20" si="12">SUM(H18:H19)</f>
        <v>0</v>
      </c>
      <c r="I20" s="114">
        <f t="shared" si="12"/>
        <v>0</v>
      </c>
      <c r="J20" s="114">
        <f t="shared" si="12"/>
        <v>0</v>
      </c>
      <c r="K20" s="259">
        <f>SUM(K18:K19)</f>
        <v>0</v>
      </c>
      <c r="L20" s="115">
        <f t="shared" si="6"/>
        <v>0</v>
      </c>
    </row>
    <row r="21" spans="1:15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G21" si="13">SUM(D20,D17)</f>
        <v>12</v>
      </c>
      <c r="E21" s="120">
        <f t="shared" ref="E21:F21" si="14">SUM(E20,E17)</f>
        <v>0</v>
      </c>
      <c r="F21" s="120">
        <f t="shared" si="14"/>
        <v>62</v>
      </c>
      <c r="G21" s="120">
        <f t="shared" si="13"/>
        <v>100</v>
      </c>
      <c r="H21" s="120">
        <f t="shared" ref="H21:J21" si="15">SUM(H20,H17)</f>
        <v>0</v>
      </c>
      <c r="I21" s="120">
        <f t="shared" si="15"/>
        <v>0</v>
      </c>
      <c r="J21" s="120">
        <f t="shared" si="15"/>
        <v>0</v>
      </c>
      <c r="K21" s="120">
        <f t="shared" ref="K21" si="16">SUM(K20,K17)</f>
        <v>0</v>
      </c>
      <c r="L21" s="121">
        <f t="shared" si="6"/>
        <v>174</v>
      </c>
    </row>
    <row r="22" spans="1:15" ht="3.75" customHeight="1" thickBot="1" x14ac:dyDescent="0.25"/>
    <row r="23" spans="1:15" ht="15.75" thickTop="1" x14ac:dyDescent="0.25">
      <c r="A23" s="63" t="s">
        <v>114</v>
      </c>
      <c r="B23" s="136"/>
      <c r="C23" s="136"/>
      <c r="D23" s="136"/>
      <c r="E23" s="136"/>
      <c r="F23" s="136"/>
      <c r="G23" s="136"/>
      <c r="H23" s="137"/>
      <c r="I23" s="137"/>
      <c r="J23" s="136"/>
      <c r="K23" s="136"/>
      <c r="L23" s="138"/>
    </row>
    <row r="24" spans="1:15" x14ac:dyDescent="0.2">
      <c r="A24" s="73" t="s">
        <v>36</v>
      </c>
      <c r="B24" s="128"/>
      <c r="C24" s="128"/>
      <c r="D24" s="128"/>
      <c r="E24" s="128"/>
      <c r="F24" s="128"/>
      <c r="G24" s="128"/>
      <c r="H24" s="129"/>
      <c r="I24" s="129"/>
      <c r="J24" s="128"/>
      <c r="L24" s="108"/>
    </row>
    <row r="25" spans="1:15" x14ac:dyDescent="0.2">
      <c r="A25" s="73" t="s">
        <v>37</v>
      </c>
      <c r="B25" s="128">
        <f>'[3]Shuttle America'!$HM$47</f>
        <v>0</v>
      </c>
      <c r="C25" s="128">
        <f>'[3]Shuttle America_Delta'!$HM$47</f>
        <v>0</v>
      </c>
      <c r="D25" s="128">
        <f>[3]Horizon_AS!$HM$47</f>
        <v>97</v>
      </c>
      <c r="E25" s="128">
        <f>'[3]Air Wisconsin'!$HM$47</f>
        <v>0</v>
      </c>
      <c r="F25" s="128">
        <f>[3]Jazz_AC!$HM$47</f>
        <v>0</v>
      </c>
      <c r="G25" s="128">
        <f>[3]PSA!$HM$47</f>
        <v>0</v>
      </c>
      <c r="H25" s="129">
        <f>'[3]Atlantic Southeast'!$HM$47</f>
        <v>0</v>
      </c>
      <c r="I25" s="129">
        <f>'[3]Continental Express'!$HM$47</f>
        <v>0</v>
      </c>
      <c r="J25" s="128">
        <f>'[3]Go Jet_UA'!$HM$47</f>
        <v>0</v>
      </c>
      <c r="K25" s="128">
        <f>'[3]Go Jet'!$HM$47</f>
        <v>0</v>
      </c>
      <c r="L25" s="108">
        <f>SUM(B25:K25)</f>
        <v>97</v>
      </c>
    </row>
    <row r="26" spans="1:15" x14ac:dyDescent="0.2">
      <c r="A26" s="73" t="s">
        <v>38</v>
      </c>
      <c r="B26" s="128">
        <f>'[3]Shuttle America'!$HM$48</f>
        <v>0</v>
      </c>
      <c r="C26" s="128">
        <f>'[3]Shuttle America_Delta'!$HM$48</f>
        <v>0</v>
      </c>
      <c r="D26" s="128">
        <f>[3]Horizon_AS!$HM$48</f>
        <v>0</v>
      </c>
      <c r="E26" s="128">
        <f>'[3]Air Wisconsin'!$HM$48</f>
        <v>0</v>
      </c>
      <c r="F26" s="128">
        <f>[3]Jazz_AC!$HM$48</f>
        <v>0</v>
      </c>
      <c r="G26" s="128">
        <f>[3]PSA!$HM$48</f>
        <v>0</v>
      </c>
      <c r="H26" s="129">
        <f>'[3]Atlantic Southeast'!$HM$48</f>
        <v>0</v>
      </c>
      <c r="I26" s="129">
        <f>'[3]Continental Express'!$HM$48</f>
        <v>0</v>
      </c>
      <c r="J26" s="128">
        <f>'[3]Go Jet_UA'!$HM$48</f>
        <v>0</v>
      </c>
      <c r="K26" s="128">
        <f>'[3]Go Jet'!$HM$48</f>
        <v>0</v>
      </c>
      <c r="L26" s="108">
        <f>SUM(B26:K26)</f>
        <v>0</v>
      </c>
    </row>
    <row r="27" spans="1:15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G27" si="17">SUM(D25:D26)</f>
        <v>97</v>
      </c>
      <c r="E27" s="131">
        <f t="shared" ref="E27:F27" si="18">SUM(E25:E26)</f>
        <v>0</v>
      </c>
      <c r="F27" s="131">
        <f t="shared" si="18"/>
        <v>0</v>
      </c>
      <c r="G27" s="131">
        <f t="shared" si="17"/>
        <v>0</v>
      </c>
      <c r="H27" s="131">
        <f t="shared" ref="H27:J27" si="19">SUM(H25:H26)</f>
        <v>0</v>
      </c>
      <c r="I27" s="131">
        <f t="shared" si="19"/>
        <v>0</v>
      </c>
      <c r="J27" s="131">
        <f t="shared" si="19"/>
        <v>0</v>
      </c>
      <c r="K27" s="131">
        <f>SUM(K25:K26)</f>
        <v>0</v>
      </c>
      <c r="L27" s="132">
        <f>SUM(B27:K27)</f>
        <v>97</v>
      </c>
    </row>
    <row r="28" spans="1:15" ht="7.5" customHeight="1" thickTop="1" x14ac:dyDescent="0.2">
      <c r="A28" s="73"/>
      <c r="B28" s="128"/>
      <c r="C28" s="128"/>
      <c r="D28" s="128"/>
      <c r="E28" s="128"/>
      <c r="F28" s="128"/>
      <c r="G28" s="128"/>
      <c r="H28" s="129"/>
      <c r="I28" s="129"/>
      <c r="J28" s="128"/>
      <c r="K28" s="128"/>
      <c r="L28" s="108"/>
    </row>
    <row r="29" spans="1:15" x14ac:dyDescent="0.2">
      <c r="A29" s="73" t="s">
        <v>40</v>
      </c>
      <c r="B29" s="128"/>
      <c r="C29" s="128"/>
      <c r="D29" s="128"/>
      <c r="E29" s="128"/>
      <c r="F29" s="128"/>
      <c r="G29" s="128"/>
      <c r="H29" s="129"/>
      <c r="I29" s="129"/>
      <c r="J29" s="128"/>
      <c r="K29" s="128"/>
      <c r="L29" s="108"/>
    </row>
    <row r="30" spans="1:15" x14ac:dyDescent="0.2">
      <c r="A30" s="73" t="s">
        <v>59</v>
      </c>
      <c r="B30" s="128">
        <f>'[3]Shuttle America'!$HM$52</f>
        <v>0</v>
      </c>
      <c r="C30" s="128">
        <f>'[3]Shuttle America_Delta'!$HM$52</f>
        <v>0</v>
      </c>
      <c r="D30" s="128">
        <f>[3]Horizon_AS!$HM$52</f>
        <v>15</v>
      </c>
      <c r="E30" s="128">
        <f>'[3]Air Wisconsin'!$HM$52</f>
        <v>0</v>
      </c>
      <c r="F30" s="128">
        <f>[3]Jazz_AC!$HM$52</f>
        <v>0</v>
      </c>
      <c r="G30" s="128">
        <f>[3]PSA!$HM$52</f>
        <v>0</v>
      </c>
      <c r="H30" s="129">
        <f>'[3]Atlantic Southeast'!$HM$52</f>
        <v>0</v>
      </c>
      <c r="I30" s="129">
        <f>'[3]Continental Express'!$HM$52</f>
        <v>0</v>
      </c>
      <c r="J30" s="128">
        <f>'[3]Go Jet_UA'!$HM$52</f>
        <v>0</v>
      </c>
      <c r="K30" s="128">
        <f>'[3]Go Jet'!$HM$52</f>
        <v>0</v>
      </c>
      <c r="L30" s="108">
        <f>SUM(B30:K30)</f>
        <v>15</v>
      </c>
    </row>
    <row r="31" spans="1:15" x14ac:dyDescent="0.2">
      <c r="A31" s="73" t="s">
        <v>60</v>
      </c>
      <c r="B31" s="128">
        <f>'[3]Shuttle America'!$HM$53</f>
        <v>0</v>
      </c>
      <c r="C31" s="128">
        <f>'[3]Shuttle America_Delta'!$HM$53</f>
        <v>0</v>
      </c>
      <c r="D31" s="128">
        <f>[3]Horizon_AS!$HM$53</f>
        <v>608</v>
      </c>
      <c r="E31" s="128">
        <f>'[3]Air Wisconsin'!$HM$53</f>
        <v>0</v>
      </c>
      <c r="F31" s="128">
        <f>[3]Jazz_AC!$HM$53</f>
        <v>0</v>
      </c>
      <c r="G31" s="128">
        <f>[3]PSA!$HM$53</f>
        <v>0</v>
      </c>
      <c r="H31" s="129">
        <f>'[3]Atlantic Southeast'!$HM$53</f>
        <v>0</v>
      </c>
      <c r="I31" s="129">
        <f>'[3]Continental Express'!$HM$53</f>
        <v>0</v>
      </c>
      <c r="J31" s="128">
        <f>'[3]Go Jet_UA'!$HM$53</f>
        <v>0</v>
      </c>
      <c r="K31" s="128">
        <f>'[3]Go Jet'!$HM$53</f>
        <v>0</v>
      </c>
      <c r="L31" s="108">
        <f>SUM(B31:K31)</f>
        <v>608</v>
      </c>
    </row>
    <row r="32" spans="1:15" ht="15" thickBot="1" x14ac:dyDescent="0.25">
      <c r="A32" s="71" t="s">
        <v>41</v>
      </c>
      <c r="B32" s="131">
        <f t="shared" ref="B32:J32" si="20">SUM(B30:B31)</f>
        <v>0</v>
      </c>
      <c r="C32" s="131">
        <f t="shared" si="20"/>
        <v>0</v>
      </c>
      <c r="D32" s="131">
        <f t="shared" ref="D32:F32" si="21">SUM(D30:D31)</f>
        <v>623</v>
      </c>
      <c r="E32" s="131">
        <f t="shared" si="21"/>
        <v>0</v>
      </c>
      <c r="F32" s="131">
        <f t="shared" si="21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si="20"/>
        <v>0</v>
      </c>
      <c r="K32" s="131">
        <f t="shared" ref="K32" si="22">SUM(K30:K31)</f>
        <v>0</v>
      </c>
      <c r="L32" s="132">
        <f>SUM(B32:K32)</f>
        <v>623</v>
      </c>
    </row>
    <row r="33" spans="1:12" ht="13.5" hidden="1" thickTop="1" x14ac:dyDescent="0.2">
      <c r="A33" s="73"/>
      <c r="B33" s="128"/>
      <c r="C33" s="128"/>
      <c r="D33" s="128"/>
      <c r="E33" s="128"/>
      <c r="F33" s="128"/>
      <c r="G33" s="128"/>
      <c r="H33" s="129"/>
      <c r="I33" s="129"/>
      <c r="J33" s="128"/>
      <c r="K33" s="128"/>
      <c r="L33" s="108"/>
    </row>
    <row r="34" spans="1:12" ht="13.5" hidden="1" thickTop="1" x14ac:dyDescent="0.2">
      <c r="A34" s="73" t="s">
        <v>42</v>
      </c>
      <c r="B34" s="128"/>
      <c r="C34" s="128"/>
      <c r="D34" s="128"/>
      <c r="E34" s="128"/>
      <c r="F34" s="128"/>
      <c r="G34" s="128"/>
      <c r="H34" s="129"/>
      <c r="I34" s="129"/>
      <c r="J34" s="128"/>
      <c r="K34" s="128"/>
      <c r="L34" s="108"/>
    </row>
    <row r="35" spans="1:12" ht="13.5" hidden="1" thickTop="1" x14ac:dyDescent="0.2">
      <c r="A35" s="73" t="s">
        <v>37</v>
      </c>
      <c r="B35" s="128">
        <f>'[3]Shuttle America'!$HM$57</f>
        <v>0</v>
      </c>
      <c r="C35" s="128">
        <f>'[3]Shuttle America_Delta'!$HM$57</f>
        <v>0</v>
      </c>
      <c r="D35" s="128">
        <f>[3]Horizon_AS!$HM$57</f>
        <v>0</v>
      </c>
      <c r="E35" s="128">
        <f>'[3]Air Wisconsin'!$HM$57</f>
        <v>0</v>
      </c>
      <c r="F35" s="128">
        <f>[3]Jazz_AC!$HM$57</f>
        <v>0</v>
      </c>
      <c r="G35" s="128">
        <f>[3]PSA!$HM$57</f>
        <v>0</v>
      </c>
      <c r="H35" s="129">
        <f>'[3]Atlantic Southeast'!$HM$57</f>
        <v>0</v>
      </c>
      <c r="I35" s="129">
        <f>'[3]Continental Express'!$HM$57</f>
        <v>0</v>
      </c>
      <c r="J35" s="128">
        <f>'[3]Go Jet_UA'!$AJ$57</f>
        <v>0</v>
      </c>
      <c r="K35" s="128">
        <f>'[3]Go Jet'!$HM$57</f>
        <v>0</v>
      </c>
      <c r="L35" s="108">
        <f>SUM(B35:K35)</f>
        <v>0</v>
      </c>
    </row>
    <row r="36" spans="1:12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[3]Jazz_AC!BF$58</f>
        <v>0</v>
      </c>
      <c r="G36" s="128">
        <f>[3]PSA!BG$58</f>
        <v>0</v>
      </c>
      <c r="H36" s="129">
        <f>'[3]Atlantic Southeast'!BG$58</f>
        <v>0</v>
      </c>
      <c r="I36" s="129">
        <f>'[3]Continental Express'!BG$58</f>
        <v>0</v>
      </c>
      <c r="J36" s="128">
        <f>'[3]Go Jet_UA'!$AJ$58</f>
        <v>0</v>
      </c>
      <c r="K36" s="128">
        <f>'[3]Go Jet'!BK$58</f>
        <v>0</v>
      </c>
      <c r="L36" s="108">
        <f>SUM(B36:K36)</f>
        <v>0</v>
      </c>
    </row>
    <row r="37" spans="1:12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G37" si="23">SUM(D35:D36)</f>
        <v>0</v>
      </c>
      <c r="E37" s="139">
        <f t="shared" ref="E37:F37" si="24">SUM(E35:E36)</f>
        <v>0</v>
      </c>
      <c r="F37" s="139">
        <f t="shared" si="24"/>
        <v>0</v>
      </c>
      <c r="G37" s="139">
        <f t="shared" si="23"/>
        <v>0</v>
      </c>
      <c r="H37" s="140">
        <f t="shared" ref="H37:J37" si="25">SUM(H35:H36)</f>
        <v>0</v>
      </c>
      <c r="I37" s="140">
        <f t="shared" si="25"/>
        <v>0</v>
      </c>
      <c r="J37" s="139">
        <f t="shared" si="25"/>
        <v>0</v>
      </c>
      <c r="K37" s="139">
        <f>SUM(K35:K36)</f>
        <v>0</v>
      </c>
      <c r="L37" s="141">
        <f>SUM(B37:K37)</f>
        <v>0</v>
      </c>
    </row>
    <row r="38" spans="1:12" ht="6.75" customHeight="1" thickTop="1" x14ac:dyDescent="0.2">
      <c r="A38" s="73"/>
      <c r="B38" s="128"/>
      <c r="C38" s="128"/>
      <c r="D38" s="128"/>
      <c r="E38" s="128"/>
      <c r="F38" s="128"/>
      <c r="G38" s="128"/>
      <c r="H38" s="129"/>
      <c r="I38" s="129"/>
      <c r="J38" s="128"/>
      <c r="K38" s="128"/>
      <c r="L38" s="108"/>
    </row>
    <row r="39" spans="1:12" x14ac:dyDescent="0.2">
      <c r="A39" s="73" t="s">
        <v>44</v>
      </c>
      <c r="B39" s="128"/>
      <c r="C39" s="128"/>
      <c r="D39" s="128"/>
      <c r="E39" s="128"/>
      <c r="F39" s="128"/>
      <c r="G39" s="128"/>
      <c r="H39" s="129"/>
      <c r="I39" s="129"/>
      <c r="J39" s="128"/>
      <c r="K39" s="128"/>
      <c r="L39" s="108"/>
    </row>
    <row r="40" spans="1:12" x14ac:dyDescent="0.2">
      <c r="A40" s="73" t="s">
        <v>45</v>
      </c>
      <c r="B40" s="128">
        <f t="shared" ref="B40:I40" si="26">SUM(B35,B30,B25)</f>
        <v>0</v>
      </c>
      <c r="C40" s="128">
        <f>SUM(C35,C30,C25)</f>
        <v>0</v>
      </c>
      <c r="D40" s="128">
        <f t="shared" ref="D40:G41" si="27">SUM(D35,D30,D25)</f>
        <v>112</v>
      </c>
      <c r="E40" s="128">
        <f t="shared" ref="E40:F40" si="28">SUM(E35,E30,E25)</f>
        <v>0</v>
      </c>
      <c r="F40" s="128">
        <f t="shared" si="28"/>
        <v>0</v>
      </c>
      <c r="G40" s="128">
        <f t="shared" si="27"/>
        <v>0</v>
      </c>
      <c r="H40" s="128">
        <f t="shared" si="26"/>
        <v>0</v>
      </c>
      <c r="I40" s="128">
        <f t="shared" si="26"/>
        <v>0</v>
      </c>
      <c r="J40" s="128">
        <f>SUM(J35,J30,J25)</f>
        <v>0</v>
      </c>
      <c r="K40" s="128">
        <f t="shared" ref="K40" si="29">SUM(K35,K30,K25)</f>
        <v>0</v>
      </c>
      <c r="L40" s="108">
        <f>SUM(B40:K40)</f>
        <v>112</v>
      </c>
    </row>
    <row r="41" spans="1:12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608</v>
      </c>
      <c r="E41" s="128">
        <f t="shared" ref="E41:F41" si="30">SUM(E36,E31,E26)</f>
        <v>0</v>
      </c>
      <c r="F41" s="128">
        <f t="shared" si="30"/>
        <v>0</v>
      </c>
      <c r="G41" s="128">
        <f t="shared" si="27"/>
        <v>0</v>
      </c>
      <c r="H41" s="128">
        <f t="shared" ref="H41:I41" si="31">SUM(H36,H31,H26)</f>
        <v>0</v>
      </c>
      <c r="I41" s="128">
        <f t="shared" si="31"/>
        <v>0</v>
      </c>
      <c r="J41" s="128">
        <f>SUM(J36,J31,J26)</f>
        <v>0</v>
      </c>
      <c r="K41" s="128">
        <f t="shared" ref="K41" si="32">SUM(K36,K31,K26)</f>
        <v>0</v>
      </c>
      <c r="L41" s="108">
        <f>SUM(B41:K41)</f>
        <v>608</v>
      </c>
    </row>
    <row r="42" spans="1:12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G42" si="33">SUM(D40:D41)</f>
        <v>720</v>
      </c>
      <c r="E42" s="134">
        <f t="shared" ref="E42:F42" si="34">SUM(E40:E41)</f>
        <v>0</v>
      </c>
      <c r="F42" s="134">
        <f t="shared" si="34"/>
        <v>0</v>
      </c>
      <c r="G42" s="134">
        <f t="shared" si="33"/>
        <v>0</v>
      </c>
      <c r="H42" s="134">
        <f t="shared" ref="H42:J42" si="35">SUM(H40:H41)</f>
        <v>0</v>
      </c>
      <c r="I42" s="134">
        <f t="shared" si="35"/>
        <v>0</v>
      </c>
      <c r="J42" s="134">
        <f t="shared" si="35"/>
        <v>0</v>
      </c>
      <c r="K42" s="134">
        <f t="shared" ref="K42" si="36">SUM(K40:K41)</f>
        <v>0</v>
      </c>
      <c r="L42" s="135">
        <f>SUM(B42:K42)</f>
        <v>720</v>
      </c>
    </row>
    <row r="43" spans="1:12" ht="4.5" customHeight="1" x14ac:dyDescent="0.2"/>
    <row r="44" spans="1:12" hidden="1" x14ac:dyDescent="0.2">
      <c r="A44" s="295" t="s">
        <v>124</v>
      </c>
      <c r="H44" s="280"/>
      <c r="K44" s="294">
        <f>'[3]Go Jet'!BK$70+'[3]Go Jet'!BK$73</f>
        <v>0</v>
      </c>
      <c r="L44" s="282" t="e">
        <f>SUM(#REF!)</f>
        <v>#REF!</v>
      </c>
    </row>
    <row r="45" spans="1:12" hidden="1" x14ac:dyDescent="0.2">
      <c r="A45" s="295" t="s">
        <v>125</v>
      </c>
      <c r="H45" s="298"/>
      <c r="K45" s="294">
        <f>'[3]Go Jet'!BK$71+'[3]Go Jet'!BK$74</f>
        <v>0</v>
      </c>
      <c r="L45" s="282" t="e">
        <f>SUM(#REF!)</f>
        <v>#REF!</v>
      </c>
    </row>
    <row r="46" spans="1:12" x14ac:dyDescent="0.2">
      <c r="A46" s="348" t="s">
        <v>121</v>
      </c>
      <c r="C46" s="294">
        <f>'[3]Shuttle America_Delta'!$HM$70+'[3]Shuttle America_Delta'!$HM$73</f>
        <v>0</v>
      </c>
      <c r="D46" s="5"/>
      <c r="E46" s="5"/>
      <c r="H46" s="294">
        <f>'[3]Atlantic Southeast'!$HM$70+'[3]Atlantic Southeast'!$HM$73</f>
        <v>0</v>
      </c>
      <c r="K46" s="294">
        <f>'[3]Go Jet'!$HM$70+'[3]Go Jet'!$HM$73</f>
        <v>0</v>
      </c>
      <c r="L46" s="361">
        <f>SUM(B46:K46)</f>
        <v>0</v>
      </c>
    </row>
    <row r="47" spans="1:12" x14ac:dyDescent="0.2">
      <c r="A47" s="362" t="s">
        <v>122</v>
      </c>
      <c r="C47" s="294">
        <f>'[3]Shuttle America_Delta'!$HM$71+'[3]Shuttle America_Delta'!$HM$74</f>
        <v>0</v>
      </c>
      <c r="D47" s="5"/>
      <c r="E47" s="5"/>
      <c r="H47" s="294">
        <f>'[3]Atlantic Southeast'!$HM$71+'[3]Atlantic Southeast'!$HM$74</f>
        <v>0</v>
      </c>
      <c r="K47" s="294">
        <f>'[3]Go Jet'!$HM$71+'[3]Go Jet'!$HM$74</f>
        <v>0</v>
      </c>
      <c r="L47" s="361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October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7" zoomScale="115" zoomScaleNormal="115" workbookViewId="0">
      <selection activeCell="H9" sqref="H9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44470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89"/>
      <c r="C4" s="179"/>
      <c r="D4" s="179"/>
      <c r="E4" s="179"/>
      <c r="F4" s="179"/>
      <c r="G4" s="227"/>
    </row>
    <row r="5" spans="1:17" x14ac:dyDescent="0.2">
      <c r="A5" s="60" t="s">
        <v>30</v>
      </c>
      <c r="B5" s="389">
        <f>'[3]Charter Misc'!$HM$22</f>
        <v>531</v>
      </c>
      <c r="C5" s="179">
        <f>[3]Ryan!$HM$22</f>
        <v>0</v>
      </c>
      <c r="D5" s="179">
        <f>'[3]Charter Misc'!$HM$32</f>
        <v>0</v>
      </c>
      <c r="E5" s="179">
        <f>[3]Omni!$HM$32+[3]Omni!$HM$22</f>
        <v>0</v>
      </c>
      <c r="F5" s="179">
        <f>[3]Xtra!$HM$32+[3]Xtra!$HM$22</f>
        <v>0</v>
      </c>
      <c r="G5" s="312">
        <f>SUM(B5:F5)</f>
        <v>531</v>
      </c>
    </row>
    <row r="6" spans="1:17" x14ac:dyDescent="0.2">
      <c r="A6" s="60" t="s">
        <v>31</v>
      </c>
      <c r="B6" s="390">
        <f>'[3]Charter Misc'!$HM$23</f>
        <v>80</v>
      </c>
      <c r="C6" s="182">
        <f>[3]Ryan!$HM$23</f>
        <v>0</v>
      </c>
      <c r="D6" s="182">
        <f>'[3]Charter Misc'!$HM$33</f>
        <v>0</v>
      </c>
      <c r="E6" s="182">
        <f>[3]Omni!$HM$33+[3]Omni!$HM$23</f>
        <v>0</v>
      </c>
      <c r="F6" s="182">
        <f>[3]Xtra!$HM$33+[3]Xtra!$HM$23</f>
        <v>0</v>
      </c>
      <c r="G6" s="311">
        <f>SUM(B6:F6)</f>
        <v>80</v>
      </c>
    </row>
    <row r="7" spans="1:17" ht="15.75" thickBot="1" x14ac:dyDescent="0.3">
      <c r="A7" s="178" t="s">
        <v>7</v>
      </c>
      <c r="B7" s="391">
        <f>SUM(B5:B6)</f>
        <v>611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611</v>
      </c>
    </row>
    <row r="8" spans="1:17" ht="13.5" thickBot="1" x14ac:dyDescent="0.25"/>
    <row r="9" spans="1:17" x14ac:dyDescent="0.2">
      <c r="A9" s="176" t="s">
        <v>9</v>
      </c>
      <c r="B9" s="392"/>
      <c r="C9" s="44"/>
      <c r="D9" s="44"/>
      <c r="E9" s="44"/>
      <c r="F9" s="44"/>
      <c r="G9" s="55"/>
    </row>
    <row r="10" spans="1:17" x14ac:dyDescent="0.2">
      <c r="A10" s="177" t="s">
        <v>79</v>
      </c>
      <c r="B10" s="389">
        <f>'[3]Charter Misc'!$HM$4</f>
        <v>3</v>
      </c>
      <c r="C10" s="179">
        <f>[3]Ryan!$HM$4</f>
        <v>0</v>
      </c>
      <c r="D10" s="179">
        <f>'[3]Charter Misc'!$HM$15</f>
        <v>0</v>
      </c>
      <c r="E10" s="179">
        <f>[3]Omni!$HM$15</f>
        <v>0</v>
      </c>
      <c r="F10" s="179">
        <f>[3]Xtra!$HM$15+[3]Xtra!$HM$4</f>
        <v>0</v>
      </c>
      <c r="G10" s="311">
        <f>SUM(B10:F10)</f>
        <v>3</v>
      </c>
    </row>
    <row r="11" spans="1:17" x14ac:dyDescent="0.2">
      <c r="A11" s="177" t="s">
        <v>80</v>
      </c>
      <c r="B11" s="389">
        <f>'[3]Charter Misc'!$HM$5</f>
        <v>2</v>
      </c>
      <c r="C11" s="179">
        <f>[3]Ryan!$HM$5</f>
        <v>0</v>
      </c>
      <c r="D11" s="179">
        <f>'[3]Charter Misc'!$HM$16</f>
        <v>0</v>
      </c>
      <c r="E11" s="179">
        <f>[3]Omni!$HM$16+[3]Omni!$HM$5</f>
        <v>0</v>
      </c>
      <c r="F11" s="179">
        <f>[3]Xtra!$HM$16+[3]Xtra!$HM$5</f>
        <v>0</v>
      </c>
      <c r="G11" s="311">
        <f>SUM(B11:F11)</f>
        <v>2</v>
      </c>
    </row>
    <row r="12" spans="1:17" ht="15.75" thickBot="1" x14ac:dyDescent="0.3">
      <c r="A12" s="250" t="s">
        <v>28</v>
      </c>
      <c r="B12" s="393">
        <f>SUM(B10:B11)</f>
        <v>5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5</v>
      </c>
      <c r="Q12" s="128"/>
    </row>
    <row r="17" spans="1:16" x14ac:dyDescent="0.2">
      <c r="B17" s="550" t="s">
        <v>150</v>
      </c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2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3" t="s">
        <v>118</v>
      </c>
      <c r="C19" s="554"/>
      <c r="D19" s="554"/>
      <c r="E19" s="555"/>
      <c r="G19" s="553" t="s">
        <v>119</v>
      </c>
      <c r="H19" s="556"/>
      <c r="I19" s="556"/>
      <c r="J19" s="557"/>
      <c r="L19" s="558" t="s">
        <v>120</v>
      </c>
      <c r="M19" s="559"/>
      <c r="N19" s="559"/>
      <c r="O19" s="560"/>
    </row>
    <row r="20" spans="1:16" ht="13.5" thickBot="1" x14ac:dyDescent="0.25">
      <c r="A20" s="210" t="s">
        <v>99</v>
      </c>
      <c r="B20" s="534" t="s">
        <v>100</v>
      </c>
      <c r="C20" s="537" t="s">
        <v>101</v>
      </c>
      <c r="D20" s="537" t="s">
        <v>230</v>
      </c>
      <c r="E20" s="533" t="s">
        <v>205</v>
      </c>
      <c r="F20" s="216" t="s">
        <v>96</v>
      </c>
      <c r="G20" s="8" t="s">
        <v>100</v>
      </c>
      <c r="H20" s="8" t="s">
        <v>101</v>
      </c>
      <c r="I20" s="514" t="s">
        <v>230</v>
      </c>
      <c r="J20" s="514" t="s">
        <v>205</v>
      </c>
      <c r="K20" s="216" t="s">
        <v>96</v>
      </c>
      <c r="L20" s="215" t="s">
        <v>100</v>
      </c>
      <c r="M20" s="209" t="s">
        <v>101</v>
      </c>
      <c r="N20" s="514" t="s">
        <v>230</v>
      </c>
      <c r="O20" s="514" t="s">
        <v>205</v>
      </c>
      <c r="P20" s="216" t="s">
        <v>96</v>
      </c>
    </row>
    <row r="21" spans="1:16" ht="14.1" customHeight="1" x14ac:dyDescent="0.2">
      <c r="A21" s="219" t="s">
        <v>102</v>
      </c>
      <c r="B21" s="536">
        <f>+[4]Charter!$B$21</f>
        <v>31072</v>
      </c>
      <c r="C21" s="535">
        <f>+[4]Charter!$C$21</f>
        <v>25325</v>
      </c>
      <c r="D21" s="535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35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35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35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35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+[16]Charter!$B27</f>
        <v>30108</v>
      </c>
      <c r="C27" s="303">
        <f>+[16]Charter!C27</f>
        <v>33469</v>
      </c>
      <c r="D27" s="535">
        <f t="shared" ref="D27" si="20">SUM(B27:C27)</f>
        <v>63577</v>
      </c>
      <c r="E27" s="309">
        <f>[17]Charter!$D27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[17]Charter!I27</f>
        <v>942455</v>
      </c>
      <c r="K27" s="217">
        <f t="shared" si="4"/>
        <v>1.9657702489774047</v>
      </c>
      <c r="L27" s="301">
        <f>+[16]Charter!$L$27</f>
        <v>1423419</v>
      </c>
      <c r="M27" s="303">
        <f>+[16]Charter!$M$27</f>
        <v>1435263</v>
      </c>
      <c r="N27" s="302">
        <f t="shared" ref="N27" si="24">SUM(L27:M27)</f>
        <v>2858682</v>
      </c>
      <c r="O27" s="309">
        <f>[17]Charter!N27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+[18]Charter!$B28</f>
        <v>36195</v>
      </c>
      <c r="C28" s="303">
        <f>+[18]Charter!C28</f>
        <v>31727</v>
      </c>
      <c r="D28" s="535">
        <f>SUM(B28:C28)</f>
        <v>67922</v>
      </c>
      <c r="E28" s="309">
        <f>[19]Charter!$D28</f>
        <v>2970</v>
      </c>
      <c r="F28" s="222">
        <f t="shared" si="1"/>
        <v>21.869360269360268</v>
      </c>
      <c r="G28" s="301">
        <f t="shared" ref="G28" si="25">L28-B28</f>
        <v>1303776</v>
      </c>
      <c r="H28" s="303">
        <f t="shared" ref="H28" si="26">M28-C28</f>
        <v>1291669</v>
      </c>
      <c r="I28" s="302">
        <f t="shared" ref="I28" si="27">SUM(G28:H28)</f>
        <v>2595445</v>
      </c>
      <c r="J28" s="309">
        <f>[19]Charter!I28</f>
        <v>1129424</v>
      </c>
      <c r="K28" s="223">
        <f t="shared" si="4"/>
        <v>1.2980253651418776</v>
      </c>
      <c r="L28" s="301">
        <f>+[18]Charter!$L$28</f>
        <v>1339971</v>
      </c>
      <c r="M28" s="303">
        <f>+[18]Charter!$M$28</f>
        <v>1323396</v>
      </c>
      <c r="N28" s="302">
        <f t="shared" ref="N28" si="28">SUM(L28:M28)</f>
        <v>2663367</v>
      </c>
      <c r="O28" s="309">
        <f>[19]Charter!N28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>
        <f>+[2]Charter!$B29</f>
        <v>30227</v>
      </c>
      <c r="C29" s="303">
        <f>+[2]Charter!C29</f>
        <v>30154</v>
      </c>
      <c r="D29" s="535">
        <f>SUM(B29:C29)</f>
        <v>60381</v>
      </c>
      <c r="E29" s="309">
        <f>[20]Charter!$D29</f>
        <v>2462</v>
      </c>
      <c r="F29" s="211">
        <f t="shared" si="1"/>
        <v>23.52518277822908</v>
      </c>
      <c r="G29" s="301">
        <f t="shared" ref="G29" si="29">L29-B29</f>
        <v>1130331</v>
      </c>
      <c r="H29" s="303">
        <f t="shared" ref="H29" si="30">M29-C29</f>
        <v>1137001</v>
      </c>
      <c r="I29" s="302">
        <f t="shared" ref="I29" si="31">SUM(G29:H29)</f>
        <v>2267332</v>
      </c>
      <c r="J29" s="309">
        <f>[20]Charter!I29</f>
        <v>1033240</v>
      </c>
      <c r="K29" s="217">
        <f t="shared" si="4"/>
        <v>1.1943904610739033</v>
      </c>
      <c r="L29" s="301">
        <f>+[2]Charter!$L$29</f>
        <v>1160558</v>
      </c>
      <c r="M29" s="303">
        <f>+[2]Charter!$M$29</f>
        <v>1167155</v>
      </c>
      <c r="N29" s="302">
        <f t="shared" ref="N29" si="32">SUM(L29:M29)</f>
        <v>2327713</v>
      </c>
      <c r="O29" s="309">
        <f>[20]Charter!N29</f>
        <v>1035702</v>
      </c>
      <c r="P29" s="211">
        <f t="shared" si="7"/>
        <v>1.247473694170717</v>
      </c>
    </row>
    <row r="30" spans="1:16" ht="14.1" customHeight="1" x14ac:dyDescent="0.2">
      <c r="A30" s="221" t="s">
        <v>110</v>
      </c>
      <c r="B30" s="301">
        <f>'Intl Detail'!$P$4+'Intl Detail'!$P$9</f>
        <v>29277</v>
      </c>
      <c r="C30" s="303">
        <f>'Intl Detail'!$P$5+'Intl Detail'!$P$10</f>
        <v>27900</v>
      </c>
      <c r="D30" s="303">
        <f>SUM(B30:C30)</f>
        <v>57177</v>
      </c>
      <c r="E30" s="309">
        <f>[1]Charter!$D30</f>
        <v>4709</v>
      </c>
      <c r="F30" s="222">
        <f t="shared" si="1"/>
        <v>11.142068379698451</v>
      </c>
      <c r="G30" s="301">
        <f t="shared" ref="G30" si="33">L30-B30</f>
        <v>1212916</v>
      </c>
      <c r="H30" s="303">
        <f t="shared" ref="H30" si="34">M30-C30</f>
        <v>1217027</v>
      </c>
      <c r="I30" s="302">
        <f t="shared" ref="I30" si="35">SUM(G30:H30)</f>
        <v>2429943</v>
      </c>
      <c r="J30" s="309">
        <f>[1]Charter!I30</f>
        <v>1143502</v>
      </c>
      <c r="K30" s="223">
        <f t="shared" si="4"/>
        <v>1.1250010931331995</v>
      </c>
      <c r="L30" s="301">
        <f>'Monthly Summary'!$B$11</f>
        <v>1242193</v>
      </c>
      <c r="M30" s="303">
        <f>'Monthly Summary'!$C$11</f>
        <v>1244927</v>
      </c>
      <c r="N30" s="302">
        <f t="shared" ref="N30" si="36">SUM(L30:M30)</f>
        <v>2487120</v>
      </c>
      <c r="O30" s="309">
        <f>[1]Charter!N30</f>
        <v>1148211</v>
      </c>
      <c r="P30" s="222">
        <f t="shared" si="7"/>
        <v>1.1660827147623565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ref="I31:I32" si="37">SUM(G31:H31)</f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37"/>
        <v>0</v>
      </c>
      <c r="J32" s="308"/>
      <c r="K32" s="225" t="e">
        <f t="shared" si="4"/>
        <v>#DIV/0!</v>
      </c>
      <c r="L32" s="301"/>
      <c r="M32" s="303"/>
      <c r="N32" s="159">
        <f t="shared" ref="N32" si="38">SUM(L32:M32)</f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280583</v>
      </c>
      <c r="C33" s="229">
        <f>SUM(C21:C32)</f>
        <v>273614</v>
      </c>
      <c r="D33" s="229">
        <f>SUM(D21:D32)</f>
        <v>554197</v>
      </c>
      <c r="E33" s="230">
        <f>SUM(E21:E32)</f>
        <v>807243</v>
      </c>
      <c r="F33" s="213">
        <f>(D33-E33)/E33</f>
        <v>-0.31346942618269841</v>
      </c>
      <c r="G33" s="231">
        <f>SUM(G21:G32)</f>
        <v>10005778</v>
      </c>
      <c r="H33" s="229">
        <f>SUM(H21:H32)</f>
        <v>9943007</v>
      </c>
      <c r="I33" s="229">
        <f>SUM(I21:I32)</f>
        <v>19948785</v>
      </c>
      <c r="J33" s="232">
        <f>SUM(J21:J32)</f>
        <v>11967226</v>
      </c>
      <c r="K33" s="214">
        <f>(I33-J33)/J33</f>
        <v>0.66695147229608598</v>
      </c>
      <c r="L33" s="231">
        <f>SUM(L21:L32)</f>
        <v>10286361</v>
      </c>
      <c r="M33" s="229">
        <f>SUM(M21:M32)</f>
        <v>10216621</v>
      </c>
      <c r="N33" s="229">
        <f>SUM(N21:N32)</f>
        <v>20502982</v>
      </c>
      <c r="O33" s="230">
        <f>SUM(O21:O32)</f>
        <v>12774469</v>
      </c>
      <c r="P33" s="212">
        <f>(N33-O33)/O33</f>
        <v>0.60499681043493858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G8" sqref="G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1" t="s">
        <v>212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3"/>
    </row>
    <row r="2" spans="1:22" s="185" customFormat="1" ht="43.5" customHeight="1" thickBot="1" x14ac:dyDescent="0.25">
      <c r="A2" s="351">
        <v>44470</v>
      </c>
      <c r="B2" s="538" t="s">
        <v>200</v>
      </c>
      <c r="C2" s="538" t="s">
        <v>176</v>
      </c>
      <c r="D2" s="538" t="s">
        <v>242</v>
      </c>
      <c r="E2" s="540" t="s">
        <v>244</v>
      </c>
      <c r="F2" s="540" t="s">
        <v>243</v>
      </c>
      <c r="G2" s="538" t="s">
        <v>213</v>
      </c>
      <c r="H2" s="540" t="s">
        <v>202</v>
      </c>
      <c r="I2" s="539" t="s">
        <v>81</v>
      </c>
      <c r="J2" s="540" t="s">
        <v>177</v>
      </c>
      <c r="K2" s="538" t="s">
        <v>214</v>
      </c>
      <c r="L2" s="540" t="s">
        <v>85</v>
      </c>
      <c r="M2" s="538" t="s">
        <v>215</v>
      </c>
      <c r="N2" s="538" t="s">
        <v>216</v>
      </c>
      <c r="O2" s="538" t="s">
        <v>217</v>
      </c>
      <c r="P2" s="539" t="s">
        <v>82</v>
      </c>
      <c r="Q2" s="463" t="s">
        <v>127</v>
      </c>
      <c r="R2" s="463" t="s">
        <v>21</v>
      </c>
    </row>
    <row r="3" spans="1:22" ht="15" x14ac:dyDescent="0.25">
      <c r="A3" s="187" t="s">
        <v>9</v>
      </c>
      <c r="B3" s="478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79"/>
      <c r="T3" s="480"/>
      <c r="U3" s="480"/>
      <c r="V3" s="480"/>
    </row>
    <row r="4" spans="1:22" x14ac:dyDescent="0.2">
      <c r="A4" s="52" t="s">
        <v>53</v>
      </c>
      <c r="B4" s="226">
        <f>'[3]Atlas Air'!$HM$4</f>
        <v>31</v>
      </c>
      <c r="C4" s="469">
        <f>[3]DHL!$HM$4+[3]DHL_Atlas!$HM$4+[3]DHL_Atlas!$HM$8+[3]DHL_Atlas!$HM$15</f>
        <v>0</v>
      </c>
      <c r="D4" s="469">
        <f>[3]Airborne!$HM$4+[3]Airborne!$HM$15</f>
        <v>1</v>
      </c>
      <c r="E4" s="128">
        <f>[3]DHL_Bemidji!$HM$4</f>
        <v>42</v>
      </c>
      <c r="F4" s="128">
        <f>[3]Bemidji!$HM$4</f>
        <v>193</v>
      </c>
      <c r="G4" s="469">
        <f>[3]DHL_Encore!$HM$4+[3]DHL_Encore!$HM$15</f>
        <v>0</v>
      </c>
      <c r="H4" s="469">
        <f>[3]Encore!$HM$4+[3]Encore!$HM$15</f>
        <v>0</v>
      </c>
      <c r="I4" s="469">
        <f>[3]FedEx!$HM$4+[3]FedEx!$HM$15</f>
        <v>145</v>
      </c>
      <c r="J4" s="469">
        <f>[3]IFL!$HM$4+[3]IFL!$HM$15</f>
        <v>15</v>
      </c>
      <c r="K4" s="469">
        <f>[3]DHL_Kalitta!$HM$4+[3]DHL_Kalitta!$HM$15</f>
        <v>19</v>
      </c>
      <c r="L4" s="128">
        <f>'[3]Mountain Cargo'!$HM$4</f>
        <v>23</v>
      </c>
      <c r="M4" s="469">
        <f>[3]DHL_Southair!$HM$4+[3]DHL_Southair!$HM$15</f>
        <v>0</v>
      </c>
      <c r="N4" s="469">
        <f>[3]DHL_Swift!$HM$4+[3]DHL_Swift!$HM$15</f>
        <v>2</v>
      </c>
      <c r="O4" s="469">
        <f>+'[3]Sun Country Cargo'!$HM$4+'[3]Sun Country Cargo'!$HM$8+'[3]Sun Country Cargo'!$HM$15</f>
        <v>58</v>
      </c>
      <c r="P4" s="469">
        <f>[3]UPS!$HM$4+[3]UPS!$HM$15</f>
        <v>139</v>
      </c>
      <c r="Q4" s="128">
        <f>'[3]Misc Cargo'!$HM$4</f>
        <v>0</v>
      </c>
      <c r="R4" s="481">
        <f>SUM(B4:Q4)</f>
        <v>668</v>
      </c>
      <c r="T4" s="480"/>
      <c r="U4" s="480"/>
      <c r="V4" s="283"/>
    </row>
    <row r="5" spans="1:22" x14ac:dyDescent="0.2">
      <c r="A5" s="52" t="s">
        <v>54</v>
      </c>
      <c r="B5" s="482">
        <f>'[3]Atlas Air'!$HM$5</f>
        <v>31</v>
      </c>
      <c r="C5" s="186">
        <f>[3]DHL!$HM$5+[3]DHL_Atlas!$HM$5+[3]DHL_Atlas!$HM$9+[3]DHL_Atlas!$HM$16</f>
        <v>0</v>
      </c>
      <c r="D5" s="186">
        <f>[3]Airborne!$HM$5</f>
        <v>1</v>
      </c>
      <c r="E5" s="118">
        <f>[3]DHL_Bemidji!$HM$5</f>
        <v>42</v>
      </c>
      <c r="F5" s="118">
        <f>[3]Bemidji!$HM$5</f>
        <v>193</v>
      </c>
      <c r="G5" s="186">
        <f>[3]DHL_Encore!$HM$5</f>
        <v>0</v>
      </c>
      <c r="H5" s="186">
        <f>[3]Encore!$HM$5</f>
        <v>0</v>
      </c>
      <c r="I5" s="186">
        <f>[3]FedEx!$HM$5</f>
        <v>145</v>
      </c>
      <c r="J5" s="186">
        <f>[3]IFL!$HM$5</f>
        <v>15</v>
      </c>
      <c r="K5" s="186">
        <f>[3]DHL_Kalitta!$HM$5</f>
        <v>19</v>
      </c>
      <c r="L5" s="118">
        <f>'[3]Mountain Cargo'!$HM$5</f>
        <v>23</v>
      </c>
      <c r="M5" s="186">
        <f>[3]DHL_Southair!$HM$5</f>
        <v>0</v>
      </c>
      <c r="N5" s="186">
        <f>[3]DHL_Swift!$HM$5</f>
        <v>2</v>
      </c>
      <c r="O5" s="186">
        <f>+'[3]Sun Country Cargo'!$HM$5+'[3]Sun Country Cargo'!$HM$9+'[3]Sun Country Cargo'!$HM$16</f>
        <v>60</v>
      </c>
      <c r="P5" s="186">
        <f>[3]UPS!$HM$5+[3]UPS!$HM$16</f>
        <v>139</v>
      </c>
      <c r="Q5" s="118">
        <f>'[3]Misc Cargo'!$HM$5</f>
        <v>0</v>
      </c>
      <c r="R5" s="481">
        <f>SUM(B5:Q5)</f>
        <v>670</v>
      </c>
      <c r="T5" s="480"/>
      <c r="U5" s="480"/>
      <c r="V5" s="283"/>
    </row>
    <row r="6" spans="1:22" s="183" customFormat="1" x14ac:dyDescent="0.2">
      <c r="A6" s="189" t="s">
        <v>55</v>
      </c>
      <c r="B6" s="483">
        <f t="shared" ref="B6:Q6" si="0">SUM(B4:B5)</f>
        <v>62</v>
      </c>
      <c r="C6" s="484">
        <f t="shared" si="0"/>
        <v>0</v>
      </c>
      <c r="D6" s="484">
        <f t="shared" ref="D6:E6" si="1">SUM(D4:D5)</f>
        <v>2</v>
      </c>
      <c r="E6" s="464">
        <f t="shared" si="1"/>
        <v>84</v>
      </c>
      <c r="F6" s="464">
        <f t="shared" si="0"/>
        <v>386</v>
      </c>
      <c r="G6" s="484">
        <f t="shared" si="0"/>
        <v>0</v>
      </c>
      <c r="H6" s="484">
        <f t="shared" si="0"/>
        <v>0</v>
      </c>
      <c r="I6" s="484">
        <f t="shared" si="0"/>
        <v>290</v>
      </c>
      <c r="J6" s="484">
        <f t="shared" si="0"/>
        <v>30</v>
      </c>
      <c r="K6" s="484">
        <f t="shared" si="0"/>
        <v>38</v>
      </c>
      <c r="L6" s="464">
        <f t="shared" si="0"/>
        <v>46</v>
      </c>
      <c r="M6" s="484">
        <f t="shared" si="0"/>
        <v>0</v>
      </c>
      <c r="N6" s="484">
        <f t="shared" si="0"/>
        <v>4</v>
      </c>
      <c r="O6" s="484">
        <f t="shared" si="0"/>
        <v>118</v>
      </c>
      <c r="P6" s="484">
        <f t="shared" si="0"/>
        <v>278</v>
      </c>
      <c r="Q6" s="464">
        <f t="shared" si="0"/>
        <v>0</v>
      </c>
      <c r="R6" s="481">
        <f t="shared" ref="R6:R10" si="2">SUM(B6:Q6)</f>
        <v>1338</v>
      </c>
      <c r="V6" s="485"/>
    </row>
    <row r="7" spans="1:22" x14ac:dyDescent="0.2">
      <c r="A7" s="52"/>
      <c r="B7" s="226"/>
      <c r="C7" s="469"/>
      <c r="D7" s="469"/>
      <c r="E7" s="128"/>
      <c r="F7" s="128"/>
      <c r="G7" s="469"/>
      <c r="H7" s="469"/>
      <c r="I7" s="469"/>
      <c r="J7" s="469"/>
      <c r="K7" s="469"/>
      <c r="L7" s="128"/>
      <c r="M7" s="469"/>
      <c r="N7" s="469"/>
      <c r="O7" s="469"/>
      <c r="P7" s="469"/>
      <c r="Q7" s="128"/>
      <c r="R7" s="481"/>
      <c r="T7" s="486"/>
      <c r="U7" s="480"/>
      <c r="V7" s="283"/>
    </row>
    <row r="8" spans="1:22" x14ac:dyDescent="0.2">
      <c r="A8" s="52" t="s">
        <v>56</v>
      </c>
      <c r="B8" s="226"/>
      <c r="C8" s="469"/>
      <c r="D8" s="469"/>
      <c r="E8" s="128"/>
      <c r="F8" s="128"/>
      <c r="G8" s="469"/>
      <c r="H8" s="469"/>
      <c r="I8" s="469"/>
      <c r="J8" s="469"/>
      <c r="K8" s="469"/>
      <c r="L8" s="128"/>
      <c r="M8" s="469"/>
      <c r="N8" s="469"/>
      <c r="O8" s="469"/>
      <c r="P8" s="469"/>
      <c r="Q8" s="128">
        <f>'[3]Misc Cargo'!$HM$8</f>
        <v>0</v>
      </c>
      <c r="R8" s="481">
        <f t="shared" si="2"/>
        <v>0</v>
      </c>
      <c r="T8" s="480"/>
      <c r="U8" s="480"/>
      <c r="V8" s="283"/>
    </row>
    <row r="9" spans="1:22" ht="15" x14ac:dyDescent="0.25">
      <c r="A9" s="52" t="s">
        <v>57</v>
      </c>
      <c r="B9" s="482"/>
      <c r="C9" s="186"/>
      <c r="D9" s="186"/>
      <c r="E9" s="118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Cargo'!$HM$9</f>
        <v>0</v>
      </c>
      <c r="R9" s="481">
        <f t="shared" si="2"/>
        <v>0</v>
      </c>
      <c r="T9" s="480"/>
      <c r="U9" s="487"/>
      <c r="V9" s="283"/>
    </row>
    <row r="10" spans="1:22" s="183" customFormat="1" x14ac:dyDescent="0.2">
      <c r="A10" s="189" t="s">
        <v>58</v>
      </c>
      <c r="B10" s="483">
        <f t="shared" ref="B10:Q10" si="3">SUM(B8:B9)</f>
        <v>0</v>
      </c>
      <c r="C10" s="484">
        <f t="shared" si="3"/>
        <v>0</v>
      </c>
      <c r="D10" s="484">
        <f t="shared" ref="D10:E10" si="4">SUM(D8:D9)</f>
        <v>0</v>
      </c>
      <c r="E10" s="464">
        <f t="shared" si="4"/>
        <v>0</v>
      </c>
      <c r="F10" s="464">
        <f t="shared" si="3"/>
        <v>0</v>
      </c>
      <c r="G10" s="484">
        <f t="shared" si="3"/>
        <v>0</v>
      </c>
      <c r="H10" s="484">
        <f t="shared" si="3"/>
        <v>0</v>
      </c>
      <c r="I10" s="484">
        <f t="shared" si="3"/>
        <v>0</v>
      </c>
      <c r="J10" s="484">
        <f t="shared" si="3"/>
        <v>0</v>
      </c>
      <c r="K10" s="484">
        <f t="shared" si="3"/>
        <v>0</v>
      </c>
      <c r="L10" s="464">
        <f t="shared" si="3"/>
        <v>0</v>
      </c>
      <c r="M10" s="484">
        <f t="shared" si="3"/>
        <v>0</v>
      </c>
      <c r="N10" s="484">
        <f t="shared" si="3"/>
        <v>0</v>
      </c>
      <c r="O10" s="484">
        <f t="shared" si="3"/>
        <v>0</v>
      </c>
      <c r="P10" s="484">
        <f t="shared" si="3"/>
        <v>0</v>
      </c>
      <c r="Q10" s="464">
        <f t="shared" si="3"/>
        <v>0</v>
      </c>
      <c r="R10" s="481">
        <f t="shared" si="2"/>
        <v>0</v>
      </c>
      <c r="V10" s="485"/>
    </row>
    <row r="11" spans="1:22" x14ac:dyDescent="0.2">
      <c r="A11" s="52"/>
      <c r="B11" s="226"/>
      <c r="C11" s="469"/>
      <c r="D11" s="469"/>
      <c r="E11" s="128"/>
      <c r="F11" s="128"/>
      <c r="G11" s="469"/>
      <c r="H11" s="469"/>
      <c r="I11" s="469"/>
      <c r="J11" s="469"/>
      <c r="K11" s="469"/>
      <c r="L11" s="128"/>
      <c r="M11" s="469"/>
      <c r="N11" s="469"/>
      <c r="O11" s="469"/>
      <c r="P11" s="469"/>
      <c r="Q11" s="128"/>
      <c r="R11" s="488"/>
      <c r="T11" s="480"/>
      <c r="U11" s="480"/>
      <c r="V11" s="283"/>
    </row>
    <row r="12" spans="1:22" ht="18" customHeight="1" thickBot="1" x14ac:dyDescent="0.25">
      <c r="A12" s="190" t="s">
        <v>28</v>
      </c>
      <c r="B12" s="489">
        <f t="shared" ref="B12:Q12" si="5">B6+B10</f>
        <v>62</v>
      </c>
      <c r="C12" s="191">
        <f t="shared" si="5"/>
        <v>0</v>
      </c>
      <c r="D12" s="191">
        <f t="shared" ref="D12:E12" si="6">D6+D10</f>
        <v>2</v>
      </c>
      <c r="E12" s="192">
        <f t="shared" si="6"/>
        <v>84</v>
      </c>
      <c r="F12" s="192">
        <f t="shared" si="5"/>
        <v>386</v>
      </c>
      <c r="G12" s="191">
        <f t="shared" si="5"/>
        <v>0</v>
      </c>
      <c r="H12" s="191">
        <f t="shared" si="5"/>
        <v>0</v>
      </c>
      <c r="I12" s="191">
        <f t="shared" si="5"/>
        <v>290</v>
      </c>
      <c r="J12" s="191">
        <f t="shared" si="5"/>
        <v>30</v>
      </c>
      <c r="K12" s="191">
        <f t="shared" si="5"/>
        <v>38</v>
      </c>
      <c r="L12" s="192">
        <f t="shared" si="5"/>
        <v>46</v>
      </c>
      <c r="M12" s="191">
        <f t="shared" si="5"/>
        <v>0</v>
      </c>
      <c r="N12" s="191">
        <f t="shared" si="5"/>
        <v>4</v>
      </c>
      <c r="O12" s="191">
        <f t="shared" si="5"/>
        <v>118</v>
      </c>
      <c r="P12" s="191">
        <f t="shared" si="5"/>
        <v>278</v>
      </c>
      <c r="Q12" s="192">
        <f t="shared" si="5"/>
        <v>0</v>
      </c>
      <c r="R12" s="490">
        <f>SUM(B12:Q12)</f>
        <v>1338</v>
      </c>
      <c r="T12" s="480"/>
      <c r="U12" s="480"/>
      <c r="V12" s="283"/>
    </row>
    <row r="13" spans="1:22" ht="18" customHeight="1" thickBot="1" x14ac:dyDescent="0.25">
      <c r="A13" s="174"/>
      <c r="B13" s="491"/>
      <c r="C13" s="492"/>
      <c r="D13" s="492"/>
      <c r="E13" s="465"/>
      <c r="F13" s="465"/>
      <c r="G13" s="492"/>
      <c r="H13" s="492"/>
      <c r="I13" s="492"/>
      <c r="J13" s="492"/>
      <c r="K13" s="492"/>
      <c r="L13" s="465"/>
      <c r="M13" s="492"/>
      <c r="N13" s="492"/>
      <c r="O13" s="492"/>
      <c r="P13" s="492"/>
      <c r="Q13" s="465"/>
      <c r="R13" s="2"/>
      <c r="T13" s="480"/>
      <c r="U13" s="480"/>
      <c r="V13" s="283"/>
    </row>
    <row r="14" spans="1:22" ht="15" x14ac:dyDescent="0.25">
      <c r="A14" s="193" t="s">
        <v>92</v>
      </c>
      <c r="B14" s="493"/>
      <c r="C14" s="194"/>
      <c r="D14" s="194"/>
      <c r="E14" s="79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4"/>
      <c r="T14" s="480"/>
      <c r="U14" s="480"/>
      <c r="V14" s="283"/>
    </row>
    <row r="15" spans="1:22" x14ac:dyDescent="0.2">
      <c r="A15" s="195" t="s">
        <v>93</v>
      </c>
      <c r="B15" s="226"/>
      <c r="C15" s="469"/>
      <c r="D15" s="469"/>
      <c r="E15" s="2"/>
      <c r="F15" s="2"/>
      <c r="G15" s="469"/>
      <c r="H15" s="469"/>
      <c r="I15" s="469"/>
      <c r="J15" s="469"/>
      <c r="K15" s="469"/>
      <c r="L15" s="2"/>
      <c r="M15" s="469"/>
      <c r="N15" s="469"/>
      <c r="O15" s="469"/>
      <c r="P15" s="469"/>
      <c r="Q15" s="2"/>
      <c r="R15" s="177"/>
      <c r="T15" s="480"/>
      <c r="U15" s="480"/>
      <c r="V15" s="283"/>
    </row>
    <row r="16" spans="1:22" ht="12.75" customHeight="1" x14ac:dyDescent="0.2">
      <c r="A16" s="52" t="s">
        <v>37</v>
      </c>
      <c r="B16" s="226">
        <f>'[3]Atlas Air'!$HM$47</f>
        <v>2417937</v>
      </c>
      <c r="C16" s="469">
        <f>[3]DHL!$HM$47+[3]DHL_Atlas!$HM$47</f>
        <v>0</v>
      </c>
      <c r="D16" s="469">
        <f>[3]Airborne!$HM$47</f>
        <v>43230</v>
      </c>
      <c r="E16" s="469">
        <f>[3]DHL_Bemidji!$HM$47</f>
        <v>70293</v>
      </c>
      <c r="F16" s="564" t="s">
        <v>86</v>
      </c>
      <c r="G16" s="469">
        <f>[3]DHL_Encore!$HM$47</f>
        <v>0</v>
      </c>
      <c r="H16" s="469">
        <f>[3]Encore!$HM$47</f>
        <v>0</v>
      </c>
      <c r="I16" s="469">
        <f>[3]FedEx!$HM$47</f>
        <v>8796734</v>
      </c>
      <c r="J16" s="469">
        <f>[3]IFL!$HM$47</f>
        <v>55495</v>
      </c>
      <c r="K16" s="469">
        <f>[3]DHL_Kalitta!$HM$47</f>
        <v>612191</v>
      </c>
      <c r="L16" s="128">
        <f>'[3]Mountain Cargo'!$HM$47</f>
        <v>0</v>
      </c>
      <c r="M16" s="469">
        <f>[3]DHL_Southair!$HM$47</f>
        <v>0</v>
      </c>
      <c r="N16" s="469">
        <f>[3]DHL_Swift!$HM$47</f>
        <v>69269</v>
      </c>
      <c r="O16" s="469">
        <f>+'[3]Sun Country Cargo'!$HM$47</f>
        <v>2063176</v>
      </c>
      <c r="P16" s="469">
        <f>[3]UPS!$HM$47</f>
        <v>6380523</v>
      </c>
      <c r="Q16" s="128">
        <f>'[3]Misc Cargo'!$HM$47</f>
        <v>0</v>
      </c>
      <c r="R16" s="481">
        <f>SUM(B16:E16)+SUM(G16:Q16)</f>
        <v>20508848</v>
      </c>
      <c r="T16" s="480"/>
      <c r="U16" s="480"/>
      <c r="V16" s="283"/>
    </row>
    <row r="17" spans="1:22" x14ac:dyDescent="0.2">
      <c r="A17" s="52" t="s">
        <v>38</v>
      </c>
      <c r="B17" s="226">
        <f>'[3]Atlas Air'!$HM$48</f>
        <v>0</v>
      </c>
      <c r="C17" s="469">
        <f>[3]DHL!$HM$48</f>
        <v>0</v>
      </c>
      <c r="D17" s="469">
        <f>[3]Airborne!$HM$48</f>
        <v>0</v>
      </c>
      <c r="E17" s="469">
        <f>[3]DHL_Bemidji!$HM$48</f>
        <v>0</v>
      </c>
      <c r="F17" s="565"/>
      <c r="G17" s="469">
        <f>[3]DHL_Encore!$HM$48</f>
        <v>0</v>
      </c>
      <c r="H17" s="469">
        <f>[3]Encore!$HM$48</f>
        <v>0</v>
      </c>
      <c r="I17" s="469">
        <f>[3]FedEx!$HM$48</f>
        <v>0</v>
      </c>
      <c r="J17" s="469">
        <f>[3]IFL!$HM$48</f>
        <v>0</v>
      </c>
      <c r="K17" s="469">
        <f>[3]DHL_Kalitta!$HM$48</f>
        <v>0</v>
      </c>
      <c r="L17" s="128">
        <f>'[3]Mountain Cargo'!$HM$48</f>
        <v>74621</v>
      </c>
      <c r="M17" s="469">
        <f>[3]DHL_Southair!$HM$48</f>
        <v>0</v>
      </c>
      <c r="N17" s="469">
        <f>[3]DHL_Swift!$HM$48</f>
        <v>0</v>
      </c>
      <c r="O17" s="469">
        <f>+'[3]Sun Country Cargo'!$HM$48</f>
        <v>0</v>
      </c>
      <c r="P17" s="469">
        <f>[3]UPS!$HM$48</f>
        <v>903409</v>
      </c>
      <c r="Q17" s="128">
        <f>'[3]Misc Cargo'!$HM$48</f>
        <v>0</v>
      </c>
      <c r="R17" s="481">
        <f>SUM(B17:E17)+SUM(G17:Q17)</f>
        <v>978030</v>
      </c>
      <c r="T17" s="480"/>
      <c r="U17" s="480"/>
      <c r="V17" s="283"/>
    </row>
    <row r="18" spans="1:22" ht="18" customHeight="1" x14ac:dyDescent="0.2">
      <c r="A18" s="196" t="s">
        <v>39</v>
      </c>
      <c r="B18" s="495">
        <f>SUM(B16:B17)</f>
        <v>2417937</v>
      </c>
      <c r="C18" s="274">
        <f>SUM(C16:C17)</f>
        <v>0</v>
      </c>
      <c r="D18" s="274">
        <f>SUM(D16:D17)</f>
        <v>43230</v>
      </c>
      <c r="E18" s="274">
        <f>SUM(E16:E17)</f>
        <v>70293</v>
      </c>
      <c r="F18" s="565"/>
      <c r="G18" s="274">
        <f>SUM(G16:G17)</f>
        <v>0</v>
      </c>
      <c r="H18" s="274">
        <f>SUM(H16:H17)</f>
        <v>0</v>
      </c>
      <c r="I18" s="274">
        <f>SUM(I16:I17)</f>
        <v>8796734</v>
      </c>
      <c r="J18" s="274">
        <f>SUM(J16:J17)</f>
        <v>55495</v>
      </c>
      <c r="K18" s="274">
        <f t="shared" ref="K18:Q18" si="7">SUM(K16:K17)</f>
        <v>612191</v>
      </c>
      <c r="L18" s="275">
        <f t="shared" si="7"/>
        <v>74621</v>
      </c>
      <c r="M18" s="274">
        <f t="shared" si="7"/>
        <v>0</v>
      </c>
      <c r="N18" s="274">
        <f t="shared" si="7"/>
        <v>69269</v>
      </c>
      <c r="O18" s="274">
        <f t="shared" si="7"/>
        <v>2063176</v>
      </c>
      <c r="P18" s="274">
        <f t="shared" si="7"/>
        <v>7283932</v>
      </c>
      <c r="Q18" s="275">
        <f t="shared" si="7"/>
        <v>0</v>
      </c>
      <c r="R18" s="496">
        <f>SUM(B18:D18)+SUM(G18:Q18)</f>
        <v>21416585</v>
      </c>
      <c r="T18" s="480"/>
      <c r="U18" s="480"/>
      <c r="V18" s="283"/>
    </row>
    <row r="19" spans="1:22" x14ac:dyDescent="0.2">
      <c r="A19" s="52"/>
      <c r="B19" s="226"/>
      <c r="C19" s="469"/>
      <c r="D19" s="469"/>
      <c r="E19" s="469"/>
      <c r="F19" s="565"/>
      <c r="G19" s="469"/>
      <c r="H19" s="469"/>
      <c r="I19" s="469"/>
      <c r="J19" s="469"/>
      <c r="K19" s="469"/>
      <c r="L19" s="128"/>
      <c r="M19" s="469"/>
      <c r="N19" s="469"/>
      <c r="O19" s="469"/>
      <c r="P19" s="469"/>
      <c r="Q19" s="128"/>
      <c r="R19" s="481"/>
      <c r="T19" s="486"/>
      <c r="U19" s="480"/>
      <c r="V19" s="283"/>
    </row>
    <row r="20" spans="1:22" x14ac:dyDescent="0.2">
      <c r="A20" s="195" t="s">
        <v>87</v>
      </c>
      <c r="B20" s="226"/>
      <c r="C20" s="469"/>
      <c r="D20" s="469"/>
      <c r="E20" s="469"/>
      <c r="F20" s="565"/>
      <c r="G20" s="469"/>
      <c r="H20" s="469"/>
      <c r="I20" s="469"/>
      <c r="J20" s="469"/>
      <c r="K20" s="469"/>
      <c r="L20" s="128"/>
      <c r="M20" s="469"/>
      <c r="N20" s="469"/>
      <c r="O20" s="469"/>
      <c r="P20" s="469"/>
      <c r="Q20" s="128"/>
      <c r="R20" s="481"/>
      <c r="T20" s="486"/>
      <c r="U20" s="480"/>
      <c r="V20" s="283"/>
    </row>
    <row r="21" spans="1:22" x14ac:dyDescent="0.2">
      <c r="A21" s="52" t="s">
        <v>59</v>
      </c>
      <c r="B21" s="226">
        <f>'[3]Atlas Air'!$HM$52</f>
        <v>1291950</v>
      </c>
      <c r="C21" s="469">
        <f>[3]DHL!$HM$52+[3]DHL_Atlas!$HM$52</f>
        <v>0</v>
      </c>
      <c r="D21" s="469">
        <f>[3]Airborne!$HM$52</f>
        <v>36001</v>
      </c>
      <c r="E21" s="469">
        <f>[3]DHL_Bemidji!$HM$52</f>
        <v>43528</v>
      </c>
      <c r="F21" s="565"/>
      <c r="G21" s="469">
        <f>[3]DHL_Encore!$HM$52</f>
        <v>0</v>
      </c>
      <c r="H21" s="469">
        <f>[3]Encore!$HM$52</f>
        <v>0</v>
      </c>
      <c r="I21" s="469">
        <f>[3]FedEx!$HM$52</f>
        <v>8282026</v>
      </c>
      <c r="J21" s="469">
        <f>[3]IFL!$HM$52</f>
        <v>0</v>
      </c>
      <c r="K21" s="469">
        <f>[3]DHL_Kalitta!$HM$52</f>
        <v>438742</v>
      </c>
      <c r="L21" s="128">
        <f>'[3]Mountain Cargo'!$HM$52</f>
        <v>0</v>
      </c>
      <c r="M21" s="469">
        <f>[3]DHL_Southair!$HM$52</f>
        <v>0</v>
      </c>
      <c r="N21" s="469">
        <f>[3]DHL_Swift!$HM$52</f>
        <v>51585</v>
      </c>
      <c r="O21" s="469">
        <f>+'[3]Sun Country Cargo'!$HM$52</f>
        <v>1298646</v>
      </c>
      <c r="P21" s="469">
        <f>[3]UPS!$HM$52</f>
        <v>6111458</v>
      </c>
      <c r="Q21" s="128">
        <f>'[3]Misc Cargo'!$HM$52</f>
        <v>0</v>
      </c>
      <c r="R21" s="481">
        <f>SUM(B21:E21)+SUM(G21:Q21)</f>
        <v>17553936</v>
      </c>
      <c r="T21" s="480"/>
      <c r="U21" s="480"/>
      <c r="V21" s="283"/>
    </row>
    <row r="22" spans="1:22" x14ac:dyDescent="0.2">
      <c r="A22" s="52" t="s">
        <v>60</v>
      </c>
      <c r="B22" s="226">
        <f>'[3]Atlas Air'!$HM$53</f>
        <v>0</v>
      </c>
      <c r="C22" s="469">
        <f>[3]DHL!$HM$53</f>
        <v>0</v>
      </c>
      <c r="D22" s="469">
        <f>[3]Airborne!$HM$53</f>
        <v>0</v>
      </c>
      <c r="E22" s="469">
        <f>[3]DHL_Bemidji!$HM$53</f>
        <v>0</v>
      </c>
      <c r="F22" s="565"/>
      <c r="G22" s="469">
        <f>[3]DHL_Encore!$HM$53</f>
        <v>0</v>
      </c>
      <c r="H22" s="469">
        <f>[3]Encore!$HM$53</f>
        <v>0</v>
      </c>
      <c r="I22" s="469">
        <f>[3]FedEx!$HM$53</f>
        <v>0</v>
      </c>
      <c r="J22" s="469">
        <f>[3]IFL!$HM$53</f>
        <v>0</v>
      </c>
      <c r="K22" s="469">
        <f>[3]DHL_Kalitta!$HM$53</f>
        <v>0</v>
      </c>
      <c r="L22" s="128">
        <f>'[3]Mountain Cargo'!$HM$53</f>
        <v>111960</v>
      </c>
      <c r="M22" s="469">
        <f>[3]DHL_Southair!$HM$53</f>
        <v>0</v>
      </c>
      <c r="N22" s="469">
        <f>[3]DHL_Swift!$HM$53</f>
        <v>0</v>
      </c>
      <c r="O22" s="469">
        <f>+'[3]Sun Country Cargo'!$HM$53</f>
        <v>0</v>
      </c>
      <c r="P22" s="469">
        <f>[3]UPS!$HM$53</f>
        <v>685520</v>
      </c>
      <c r="Q22" s="128">
        <f>'[3]Misc Cargo'!$HM$53</f>
        <v>0</v>
      </c>
      <c r="R22" s="481">
        <f>SUM(B22:E22)+SUM(G22:Q22)</f>
        <v>797480</v>
      </c>
      <c r="T22" s="480"/>
      <c r="U22" s="480"/>
      <c r="V22" s="283"/>
    </row>
    <row r="23" spans="1:22" ht="18" customHeight="1" x14ac:dyDescent="0.2">
      <c r="A23" s="196" t="s">
        <v>41</v>
      </c>
      <c r="B23" s="495">
        <f>SUM(B21:B22)</f>
        <v>1291950</v>
      </c>
      <c r="C23" s="274">
        <f>SUM(C21:C22)</f>
        <v>0</v>
      </c>
      <c r="D23" s="274">
        <f t="shared" ref="D23:E23" si="8">SUM(D21:D22)</f>
        <v>36001</v>
      </c>
      <c r="E23" s="274">
        <f t="shared" si="8"/>
        <v>43528</v>
      </c>
      <c r="F23" s="565"/>
      <c r="G23" s="274">
        <f t="shared" ref="G23:Q23" si="9">SUM(G21:G22)</f>
        <v>0</v>
      </c>
      <c r="H23" s="274">
        <f t="shared" si="9"/>
        <v>0</v>
      </c>
      <c r="I23" s="274">
        <f t="shared" si="9"/>
        <v>8282026</v>
      </c>
      <c r="J23" s="274">
        <f t="shared" si="9"/>
        <v>0</v>
      </c>
      <c r="K23" s="274">
        <f t="shared" si="9"/>
        <v>438742</v>
      </c>
      <c r="L23" s="275">
        <f t="shared" si="9"/>
        <v>111960</v>
      </c>
      <c r="M23" s="274">
        <f t="shared" si="9"/>
        <v>0</v>
      </c>
      <c r="N23" s="274">
        <f t="shared" si="9"/>
        <v>51585</v>
      </c>
      <c r="O23" s="274">
        <f t="shared" si="9"/>
        <v>1298646</v>
      </c>
      <c r="P23" s="274">
        <f t="shared" si="9"/>
        <v>6796978</v>
      </c>
      <c r="Q23" s="275">
        <f t="shared" si="9"/>
        <v>0</v>
      </c>
      <c r="R23" s="496">
        <f>SUM(B23:D23)+SUM(G23:Q23)</f>
        <v>18307888</v>
      </c>
      <c r="T23" s="480"/>
      <c r="U23" s="480"/>
      <c r="V23" s="283"/>
    </row>
    <row r="24" spans="1:22" x14ac:dyDescent="0.2">
      <c r="A24" s="52"/>
      <c r="B24" s="226"/>
      <c r="C24" s="469"/>
      <c r="D24" s="469"/>
      <c r="E24" s="469"/>
      <c r="F24" s="565"/>
      <c r="G24" s="469"/>
      <c r="H24" s="469"/>
      <c r="I24" s="469"/>
      <c r="J24" s="469"/>
      <c r="K24" s="469"/>
      <c r="L24" s="128"/>
      <c r="M24" s="469"/>
      <c r="N24" s="469"/>
      <c r="O24" s="469"/>
      <c r="P24" s="469"/>
      <c r="Q24" s="128"/>
      <c r="R24" s="481"/>
      <c r="T24" s="480"/>
      <c r="U24" s="480"/>
      <c r="V24" s="283"/>
    </row>
    <row r="25" spans="1:22" x14ac:dyDescent="0.2">
      <c r="A25" s="195" t="s">
        <v>94</v>
      </c>
      <c r="B25" s="226"/>
      <c r="C25" s="469"/>
      <c r="D25" s="469"/>
      <c r="E25" s="469"/>
      <c r="F25" s="565"/>
      <c r="G25" s="469"/>
      <c r="H25" s="469"/>
      <c r="I25" s="469"/>
      <c r="J25" s="469"/>
      <c r="K25" s="469"/>
      <c r="L25" s="128"/>
      <c r="M25" s="469"/>
      <c r="N25" s="469"/>
      <c r="O25" s="469"/>
      <c r="P25" s="469"/>
      <c r="Q25" s="128"/>
      <c r="R25" s="481"/>
      <c r="T25" s="480"/>
      <c r="U25" s="480"/>
      <c r="V25" s="283"/>
    </row>
    <row r="26" spans="1:22" x14ac:dyDescent="0.2">
      <c r="A26" s="52" t="s">
        <v>59</v>
      </c>
      <c r="B26" s="226">
        <f>'[3]Atlas Air'!$HM$57</f>
        <v>0</v>
      </c>
      <c r="C26" s="469">
        <f>[3]DHL!$HM$57</f>
        <v>0</v>
      </c>
      <c r="D26" s="469">
        <f>[3]Airborne!$HM$57</f>
        <v>0</v>
      </c>
      <c r="E26" s="469">
        <f>[3]DHL_Bemidji!$HM$57</f>
        <v>0</v>
      </c>
      <c r="F26" s="565"/>
      <c r="G26" s="469">
        <f>[3]DHL_Encore!$HM$57</f>
        <v>0</v>
      </c>
      <c r="H26" s="469">
        <f>[3]Encore!$HM$57</f>
        <v>0</v>
      </c>
      <c r="I26" s="469">
        <f>[3]FedEx!$HM$57</f>
        <v>0</v>
      </c>
      <c r="J26" s="469">
        <f>[3]IFL!$HM$57</f>
        <v>0</v>
      </c>
      <c r="K26" s="469">
        <f>[3]DHL_Kalitta!$HM$57</f>
        <v>0</v>
      </c>
      <c r="L26" s="128">
        <f>'[3]Mountain Cargo'!$HM$57</f>
        <v>0</v>
      </c>
      <c r="M26" s="469">
        <f>[3]DHL_Southair!$HM$57</f>
        <v>0</v>
      </c>
      <c r="N26" s="469">
        <f>[3]DHL_Swift!$HM$57</f>
        <v>0</v>
      </c>
      <c r="O26" s="469">
        <f>+'[3]Sun Country Cargo'!$HM$57</f>
        <v>0</v>
      </c>
      <c r="P26" s="469">
        <f>[3]UPS!$HM$57</f>
        <v>0</v>
      </c>
      <c r="Q26" s="128">
        <f>'[3]Misc Cargo'!$HM$57</f>
        <v>0</v>
      </c>
      <c r="R26" s="481">
        <f>SUM(B26:D26)+SUM(G26:Q26)</f>
        <v>0</v>
      </c>
      <c r="T26" s="480"/>
      <c r="U26" s="480"/>
      <c r="V26" s="480"/>
    </row>
    <row r="27" spans="1:22" x14ac:dyDescent="0.2">
      <c r="A27" s="52" t="s">
        <v>60</v>
      </c>
      <c r="B27" s="226">
        <f>'[3]Atlas Air'!$HM$58</f>
        <v>0</v>
      </c>
      <c r="C27" s="469">
        <f>[3]DHL!$HM$58</f>
        <v>0</v>
      </c>
      <c r="D27" s="469">
        <f>[3]Airborne!$HM$58</f>
        <v>0</v>
      </c>
      <c r="E27" s="469">
        <f>[3]DHL_Bemidji!$HM$58</f>
        <v>0</v>
      </c>
      <c r="F27" s="565"/>
      <c r="G27" s="469">
        <f>[3]DHL_Encore!$HM$58</f>
        <v>0</v>
      </c>
      <c r="H27" s="469">
        <f>[3]Encore!$HM$58</f>
        <v>0</v>
      </c>
      <c r="I27" s="469">
        <f>[3]FedEx!$HM$58</f>
        <v>0</v>
      </c>
      <c r="J27" s="469">
        <f>[3]IFL!$HM$58</f>
        <v>0</v>
      </c>
      <c r="K27" s="469">
        <f>[3]DHL_Kalitta!$HM$58</f>
        <v>0</v>
      </c>
      <c r="L27" s="128">
        <f>'[3]Mountain Cargo'!$HM$58</f>
        <v>0</v>
      </c>
      <c r="M27" s="469">
        <f>[3]DHL_Southair!$HM$58</f>
        <v>0</v>
      </c>
      <c r="N27" s="469">
        <f>[3]DHL_Swift!$HM$58</f>
        <v>0</v>
      </c>
      <c r="O27" s="469">
        <f>+'[3]Sun Country Cargo'!$HM$58</f>
        <v>0</v>
      </c>
      <c r="P27" s="469">
        <f>[3]UPS!$HM$58</f>
        <v>0</v>
      </c>
      <c r="Q27" s="128">
        <f>'[3]Misc Cargo'!$HM$58</f>
        <v>0</v>
      </c>
      <c r="R27" s="481">
        <f>SUM(B27:D27)+SUM(G27:Q27)</f>
        <v>0</v>
      </c>
      <c r="T27" s="480"/>
      <c r="U27" s="480"/>
      <c r="V27" s="283"/>
    </row>
    <row r="28" spans="1:22" ht="18" customHeight="1" x14ac:dyDescent="0.2">
      <c r="A28" s="196" t="s">
        <v>43</v>
      </c>
      <c r="B28" s="495">
        <f>SUM(B26:B27)</f>
        <v>0</v>
      </c>
      <c r="C28" s="274">
        <f>SUM(C26:C27)</f>
        <v>0</v>
      </c>
      <c r="D28" s="274">
        <f t="shared" ref="D28:E28" si="10">SUM(D26:D27)</f>
        <v>0</v>
      </c>
      <c r="E28" s="274">
        <f t="shared" si="10"/>
        <v>0</v>
      </c>
      <c r="F28" s="565"/>
      <c r="G28" s="274">
        <f t="shared" ref="G28:Q28" si="11">SUM(G26:G27)</f>
        <v>0</v>
      </c>
      <c r="H28" s="274">
        <f t="shared" si="11"/>
        <v>0</v>
      </c>
      <c r="I28" s="274">
        <f t="shared" si="11"/>
        <v>0</v>
      </c>
      <c r="J28" s="274">
        <f t="shared" si="11"/>
        <v>0</v>
      </c>
      <c r="K28" s="274">
        <f t="shared" si="11"/>
        <v>0</v>
      </c>
      <c r="L28" s="275">
        <f t="shared" si="11"/>
        <v>0</v>
      </c>
      <c r="M28" s="274">
        <f t="shared" si="11"/>
        <v>0</v>
      </c>
      <c r="N28" s="274">
        <f t="shared" si="11"/>
        <v>0</v>
      </c>
      <c r="O28" s="274">
        <f t="shared" si="11"/>
        <v>0</v>
      </c>
      <c r="P28" s="274">
        <f t="shared" si="11"/>
        <v>0</v>
      </c>
      <c r="Q28" s="275">
        <f t="shared" si="11"/>
        <v>0</v>
      </c>
      <c r="R28" s="496">
        <f>SUM(B28:D28)+SUM(G28:Q28)</f>
        <v>0</v>
      </c>
      <c r="T28" s="480"/>
      <c r="U28" s="480"/>
      <c r="V28" s="480"/>
    </row>
    <row r="29" spans="1:22" x14ac:dyDescent="0.2">
      <c r="A29" s="52"/>
      <c r="B29" s="226"/>
      <c r="C29" s="469"/>
      <c r="D29" s="469"/>
      <c r="E29" s="469"/>
      <c r="F29" s="565"/>
      <c r="G29" s="469"/>
      <c r="H29" s="469"/>
      <c r="I29" s="469"/>
      <c r="J29" s="469"/>
      <c r="K29" s="469"/>
      <c r="L29" s="128"/>
      <c r="M29" s="469"/>
      <c r="N29" s="469"/>
      <c r="O29" s="469"/>
      <c r="P29" s="469"/>
      <c r="Q29" s="128"/>
      <c r="R29" s="481"/>
      <c r="T29" s="480"/>
      <c r="U29" s="480"/>
      <c r="V29" s="480"/>
    </row>
    <row r="30" spans="1:22" x14ac:dyDescent="0.2">
      <c r="A30" s="197" t="s">
        <v>44</v>
      </c>
      <c r="B30" s="226"/>
      <c r="C30" s="469"/>
      <c r="D30" s="469"/>
      <c r="E30" s="469"/>
      <c r="F30" s="565"/>
      <c r="G30" s="469"/>
      <c r="H30" s="469"/>
      <c r="I30" s="469"/>
      <c r="J30" s="469"/>
      <c r="K30" s="469"/>
      <c r="L30" s="128"/>
      <c r="M30" s="469"/>
      <c r="N30" s="469"/>
      <c r="O30" s="469"/>
      <c r="P30" s="469"/>
      <c r="Q30" s="128"/>
      <c r="R30" s="481"/>
      <c r="T30" s="480"/>
      <c r="U30" s="480"/>
      <c r="V30" s="480"/>
    </row>
    <row r="31" spans="1:22" x14ac:dyDescent="0.2">
      <c r="A31" s="52" t="s">
        <v>88</v>
      </c>
      <c r="B31" s="226">
        <f>B26+B21+B16</f>
        <v>3709887</v>
      </c>
      <c r="C31" s="469">
        <f t="shared" ref="C31:Q33" si="12">C26+C21+C16</f>
        <v>0</v>
      </c>
      <c r="D31" s="469">
        <f t="shared" si="12"/>
        <v>79231</v>
      </c>
      <c r="E31" s="469">
        <f t="shared" si="12"/>
        <v>113821</v>
      </c>
      <c r="F31" s="565"/>
      <c r="G31" s="469">
        <f t="shared" ref="G31:O33" si="13">G26+G21+G16</f>
        <v>0</v>
      </c>
      <c r="H31" s="469">
        <f t="shared" si="13"/>
        <v>0</v>
      </c>
      <c r="I31" s="469">
        <f t="shared" si="13"/>
        <v>17078760</v>
      </c>
      <c r="J31" s="469">
        <f t="shared" si="13"/>
        <v>55495</v>
      </c>
      <c r="K31" s="469">
        <f t="shared" si="13"/>
        <v>1050933</v>
      </c>
      <c r="L31" s="128">
        <f>L26+L21+L16</f>
        <v>0</v>
      </c>
      <c r="M31" s="469">
        <f t="shared" si="13"/>
        <v>0</v>
      </c>
      <c r="N31" s="469">
        <f t="shared" si="13"/>
        <v>120854</v>
      </c>
      <c r="O31" s="469">
        <f t="shared" si="13"/>
        <v>3361822</v>
      </c>
      <c r="P31" s="469">
        <f t="shared" si="12"/>
        <v>12491981</v>
      </c>
      <c r="Q31" s="128">
        <f>Q26+Q21+Q16</f>
        <v>0</v>
      </c>
      <c r="R31" s="481">
        <f>SUM(B31:E31)+SUM(G31:Q31)</f>
        <v>38062784</v>
      </c>
    </row>
    <row r="32" spans="1:22" x14ac:dyDescent="0.2">
      <c r="A32" s="52" t="s">
        <v>60</v>
      </c>
      <c r="B32" s="226">
        <f>B27+B22+B17</f>
        <v>0</v>
      </c>
      <c r="C32" s="469">
        <f t="shared" si="12"/>
        <v>0</v>
      </c>
      <c r="D32" s="469">
        <f t="shared" si="12"/>
        <v>0</v>
      </c>
      <c r="E32" s="469">
        <f t="shared" si="12"/>
        <v>0</v>
      </c>
      <c r="F32" s="566"/>
      <c r="G32" s="469">
        <f t="shared" si="13"/>
        <v>0</v>
      </c>
      <c r="H32" s="469">
        <f t="shared" si="13"/>
        <v>0</v>
      </c>
      <c r="I32" s="469">
        <f t="shared" si="13"/>
        <v>0</v>
      </c>
      <c r="J32" s="469">
        <f t="shared" si="13"/>
        <v>0</v>
      </c>
      <c r="K32" s="469">
        <f t="shared" si="13"/>
        <v>0</v>
      </c>
      <c r="L32" s="128">
        <f>L27+L22+L17</f>
        <v>186581</v>
      </c>
      <c r="M32" s="469">
        <f t="shared" si="13"/>
        <v>0</v>
      </c>
      <c r="N32" s="469">
        <f t="shared" si="13"/>
        <v>0</v>
      </c>
      <c r="O32" s="469">
        <f t="shared" si="13"/>
        <v>0</v>
      </c>
      <c r="P32" s="469">
        <f t="shared" si="12"/>
        <v>1588929</v>
      </c>
      <c r="Q32" s="128">
        <f>Q27+Q22+Q17</f>
        <v>0</v>
      </c>
      <c r="R32" s="481">
        <f>SUM(B32:E32)+SUM(G32:Q32)</f>
        <v>1775510</v>
      </c>
    </row>
    <row r="33" spans="1:18" ht="18" customHeight="1" thickBot="1" x14ac:dyDescent="0.25">
      <c r="A33" s="190" t="s">
        <v>46</v>
      </c>
      <c r="B33" s="489">
        <f>B28+B23+B18</f>
        <v>3709887</v>
      </c>
      <c r="C33" s="191">
        <f t="shared" ref="C33:H33" si="14">C28+C23+C18</f>
        <v>0</v>
      </c>
      <c r="D33" s="191">
        <f t="shared" si="14"/>
        <v>79231</v>
      </c>
      <c r="E33" s="191">
        <f t="shared" si="14"/>
        <v>113821</v>
      </c>
      <c r="F33" s="276">
        <f t="shared" si="14"/>
        <v>0</v>
      </c>
      <c r="G33" s="191">
        <f t="shared" si="14"/>
        <v>0</v>
      </c>
      <c r="H33" s="191">
        <f t="shared" si="14"/>
        <v>0</v>
      </c>
      <c r="I33" s="191">
        <f t="shared" si="13"/>
        <v>17078760</v>
      </c>
      <c r="J33" s="191">
        <f t="shared" si="13"/>
        <v>55495</v>
      </c>
      <c r="K33" s="191">
        <f t="shared" si="13"/>
        <v>1050933</v>
      </c>
      <c r="L33" s="192">
        <f>L28+L23+L18</f>
        <v>186581</v>
      </c>
      <c r="M33" s="191">
        <f t="shared" si="13"/>
        <v>0</v>
      </c>
      <c r="N33" s="191">
        <f t="shared" si="13"/>
        <v>120854</v>
      </c>
      <c r="O33" s="191">
        <f t="shared" si="12"/>
        <v>3361822</v>
      </c>
      <c r="P33" s="191">
        <f t="shared" si="12"/>
        <v>14080910</v>
      </c>
      <c r="Q33" s="192">
        <f t="shared" si="12"/>
        <v>0</v>
      </c>
      <c r="R33" s="490">
        <f>SUM(B33:E33)+SUM(G33:Q33)</f>
        <v>39838294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October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L22" sqref="L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44470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2781448</v>
      </c>
      <c r="C5" s="116">
        <f>'Regional Major'!M25</f>
        <v>1493</v>
      </c>
      <c r="D5" s="116">
        <f>Cargo!R16</f>
        <v>20508848</v>
      </c>
      <c r="E5" s="116">
        <f>SUM(B5:D5)</f>
        <v>23291789</v>
      </c>
      <c r="F5" s="116">
        <f>E5*0.00045359237</f>
        <v>10564.97777404993</v>
      </c>
      <c r="G5" s="144">
        <f>'[1]Cargo Summary'!F5</f>
        <v>8908.9283605052497</v>
      </c>
      <c r="H5" s="96">
        <f>(F5-G5)/G5</f>
        <v>0.18588648898404225</v>
      </c>
      <c r="I5" s="144">
        <f>+F5+'[2]Cargo Summary'!I5</f>
        <v>95545.778829647155</v>
      </c>
      <c r="J5" s="144">
        <f>'[1]Cargo Summary'!I5</f>
        <v>84291.801308000431</v>
      </c>
      <c r="K5" s="83">
        <f>(I5-J5)/J5</f>
        <v>0.13351212510603414</v>
      </c>
      <c r="M5" s="34"/>
    </row>
    <row r="6" spans="1:18" x14ac:dyDescent="0.2">
      <c r="A6" s="60" t="s">
        <v>16</v>
      </c>
      <c r="B6" s="167">
        <f>'Major Airline Stats'!K29</f>
        <v>1633585</v>
      </c>
      <c r="C6" s="116">
        <f>'Regional Major'!M26</f>
        <v>0</v>
      </c>
      <c r="D6" s="116">
        <f>Cargo!R17</f>
        <v>978030</v>
      </c>
      <c r="E6" s="116">
        <f>SUM(B6:D6)</f>
        <v>2611615</v>
      </c>
      <c r="F6" s="116">
        <f>E6*0.00045359237</f>
        <v>1184.6086373775499</v>
      </c>
      <c r="G6" s="144">
        <f>'[1]Cargo Summary'!F6</f>
        <v>973.33347609421003</v>
      </c>
      <c r="H6" s="36">
        <f>(F6-G6)/G6</f>
        <v>0.21706349002927991</v>
      </c>
      <c r="I6" s="144">
        <f>+F6+'[2]Cargo Summary'!I6</f>
        <v>9257.6288557198586</v>
      </c>
      <c r="J6" s="144">
        <f>'[1]Cargo Summary'!I6</f>
        <v>5780.2246396771798</v>
      </c>
      <c r="K6" s="83">
        <f>(I6-J6)/J6</f>
        <v>0.6016036456736894</v>
      </c>
      <c r="M6" s="34"/>
    </row>
    <row r="7" spans="1:18" ht="18" customHeight="1" thickBot="1" x14ac:dyDescent="0.25">
      <c r="A7" s="71" t="s">
        <v>71</v>
      </c>
      <c r="B7" s="169">
        <f>SUM(B5:B6)</f>
        <v>4415033</v>
      </c>
      <c r="C7" s="131">
        <f t="shared" ref="C7:J7" si="0">SUM(C5:C6)</f>
        <v>1493</v>
      </c>
      <c r="D7" s="131">
        <f t="shared" si="0"/>
        <v>21486878</v>
      </c>
      <c r="E7" s="131">
        <f t="shared" si="0"/>
        <v>25903404</v>
      </c>
      <c r="F7" s="131">
        <f t="shared" si="0"/>
        <v>11749.586411427481</v>
      </c>
      <c r="G7" s="131">
        <f t="shared" si="0"/>
        <v>9882.2618365994604</v>
      </c>
      <c r="H7" s="43">
        <f>(F7-G7)/G7</f>
        <v>0.18895720490953688</v>
      </c>
      <c r="I7" s="131">
        <f t="shared" si="0"/>
        <v>104803.40768536701</v>
      </c>
      <c r="J7" s="131">
        <f t="shared" si="0"/>
        <v>90072.025947677612</v>
      </c>
      <c r="K7" s="290">
        <f>(I7-J7)/J7</f>
        <v>0.16355113124963777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1491423</v>
      </c>
      <c r="C10" s="116">
        <f>'Regional Major'!M30</f>
        <v>489</v>
      </c>
      <c r="D10" s="116">
        <f>Cargo!R21</f>
        <v>17553936</v>
      </c>
      <c r="E10" s="116">
        <f>SUM(B10:D10)</f>
        <v>19045848</v>
      </c>
      <c r="F10" s="116">
        <f>E10*0.00045359237</f>
        <v>8639.0513329797595</v>
      </c>
      <c r="G10" s="144">
        <f>'[1]Cargo Summary'!F10</f>
        <v>7498.4874219139501</v>
      </c>
      <c r="H10" s="36">
        <f>(F10-G10)/G10</f>
        <v>0.15210586440840976</v>
      </c>
      <c r="I10" s="144">
        <f>+F10+'[2]Cargo Summary'!I10</f>
        <v>76699.150083201297</v>
      </c>
      <c r="J10" s="144">
        <f>'[1]Cargo Summary'!I10</f>
        <v>67878.029335700441</v>
      </c>
      <c r="K10" s="83">
        <f>(I10-J10)/J10</f>
        <v>0.12995546326005944</v>
      </c>
      <c r="M10" s="34"/>
    </row>
    <row r="11" spans="1:18" x14ac:dyDescent="0.2">
      <c r="A11" s="60" t="s">
        <v>16</v>
      </c>
      <c r="B11" s="167">
        <f>'Major Airline Stats'!K34</f>
        <v>1384363</v>
      </c>
      <c r="C11" s="116">
        <f>'Regional Major'!M31</f>
        <v>1920</v>
      </c>
      <c r="D11" s="116">
        <f>Cargo!R22</f>
        <v>797480</v>
      </c>
      <c r="E11" s="116">
        <f>SUM(B11:D11)</f>
        <v>2183763</v>
      </c>
      <c r="F11" s="116">
        <f>E11*0.00045359237</f>
        <v>990.53823468831001</v>
      </c>
      <c r="G11" s="144">
        <f>'[1]Cargo Summary'!F11</f>
        <v>1160.79503795255</v>
      </c>
      <c r="H11" s="34">
        <f>(F11-G11)/G11</f>
        <v>-0.14667258016931636</v>
      </c>
      <c r="I11" s="144">
        <f>+F11+'[2]Cargo Summary'!I11</f>
        <v>8949.2989886199903</v>
      </c>
      <c r="J11" s="144">
        <f>'[1]Cargo Summary'!I11</f>
        <v>8895.929310365791</v>
      </c>
      <c r="K11" s="83">
        <f>(I11-J11)/J11</f>
        <v>5.9993370441929397E-3</v>
      </c>
      <c r="M11" s="34"/>
    </row>
    <row r="12" spans="1:18" ht="18" customHeight="1" thickBot="1" x14ac:dyDescent="0.25">
      <c r="A12" s="71" t="s">
        <v>72</v>
      </c>
      <c r="B12" s="169">
        <f>SUM(B10:B11)</f>
        <v>2875786</v>
      </c>
      <c r="C12" s="131">
        <f t="shared" ref="C12:J12" si="1">SUM(C10:C11)</f>
        <v>2409</v>
      </c>
      <c r="D12" s="131">
        <f t="shared" si="1"/>
        <v>18351416</v>
      </c>
      <c r="E12" s="131">
        <f t="shared" si="1"/>
        <v>21229611</v>
      </c>
      <c r="F12" s="131">
        <f t="shared" si="1"/>
        <v>9629.5895676680702</v>
      </c>
      <c r="G12" s="131">
        <f t="shared" si="1"/>
        <v>8659.2824598664993</v>
      </c>
      <c r="H12" s="43">
        <f>(F12-G12)/G12</f>
        <v>0.11205398510773723</v>
      </c>
      <c r="I12" s="131">
        <f>SUM(I10:I11)</f>
        <v>85648.449071821291</v>
      </c>
      <c r="J12" s="131">
        <f t="shared" si="1"/>
        <v>76773.958646066225</v>
      </c>
      <c r="K12" s="290">
        <f>(I12-J12)/J12</f>
        <v>0.11559245585690248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Cargo!R26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4" t="e">
        <f>(F15-G15)/G15</f>
        <v>#DIV/0!</v>
      </c>
      <c r="I15" s="144">
        <f>+F15+'[2]Cargo Summary'!I15</f>
        <v>0.14469596602999998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>SUM(I15:I16)</f>
        <v>0.14469596602999998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4272871</v>
      </c>
      <c r="C20" s="116">
        <f t="shared" si="3"/>
        <v>1982</v>
      </c>
      <c r="D20" s="116">
        <f t="shared" si="3"/>
        <v>38062784</v>
      </c>
      <c r="E20" s="116">
        <f>SUM(B20:D20)</f>
        <v>42337637</v>
      </c>
      <c r="F20" s="116">
        <f>E20*0.00045359237</f>
        <v>19204.029107029688</v>
      </c>
      <c r="G20" s="144">
        <f>'[1]Cargo Summary'!F20</f>
        <v>16407.415782419201</v>
      </c>
      <c r="H20" s="36">
        <f>(F20-G20)/G20</f>
        <v>0.17044812916895186</v>
      </c>
      <c r="I20" s="144">
        <f>+F20+'[2]Cargo Summary'!I20</f>
        <v>172245.07360881451</v>
      </c>
      <c r="J20" s="144">
        <f>+J5+J10+J15</f>
        <v>152169.83064370087</v>
      </c>
      <c r="K20" s="83">
        <f>(I20-J20)/J20</f>
        <v>0.13192656441945416</v>
      </c>
      <c r="M20" s="34"/>
    </row>
    <row r="21" spans="1:13" x14ac:dyDescent="0.2">
      <c r="A21" s="60" t="s">
        <v>16</v>
      </c>
      <c r="B21" s="167">
        <f t="shared" si="3"/>
        <v>3017948</v>
      </c>
      <c r="C21" s="118">
        <f t="shared" si="3"/>
        <v>1920</v>
      </c>
      <c r="D21" s="118">
        <f t="shared" si="3"/>
        <v>1775510</v>
      </c>
      <c r="E21" s="116">
        <f>SUM(B21:D21)</f>
        <v>4795378</v>
      </c>
      <c r="F21" s="116">
        <f>E21*0.00045359237</f>
        <v>2175.14687206586</v>
      </c>
      <c r="G21" s="144">
        <f>'[1]Cargo Summary'!F21</f>
        <v>2134.1285140467598</v>
      </c>
      <c r="H21" s="36">
        <f>(F21-G21)/G21</f>
        <v>1.9220191168956648E-2</v>
      </c>
      <c r="I21" s="144">
        <f>+F21+'[2]Cargo Summary'!I21</f>
        <v>18206.927844339851</v>
      </c>
      <c r="J21" s="144">
        <f>+J6+J11+J16</f>
        <v>14676.153950042972</v>
      </c>
      <c r="K21" s="83">
        <f>(I21-J21)/J21</f>
        <v>0.24057896273884077</v>
      </c>
      <c r="M21" s="34"/>
    </row>
    <row r="22" spans="1:13" ht="18" customHeight="1" thickBot="1" x14ac:dyDescent="0.25">
      <c r="A22" s="86" t="s">
        <v>62</v>
      </c>
      <c r="B22" s="170">
        <f>SUM(B20:B21)</f>
        <v>7290819</v>
      </c>
      <c r="C22" s="171">
        <f t="shared" ref="C22:J22" si="4">SUM(C20:C21)</f>
        <v>3902</v>
      </c>
      <c r="D22" s="171">
        <f t="shared" si="4"/>
        <v>39838294</v>
      </c>
      <c r="E22" s="171">
        <f t="shared" si="4"/>
        <v>47133015</v>
      </c>
      <c r="F22" s="171">
        <f t="shared" si="4"/>
        <v>21379.175979095548</v>
      </c>
      <c r="G22" s="171">
        <f t="shared" si="4"/>
        <v>18541.54429646596</v>
      </c>
      <c r="H22" s="296">
        <f>(F22-G22)/G22</f>
        <v>0.15304181988608381</v>
      </c>
      <c r="I22" s="171">
        <f>SUM(I20:I21)</f>
        <v>190452.00145315437</v>
      </c>
      <c r="J22" s="171">
        <f t="shared" si="4"/>
        <v>166845.98459374384</v>
      </c>
      <c r="K22" s="297">
        <f>(I22-J22)/J22</f>
        <v>0.1414838775826055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S17" sqref="S17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1.42578125" style="205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530" customWidth="1"/>
  </cols>
  <sheetData>
    <row r="1" spans="1:20" ht="13.5" thickBot="1" x14ac:dyDescent="0.25">
      <c r="F1" s="497"/>
      <c r="J1" s="3"/>
      <c r="K1"/>
    </row>
    <row r="2" spans="1:20" s="198" customFormat="1" ht="26.25" thickBot="1" x14ac:dyDescent="0.25">
      <c r="A2" s="573" t="s">
        <v>187</v>
      </c>
      <c r="B2" s="574"/>
      <c r="C2" s="428" t="s">
        <v>232</v>
      </c>
      <c r="D2" s="429" t="s">
        <v>207</v>
      </c>
      <c r="E2" s="541" t="s">
        <v>95</v>
      </c>
      <c r="F2" s="431" t="s">
        <v>233</v>
      </c>
      <c r="G2" s="429" t="s">
        <v>208</v>
      </c>
      <c r="H2" s="542" t="s">
        <v>96</v>
      </c>
      <c r="I2" s="430" t="s">
        <v>137</v>
      </c>
      <c r="J2" s="573" t="s">
        <v>183</v>
      </c>
      <c r="K2" s="574"/>
      <c r="L2" s="428" t="s">
        <v>232</v>
      </c>
      <c r="M2" s="429" t="s">
        <v>207</v>
      </c>
      <c r="N2" s="541" t="s">
        <v>95</v>
      </c>
      <c r="O2" s="431" t="s">
        <v>233</v>
      </c>
      <c r="P2" s="429" t="s">
        <v>208</v>
      </c>
      <c r="Q2" s="543" t="s">
        <v>96</v>
      </c>
      <c r="R2" s="430" t="s">
        <v>137</v>
      </c>
      <c r="T2" s="531"/>
    </row>
    <row r="3" spans="1:20" s="198" customFormat="1" ht="13.5" customHeight="1" thickBot="1" x14ac:dyDescent="0.25">
      <c r="A3" s="575">
        <v>44470</v>
      </c>
      <c r="B3" s="576"/>
      <c r="C3" s="577" t="s">
        <v>9</v>
      </c>
      <c r="D3" s="578"/>
      <c r="E3" s="578"/>
      <c r="F3" s="578"/>
      <c r="G3" s="578"/>
      <c r="H3" s="579"/>
      <c r="I3" s="477"/>
      <c r="J3" s="575">
        <f>+A3</f>
        <v>44470</v>
      </c>
      <c r="K3" s="576"/>
      <c r="L3" s="570" t="s">
        <v>184</v>
      </c>
      <c r="M3" s="571"/>
      <c r="N3" s="571"/>
      <c r="O3" s="571"/>
      <c r="P3" s="571"/>
      <c r="Q3" s="571"/>
      <c r="R3" s="572"/>
      <c r="T3" s="531"/>
    </row>
    <row r="4" spans="1:20" x14ac:dyDescent="0.2">
      <c r="A4" s="315"/>
      <c r="B4" s="316"/>
      <c r="C4" s="317"/>
      <c r="D4" s="318"/>
      <c r="E4" s="319"/>
      <c r="F4" s="498"/>
      <c r="G4" s="318"/>
      <c r="H4" s="441"/>
      <c r="I4" s="319"/>
      <c r="J4" s="320"/>
      <c r="K4" s="316"/>
      <c r="L4" s="449"/>
      <c r="N4" s="83"/>
      <c r="O4" s="52"/>
      <c r="R4" s="54"/>
    </row>
    <row r="5" spans="1:20" ht="14.1" customHeight="1" x14ac:dyDescent="0.2">
      <c r="A5" s="322" t="s">
        <v>218</v>
      </c>
      <c r="B5" s="54"/>
      <c r="C5" s="499">
        <f>SUM(C6:C7)</f>
        <v>180</v>
      </c>
      <c r="D5" s="499">
        <f>SUM(D6:D7)</f>
        <v>122</v>
      </c>
      <c r="E5" s="500">
        <f>(C5-D5)/D5</f>
        <v>0.47540983606557374</v>
      </c>
      <c r="F5" s="499">
        <f>SUM(F6:F7)</f>
        <v>1539</v>
      </c>
      <c r="G5" s="499">
        <f>SUM(G6:G7)</f>
        <v>931</v>
      </c>
      <c r="H5" s="501">
        <f>(F5-G5)/G5</f>
        <v>0.65306122448979587</v>
      </c>
      <c r="I5" s="500">
        <f>+F5/$F$33</f>
        <v>0.11336181496758986</v>
      </c>
      <c r="J5" s="322" t="s">
        <v>218</v>
      </c>
      <c r="K5" s="54"/>
      <c r="L5" s="499">
        <f>SUM(L6:L7)</f>
        <v>7071709</v>
      </c>
      <c r="M5" s="499">
        <f>SUM(M6:M7)</f>
        <v>2272511</v>
      </c>
      <c r="N5" s="500">
        <f>(L5-M5)/M5</f>
        <v>2.1118480834636224</v>
      </c>
      <c r="O5" s="499">
        <f>SUM(O6:O7)</f>
        <v>51782675</v>
      </c>
      <c r="P5" s="499">
        <f>SUM(P6:P7)</f>
        <v>23975158</v>
      </c>
      <c r="Q5" s="501">
        <f>(O5-P5)/P5</f>
        <v>1.1598470800484402</v>
      </c>
      <c r="R5" s="500">
        <f>O5/$O$33</f>
        <v>0.14018322135062067</v>
      </c>
      <c r="S5" s="19"/>
    </row>
    <row r="6" spans="1:20" ht="14.1" customHeight="1" x14ac:dyDescent="0.2">
      <c r="A6" s="52"/>
      <c r="B6" s="396" t="s">
        <v>219</v>
      </c>
      <c r="C6" s="502">
        <f>+'[3]Atlas Air'!$HM$19</f>
        <v>62</v>
      </c>
      <c r="D6" s="283">
        <f>+'[3]Atlas Air'!$GY$19</f>
        <v>6</v>
      </c>
      <c r="E6" s="503">
        <f>(C6-D6)/D6</f>
        <v>9.3333333333333339</v>
      </c>
      <c r="F6" s="502">
        <f>+SUM('[3]Atlas Air'!$HD$19:$HM$19)</f>
        <v>471</v>
      </c>
      <c r="G6" s="283">
        <f>+SUM('[3]Atlas Air'!$GP$19:$GY$19)</f>
        <v>286</v>
      </c>
      <c r="H6" s="486">
        <f>(F6-G6)/G6</f>
        <v>0.64685314685314688</v>
      </c>
      <c r="I6" s="503">
        <f>+F6/$F$33</f>
        <v>3.4693576900412491E-2</v>
      </c>
      <c r="J6" s="52"/>
      <c r="K6" s="396" t="s">
        <v>219</v>
      </c>
      <c r="L6" s="502">
        <f>+'[3]Atlas Air'!$HM$64</f>
        <v>3709887</v>
      </c>
      <c r="M6" s="283">
        <f>+'[3]Atlas Air'!$GY$64</f>
        <v>108135</v>
      </c>
      <c r="N6" s="503">
        <f>(L6-M6)/M6</f>
        <v>33.307920654737131</v>
      </c>
      <c r="O6" s="283">
        <f>+SUM('[3]Atlas Air'!$HD$64:$HM$64)</f>
        <v>22394123</v>
      </c>
      <c r="P6" s="283">
        <f>+SUM('[3]Atlas Air'!$GP$64:$GY$64)</f>
        <v>12516748</v>
      </c>
      <c r="Q6" s="486">
        <f>(O6-P6)/P6</f>
        <v>0.78913268845869555</v>
      </c>
      <c r="R6" s="503">
        <f>O6/$O$33</f>
        <v>6.06241431417366E-2</v>
      </c>
      <c r="S6" s="19"/>
    </row>
    <row r="7" spans="1:20" ht="14.1" customHeight="1" x14ac:dyDescent="0.2">
      <c r="A7" s="52"/>
      <c r="B7" s="396" t="s">
        <v>49</v>
      </c>
      <c r="C7" s="502">
        <f>+'[3]Sun Country Cargo'!$HM$19</f>
        <v>118</v>
      </c>
      <c r="D7" s="283">
        <f>+'[3]Sun Country Cargo'!$GY$19</f>
        <v>116</v>
      </c>
      <c r="E7" s="503">
        <f>(C7-D7)/D7</f>
        <v>1.7241379310344827E-2</v>
      </c>
      <c r="F7" s="502">
        <f>+SUM('[3]Sun Country Cargo'!$HD$19:$HM$19)</f>
        <v>1068</v>
      </c>
      <c r="G7" s="283">
        <f>+SUM('[3]Sun Country Cargo'!$GP$19:$GY$19)</f>
        <v>645</v>
      </c>
      <c r="H7" s="486">
        <f>(F7-G7)/G7</f>
        <v>0.65581395348837213</v>
      </c>
      <c r="I7" s="503">
        <f>+F7/$F$33</f>
        <v>7.8668238067177376E-2</v>
      </c>
      <c r="J7" s="52"/>
      <c r="K7" s="396" t="s">
        <v>49</v>
      </c>
      <c r="L7" s="502">
        <f>+'[3]Sun Country Cargo'!$HM$64</f>
        <v>3361822</v>
      </c>
      <c r="M7" s="283">
        <f>+'[3]Sun Country Cargo'!$GY$64</f>
        <v>2164376</v>
      </c>
      <c r="N7" s="503">
        <f>(L7-M7)/M7</f>
        <v>0.55325229997006065</v>
      </c>
      <c r="O7" s="283">
        <f>+SUM('[3]Sun Country Cargo'!$HD$64:$HM$64)</f>
        <v>29388552</v>
      </c>
      <c r="P7" s="283">
        <f>+SUM('[3]Sun Country Cargo'!$GP$64:$GY$64)</f>
        <v>11458410</v>
      </c>
      <c r="Q7" s="486">
        <f>(O7-P7)/P7</f>
        <v>1.5648019227798622</v>
      </c>
      <c r="R7" s="503">
        <f>O7/$O$33</f>
        <v>7.9559078208884068E-2</v>
      </c>
      <c r="S7" s="19"/>
    </row>
    <row r="8" spans="1:20" ht="14.1" customHeight="1" x14ac:dyDescent="0.2">
      <c r="A8" s="52"/>
      <c r="B8" s="54"/>
      <c r="F8" s="504"/>
      <c r="I8" s="83"/>
      <c r="J8" s="472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499">
        <f>SUM(C10:C17)</f>
        <v>128</v>
      </c>
      <c r="D9" s="499">
        <f>SUM(D10:D17)</f>
        <v>122</v>
      </c>
      <c r="E9" s="500">
        <f>(C9-D9)/D9</f>
        <v>4.9180327868852458E-2</v>
      </c>
      <c r="F9" s="499">
        <f>SUM(F10:F17)</f>
        <v>1326</v>
      </c>
      <c r="G9" s="499">
        <f>SUM(G10:G17)</f>
        <v>1309</v>
      </c>
      <c r="H9" s="501">
        <f>(F9-G9)/G9</f>
        <v>1.2987012987012988E-2</v>
      </c>
      <c r="I9" s="500">
        <f t="shared" ref="I9:I17" si="0">+F9/$F$33</f>
        <v>9.7672362993517975E-2</v>
      </c>
      <c r="J9" s="322" t="s">
        <v>220</v>
      </c>
      <c r="K9" s="54"/>
      <c r="L9" s="499">
        <f>SUM(L10:L17)</f>
        <v>1364839</v>
      </c>
      <c r="M9" s="499">
        <f>SUM(M10:M17)</f>
        <v>1045377</v>
      </c>
      <c r="N9" s="500">
        <f t="shared" ref="N9:N17" si="1">(L9-M9)/M9</f>
        <v>0.30559501500415642</v>
      </c>
      <c r="O9" s="499">
        <f>SUM(O10:O17)</f>
        <v>13545769.779999999</v>
      </c>
      <c r="P9" s="499">
        <f>SUM(P10:P17)</f>
        <v>13978426</v>
      </c>
      <c r="Q9" s="501">
        <f t="shared" ref="Q9:Q17" si="2">(O9-P9)/P9</f>
        <v>-3.0951712302944599E-2</v>
      </c>
      <c r="R9" s="500">
        <f t="shared" ref="R9:R17" si="3">O9/$O$33</f>
        <v>3.6670365975382466E-2</v>
      </c>
      <c r="S9" s="19"/>
    </row>
    <row r="10" spans="1:20" ht="14.1" customHeight="1" x14ac:dyDescent="0.2">
      <c r="A10" s="322"/>
      <c r="B10" s="396" t="s">
        <v>221</v>
      </c>
      <c r="C10" s="502">
        <f>+[3]Airborne!$HM$19</f>
        <v>2</v>
      </c>
      <c r="D10" s="283">
        <f>+[3]Airborne!$GY$19</f>
        <v>0</v>
      </c>
      <c r="E10" s="503" t="e">
        <f>(C10-D10)/D10</f>
        <v>#DIV/0!</v>
      </c>
      <c r="F10" s="502">
        <f>+SUM([3]Airborne!$HD$19:$HM$19)</f>
        <v>4</v>
      </c>
      <c r="G10" s="283">
        <f>+SUM([3]Airborne!$GP$19:$GY$19)</f>
        <v>0</v>
      </c>
      <c r="H10" s="486" t="e">
        <f>(F10-G10)/G10</f>
        <v>#DIV/0!</v>
      </c>
      <c r="I10" s="503">
        <f t="shared" si="0"/>
        <v>2.9463759575721861E-4</v>
      </c>
      <c r="J10" s="322"/>
      <c r="K10" s="396" t="s">
        <v>221</v>
      </c>
      <c r="L10" s="502">
        <f>+[3]Airborne!$HM$64</f>
        <v>79231</v>
      </c>
      <c r="M10" s="283">
        <f>+[3]Airborne!$GY$64</f>
        <v>0</v>
      </c>
      <c r="N10" s="503" t="e">
        <f t="shared" si="1"/>
        <v>#DIV/0!</v>
      </c>
      <c r="O10" s="502">
        <f>+SUM([3]Airborne!$HD$64:$HM$64)</f>
        <v>138942</v>
      </c>
      <c r="P10" s="283">
        <f>+SUM([3]Airborne!$GP$64:$GY$64)</f>
        <v>0</v>
      </c>
      <c r="Q10" s="486" t="e">
        <f t="shared" si="2"/>
        <v>#DIV/0!</v>
      </c>
      <c r="R10" s="503">
        <f t="shared" si="3"/>
        <v>3.7613617181611294E-4</v>
      </c>
      <c r="S10" s="19"/>
    </row>
    <row r="11" spans="1:20" ht="14.1" customHeight="1" x14ac:dyDescent="0.2">
      <c r="A11" s="322"/>
      <c r="B11" s="54" t="s">
        <v>219</v>
      </c>
      <c r="C11" s="502">
        <f>+[3]DHL_Atlas!$HM$19</f>
        <v>0</v>
      </c>
      <c r="D11" s="283">
        <f>+[3]DHL_Atlas!$GY$19</f>
        <v>0</v>
      </c>
      <c r="E11" s="503" t="e">
        <f t="shared" ref="E11:E17" si="4">(C11-D11)/D11</f>
        <v>#DIV/0!</v>
      </c>
      <c r="F11" s="502">
        <f>+SUM([3]DHL_Atlas!$HD$19:$HM$19)</f>
        <v>12</v>
      </c>
      <c r="G11" s="283">
        <f>+SUM([3]DHL_Atlas!$GP$19:$GY$19)</f>
        <v>6</v>
      </c>
      <c r="H11" s="486">
        <f t="shared" ref="H11:H17" si="5">(F11-G11)/G11</f>
        <v>1</v>
      </c>
      <c r="I11" s="503">
        <f t="shared" si="0"/>
        <v>8.839127872716559E-4</v>
      </c>
      <c r="J11" s="322"/>
      <c r="K11" s="54" t="s">
        <v>219</v>
      </c>
      <c r="L11" s="502">
        <f>+[3]DHL_Atlas!$HM$64</f>
        <v>0</v>
      </c>
      <c r="M11" s="283">
        <f>+[3]DHL_Atlas!$GY$64</f>
        <v>0</v>
      </c>
      <c r="N11" s="503" t="e">
        <f t="shared" si="1"/>
        <v>#DIV/0!</v>
      </c>
      <c r="O11" s="502">
        <f>+SUM([3]DHL_Atlas!$HD$64:$HM$64)</f>
        <v>259570</v>
      </c>
      <c r="P11" s="283">
        <f>+SUM([3]DHL_Atlas!$GP$64:$GY$64)</f>
        <v>186366</v>
      </c>
      <c r="Q11" s="486">
        <f t="shared" si="2"/>
        <v>0.39279696940429049</v>
      </c>
      <c r="R11" s="503">
        <f t="shared" si="3"/>
        <v>7.0269368598629956E-4</v>
      </c>
      <c r="S11" s="19"/>
    </row>
    <row r="12" spans="1:20" ht="14.1" customHeight="1" x14ac:dyDescent="0.2">
      <c r="A12" s="322"/>
      <c r="B12" s="54" t="s">
        <v>222</v>
      </c>
      <c r="C12" s="502">
        <f>+[3]DHL!$HM$19</f>
        <v>0</v>
      </c>
      <c r="D12" s="283">
        <f>+[3]DHL!$GY$19</f>
        <v>0</v>
      </c>
      <c r="E12" s="503" t="e">
        <f t="shared" si="4"/>
        <v>#DIV/0!</v>
      </c>
      <c r="F12" s="502">
        <f>+SUM([3]DHL!$HD$19:$HM$19)</f>
        <v>0</v>
      </c>
      <c r="G12" s="283">
        <f>+SUM([3]DHL!$GP$19:$GY$19)</f>
        <v>163</v>
      </c>
      <c r="H12" s="486">
        <f t="shared" si="5"/>
        <v>-1</v>
      </c>
      <c r="I12" s="503">
        <f t="shared" si="0"/>
        <v>0</v>
      </c>
      <c r="J12" s="322"/>
      <c r="K12" s="54" t="s">
        <v>222</v>
      </c>
      <c r="L12" s="502">
        <f>+[3]DHL!$HM$64</f>
        <v>0</v>
      </c>
      <c r="M12" s="283">
        <f>+[3]DHL!$GY$64</f>
        <v>0</v>
      </c>
      <c r="N12" s="503" t="e">
        <f t="shared" si="1"/>
        <v>#DIV/0!</v>
      </c>
      <c r="O12" s="502">
        <f>+SUM([3]DHL!$HD$64:$HM$64)</f>
        <v>0</v>
      </c>
      <c r="P12" s="283">
        <f>+SUM([3]DHL!$GP$64:$GY$64)</f>
        <v>5299897</v>
      </c>
      <c r="Q12" s="486">
        <f t="shared" si="2"/>
        <v>-1</v>
      </c>
      <c r="R12" s="503">
        <f t="shared" si="3"/>
        <v>0</v>
      </c>
      <c r="S12" s="19"/>
    </row>
    <row r="13" spans="1:20" ht="14.1" customHeight="1" x14ac:dyDescent="0.2">
      <c r="A13" s="322"/>
      <c r="B13" s="396" t="s">
        <v>83</v>
      </c>
      <c r="C13" s="502">
        <f>+[3]DHL_Bemidji!$HM$19</f>
        <v>84</v>
      </c>
      <c r="D13" s="283">
        <f>+[3]DHL_Bemidji!$GY$19</f>
        <v>0</v>
      </c>
      <c r="E13" s="503" t="e">
        <f>(C13-D13)/D13</f>
        <v>#DIV/0!</v>
      </c>
      <c r="F13" s="502">
        <f>+SUM([3]DHL_Bemidji!$HD$19:$HM$19)</f>
        <v>200</v>
      </c>
      <c r="G13" s="283">
        <f>+SUM([3]DHL_Bemidji!$GP$19:$GY$19)</f>
        <v>0</v>
      </c>
      <c r="H13" s="486" t="e">
        <f t="shared" si="5"/>
        <v>#DIV/0!</v>
      </c>
      <c r="I13" s="503">
        <f t="shared" si="0"/>
        <v>1.4731879787860931E-2</v>
      </c>
      <c r="J13" s="322"/>
      <c r="K13" s="396" t="s">
        <v>83</v>
      </c>
      <c r="L13" s="502">
        <f>+[3]DHL_Bemidji!$HM$64</f>
        <v>113821</v>
      </c>
      <c r="M13" s="283">
        <f>+[3]DHL_Bemidji!$GY$64</f>
        <v>0</v>
      </c>
      <c r="N13" s="503" t="e">
        <f t="shared" ref="N13" si="6">(L13-M13)/M13</f>
        <v>#DIV/0!</v>
      </c>
      <c r="O13" s="502">
        <f>+SUM([3]DHL_Bemidji!$HD$64:$HM$64)</f>
        <v>306385</v>
      </c>
      <c r="P13" s="283">
        <f>+SUM([3]DHL_Bemidji!$GP$64:$GY$64)</f>
        <v>0</v>
      </c>
      <c r="Q13" s="486" t="e">
        <f t="shared" ref="Q13" si="7">(O13-P13)/P13</f>
        <v>#DIV/0!</v>
      </c>
      <c r="R13" s="503">
        <f t="shared" si="3"/>
        <v>8.2942868968259966E-4</v>
      </c>
      <c r="S13" s="19"/>
    </row>
    <row r="14" spans="1:20" ht="14.1" customHeight="1" x14ac:dyDescent="0.2">
      <c r="A14" s="322"/>
      <c r="B14" s="54" t="s">
        <v>201</v>
      </c>
      <c r="C14" s="502">
        <f>+[3]Encore!$HM$19+[3]DHL_Encore!$HM$12</f>
        <v>0</v>
      </c>
      <c r="D14" s="283">
        <f>+[3]Encore!$GY$19+[3]DHL_Encore!$GY$19</f>
        <v>84</v>
      </c>
      <c r="E14" s="503">
        <f t="shared" si="4"/>
        <v>-1</v>
      </c>
      <c r="F14" s="502">
        <f>+SUM([3]Encore!$HD$19:$HM$19)+SUM([3]DHL_Encore!$HD$19:$HM$19)</f>
        <v>650</v>
      </c>
      <c r="G14" s="283">
        <f>+SUM([3]Encore!$GP$19:$GY$19)+SUM([3]DHL_Encore!$GP$19:$GY$19)</f>
        <v>858</v>
      </c>
      <c r="H14" s="486">
        <f t="shared" si="5"/>
        <v>-0.24242424242424243</v>
      </c>
      <c r="I14" s="503">
        <f t="shared" si="0"/>
        <v>4.7878609310548027E-2</v>
      </c>
      <c r="J14" s="322"/>
      <c r="K14" s="54" t="s">
        <v>201</v>
      </c>
      <c r="L14" s="502">
        <f>+[3]Encore!$HM$64+[3]DHL_Encore!$HM$64</f>
        <v>0</v>
      </c>
      <c r="M14" s="283">
        <f>+[3]Encore!$GY$64+[3]DHL_Encore!$GY$64</f>
        <v>121376</v>
      </c>
      <c r="N14" s="503">
        <f t="shared" si="1"/>
        <v>-1</v>
      </c>
      <c r="O14" s="502">
        <f>+SUM([3]Encore!$HD$64:$HM$64)+SUM([3]DHL_Encore!$HD$64:$HM$64)</f>
        <v>1112668</v>
      </c>
      <c r="P14" s="283">
        <f>+SUM([3]Encore!$GP$64:$GY$64)+SUM([3]DHL_Encore!$GP$64:$GY$64)</f>
        <v>1198055</v>
      </c>
      <c r="Q14" s="486">
        <f t="shared" si="2"/>
        <v>-7.1271352316880282E-2</v>
      </c>
      <c r="R14" s="503">
        <f t="shared" si="3"/>
        <v>3.0121538629233114E-3</v>
      </c>
      <c r="S14" s="19"/>
    </row>
    <row r="15" spans="1:20" ht="14.1" customHeight="1" x14ac:dyDescent="0.2">
      <c r="A15" s="322"/>
      <c r="B15" s="54" t="s">
        <v>223</v>
      </c>
      <c r="C15" s="502">
        <f>+[3]DHL_Kalitta!$HM$19</f>
        <v>38</v>
      </c>
      <c r="D15" s="283">
        <f>+[3]DHL_Kalitta!$GY$19</f>
        <v>0</v>
      </c>
      <c r="E15" s="503" t="e">
        <f t="shared" si="4"/>
        <v>#DIV/0!</v>
      </c>
      <c r="F15" s="502">
        <f>+SUM([3]DHL_Kalitta!$HD$19:$HM$19)</f>
        <v>168</v>
      </c>
      <c r="G15" s="283">
        <f>+SUM([3]DHL_Kalitta!$GP$19:$GY$19)</f>
        <v>36</v>
      </c>
      <c r="H15" s="486">
        <f t="shared" si="5"/>
        <v>3.6666666666666665</v>
      </c>
      <c r="I15" s="503">
        <f t="shared" si="0"/>
        <v>1.2374779021803181E-2</v>
      </c>
      <c r="J15" s="322"/>
      <c r="K15" s="54" t="s">
        <v>223</v>
      </c>
      <c r="L15" s="502">
        <f>+[3]DHL_Kalitta!$HM$64</f>
        <v>1050933</v>
      </c>
      <c r="M15" s="283">
        <f>+[3]DHL_Kalitta!$GY$64</f>
        <v>0</v>
      </c>
      <c r="N15" s="503" t="e">
        <f t="shared" si="1"/>
        <v>#DIV/0!</v>
      </c>
      <c r="O15" s="502">
        <f>+SUM([3]DHL_Kalitta!$HD$64:$HM$64)</f>
        <v>4528052.7799999993</v>
      </c>
      <c r="P15" s="283">
        <f>+SUM([3]DHL_Kalitta!$GP$64:$GY$64)</f>
        <v>872820</v>
      </c>
      <c r="Q15" s="486">
        <f t="shared" si="2"/>
        <v>4.1878426021401882</v>
      </c>
      <c r="R15" s="503">
        <f t="shared" si="3"/>
        <v>1.2258096460757062E-2</v>
      </c>
      <c r="S15" s="19"/>
    </row>
    <row r="16" spans="1:20" ht="14.1" customHeight="1" x14ac:dyDescent="0.2">
      <c r="A16" s="322"/>
      <c r="B16" s="54" t="s">
        <v>224</v>
      </c>
      <c r="C16" s="502">
        <f>+[3]DHL_Southair!$HM$19</f>
        <v>0</v>
      </c>
      <c r="D16" s="283">
        <f>+[3]DHL_Southair!$GY$19</f>
        <v>0</v>
      </c>
      <c r="E16" s="503" t="e">
        <f t="shared" si="4"/>
        <v>#DIV/0!</v>
      </c>
      <c r="F16" s="502">
        <f>+SUM([3]DHL_Southair!$HD$19:$HM$19)</f>
        <v>0</v>
      </c>
      <c r="G16" s="283">
        <f>+SUM([3]DHL_Southair!$GP$19:$GY$19)</f>
        <v>4</v>
      </c>
      <c r="H16" s="486">
        <f t="shared" si="5"/>
        <v>-1</v>
      </c>
      <c r="I16" s="503">
        <f t="shared" si="0"/>
        <v>0</v>
      </c>
      <c r="J16" s="322"/>
      <c r="K16" s="54" t="s">
        <v>224</v>
      </c>
      <c r="L16" s="502">
        <f>+[3]DHL_Southair!$HM$64</f>
        <v>0</v>
      </c>
      <c r="M16" s="283">
        <f>+[3]DHL_Southair!$GY$64</f>
        <v>0</v>
      </c>
      <c r="N16" s="503" t="e">
        <f t="shared" si="1"/>
        <v>#DIV/0!</v>
      </c>
      <c r="O16" s="502">
        <f>+SUM([3]DHL_Southair!$HD$64:$HM$64)</f>
        <v>0</v>
      </c>
      <c r="P16" s="283">
        <f>+SUM([3]DHL_Southair!$GP$64:$GY$64)</f>
        <v>46833</v>
      </c>
      <c r="Q16" s="486">
        <f t="shared" si="2"/>
        <v>-1</v>
      </c>
      <c r="R16" s="503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2">
        <f>+[3]DHL_Swift!$HM$19</f>
        <v>4</v>
      </c>
      <c r="D17" s="283">
        <f>+[3]DHL_Swift!$GY$19</f>
        <v>38</v>
      </c>
      <c r="E17" s="503">
        <f t="shared" si="4"/>
        <v>-0.89473684210526316</v>
      </c>
      <c r="F17" s="502">
        <f>+SUM([3]DHL_Swift!$HD$19:$HM$19)</f>
        <v>292</v>
      </c>
      <c r="G17" s="283">
        <f>+SUM([3]DHL_Swift!$GP$19:$GY$19)</f>
        <v>242</v>
      </c>
      <c r="H17" s="486">
        <f t="shared" si="5"/>
        <v>0.20661157024793389</v>
      </c>
      <c r="I17" s="503">
        <f t="shared" si="0"/>
        <v>2.1508544490276959E-2</v>
      </c>
      <c r="J17" s="322"/>
      <c r="K17" s="54" t="s">
        <v>225</v>
      </c>
      <c r="L17" s="502">
        <f>+[3]DHL_Swift!$HM$64</f>
        <v>120854</v>
      </c>
      <c r="M17" s="283">
        <f>+[3]DHL_Swift!$GY$64</f>
        <v>924001</v>
      </c>
      <c r="N17" s="503">
        <f t="shared" si="1"/>
        <v>-0.86920576925782544</v>
      </c>
      <c r="O17" s="502">
        <f>+SUM([3]DHL_Swift!$HD$64:$HM$64)</f>
        <v>7200152</v>
      </c>
      <c r="P17" s="283">
        <f>+SUM([3]DHL_Swift!$GP$64:$GY$64)</f>
        <v>6374455</v>
      </c>
      <c r="Q17" s="486">
        <f t="shared" si="2"/>
        <v>0.12953217176997878</v>
      </c>
      <c r="R17" s="503">
        <f t="shared" si="3"/>
        <v>1.9491857104217077E-2</v>
      </c>
      <c r="S17" s="19"/>
    </row>
    <row r="18" spans="1:20" ht="14.1" customHeight="1" x14ac:dyDescent="0.2">
      <c r="A18" s="322"/>
      <c r="B18" s="54"/>
      <c r="C18" s="473"/>
      <c r="D18" s="465"/>
      <c r="E18" s="474"/>
      <c r="F18" s="473"/>
      <c r="G18" s="465"/>
      <c r="H18" s="475"/>
      <c r="I18" s="474"/>
      <c r="J18" s="322"/>
      <c r="K18" s="54"/>
      <c r="L18" s="449"/>
      <c r="N18" s="83"/>
      <c r="O18" s="449"/>
      <c r="P18" s="465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05">
        <f>SUM(C20:C23)</f>
        <v>366</v>
      </c>
      <c r="D19" s="499">
        <f>SUM(D20:D23)</f>
        <v>376</v>
      </c>
      <c r="E19" s="500">
        <f>(C19-D19)/D19</f>
        <v>-2.6595744680851064E-2</v>
      </c>
      <c r="F19" s="505">
        <f>SUM(F20:F23)</f>
        <v>3592</v>
      </c>
      <c r="G19" s="499">
        <f>SUM(G20:G23)</f>
        <v>3221</v>
      </c>
      <c r="H19" s="501">
        <f t="shared" ref="H19:H20" si="8">(F19-G19)/G19</f>
        <v>0.11518162061471593</v>
      </c>
      <c r="I19" s="500">
        <f>+F19/$F$33</f>
        <v>0.26458456098998234</v>
      </c>
      <c r="J19" s="322" t="s">
        <v>185</v>
      </c>
      <c r="K19" s="54"/>
      <c r="L19" s="505">
        <f>SUM(L20:L23)</f>
        <v>17320836</v>
      </c>
      <c r="M19" s="499">
        <f>SUM(M20:M23)</f>
        <v>17873662</v>
      </c>
      <c r="N19" s="500">
        <f>(L19-M19)/M19</f>
        <v>-3.0929643852502079E-2</v>
      </c>
      <c r="O19" s="505">
        <f>SUM(O20:O23)</f>
        <v>167735007</v>
      </c>
      <c r="P19" s="499">
        <f>SUM(P20:P23)</f>
        <v>161307689</v>
      </c>
      <c r="Q19" s="501">
        <f t="shared" ref="Q19:Q21" si="9">(O19-P19)/P19</f>
        <v>3.9845081408363618E-2</v>
      </c>
      <c r="R19" s="500">
        <f>O19/$O$33</f>
        <v>0.45408302322212801</v>
      </c>
      <c r="S19" s="19"/>
    </row>
    <row r="20" spans="1:20" ht="14.1" customHeight="1" x14ac:dyDescent="0.2">
      <c r="A20" s="52"/>
      <c r="B20" s="396" t="s">
        <v>185</v>
      </c>
      <c r="C20" s="502">
        <f>+[3]FedEx!$HM$19</f>
        <v>290</v>
      </c>
      <c r="D20" s="283">
        <f>+[3]FedEx!$GY$19</f>
        <v>298</v>
      </c>
      <c r="E20" s="503">
        <f>(C20-D20)/D20</f>
        <v>-2.6845637583892617E-2</v>
      </c>
      <c r="F20" s="502">
        <f>+SUM([3]FedEx!$HD$19:$HM$19)</f>
        <v>2842</v>
      </c>
      <c r="G20" s="283">
        <f>+SUM([3]FedEx!$GP$19:$GY$19)</f>
        <v>2466</v>
      </c>
      <c r="H20" s="486">
        <f t="shared" si="8"/>
        <v>0.15247364152473641</v>
      </c>
      <c r="I20" s="503">
        <f>+F20/$F$33</f>
        <v>0.20934001178550382</v>
      </c>
      <c r="J20" s="322"/>
      <c r="K20" s="396" t="s">
        <v>185</v>
      </c>
      <c r="L20" s="502">
        <f>+[3]FedEx!$HM$64</f>
        <v>17078760</v>
      </c>
      <c r="M20" s="283">
        <f>+[3]FedEx!$GY$64</f>
        <v>17656230</v>
      </c>
      <c r="N20" s="503">
        <f>(L20-M20)/M20</f>
        <v>-3.2706302534572781E-2</v>
      </c>
      <c r="O20" s="502">
        <f>+SUM([3]FedEx!$HD$64:$HM$64)</f>
        <v>165691908</v>
      </c>
      <c r="P20" s="283">
        <f>+SUM([3]FedEx!$GP$64:$GY$64)</f>
        <v>158593986</v>
      </c>
      <c r="Q20" s="486">
        <f t="shared" si="9"/>
        <v>4.4755303646886083E-2</v>
      </c>
      <c r="R20" s="503">
        <f>O20/$O$33</f>
        <v>0.44855205752060268</v>
      </c>
      <c r="S20" s="19"/>
    </row>
    <row r="21" spans="1:20" ht="14.1" customHeight="1" x14ac:dyDescent="0.2">
      <c r="A21" s="52"/>
      <c r="B21" s="396" t="s">
        <v>226</v>
      </c>
      <c r="C21" s="502">
        <f>+'[3]Mountain Cargo'!$HM$19</f>
        <v>46</v>
      </c>
      <c r="D21" s="283">
        <f>+'[3]Mountain Cargo'!$GY$19</f>
        <v>46</v>
      </c>
      <c r="E21" s="503">
        <f>(C21-D21)/D21</f>
        <v>0</v>
      </c>
      <c r="F21" s="502">
        <f>+SUM('[3]Mountain Cargo'!$HD$19:$HM$19)</f>
        <v>432</v>
      </c>
      <c r="G21" s="283">
        <f>+SUM('[3]Mountain Cargo'!$GP$19:$GY$19)</f>
        <v>432</v>
      </c>
      <c r="H21" s="486">
        <f>(F21-G21)/G21</f>
        <v>0</v>
      </c>
      <c r="I21" s="503">
        <f>+F21/$F$33</f>
        <v>3.1820860341779611E-2</v>
      </c>
      <c r="J21" s="472"/>
      <c r="K21" s="396" t="s">
        <v>226</v>
      </c>
      <c r="L21" s="502">
        <f>+'[3]Mountain Cargo'!$HM$64</f>
        <v>186581</v>
      </c>
      <c r="M21" s="283">
        <f>+'[3]Mountain Cargo'!$GY$64</f>
        <v>156124</v>
      </c>
      <c r="N21" s="503">
        <f>(L21-M21)/M21</f>
        <v>0.19508211421690452</v>
      </c>
      <c r="O21" s="502">
        <f>+SUM('[3]Mountain Cargo'!$HD$64:$HM$64)</f>
        <v>1532352</v>
      </c>
      <c r="P21" s="283">
        <f>+SUM('[3]Mountain Cargo'!$GP$64:$GY$64)</f>
        <v>2178536</v>
      </c>
      <c r="Q21" s="486">
        <f t="shared" si="9"/>
        <v>-0.29661387280265278</v>
      </c>
      <c r="R21" s="503">
        <f>O21/$O$33</f>
        <v>4.1482993994239629E-3</v>
      </c>
      <c r="S21" s="19"/>
    </row>
    <row r="22" spans="1:20" ht="14.1" customHeight="1" x14ac:dyDescent="0.2">
      <c r="A22" s="52"/>
      <c r="B22" s="396" t="s">
        <v>177</v>
      </c>
      <c r="C22" s="502">
        <f>+[3]IFL!$HM$19</f>
        <v>30</v>
      </c>
      <c r="D22" s="283">
        <f>+[3]IFL!$GY$19</f>
        <v>32</v>
      </c>
      <c r="E22" s="503">
        <f>(C22-D22)/D22</f>
        <v>-6.25E-2</v>
      </c>
      <c r="F22" s="502">
        <f>+SUM([3]IFL!$HD$19:$HM$19)</f>
        <v>318</v>
      </c>
      <c r="G22" s="283">
        <f>+SUM([3]IFL!$GP$19:$GY$19)</f>
        <v>323</v>
      </c>
      <c r="H22" s="486">
        <f>(F22-G22)/G22</f>
        <v>-1.5479876160990712E-2</v>
      </c>
      <c r="I22" s="503">
        <f>+F22/$F$33</f>
        <v>2.3423688862698879E-2</v>
      </c>
      <c r="J22" s="472"/>
      <c r="K22" s="396" t="s">
        <v>177</v>
      </c>
      <c r="L22" s="502">
        <f>+[3]IFL!$HM$64</f>
        <v>55495</v>
      </c>
      <c r="M22" s="283">
        <f>+[3]IFL!$GY$64</f>
        <v>61308</v>
      </c>
      <c r="N22" s="503">
        <f>(L22-M22)/M22</f>
        <v>-9.4816337182749399E-2</v>
      </c>
      <c r="O22" s="502">
        <f>+SUM([3]IFL!$HD$64:$HM$64)</f>
        <v>510747</v>
      </c>
      <c r="P22" s="283">
        <f>+SUM([3]IFL!$GP$64:$GY$64)</f>
        <v>535167</v>
      </c>
      <c r="Q22" s="486">
        <f>(O22-P22)/P22</f>
        <v>-4.5630616237548279E-2</v>
      </c>
      <c r="R22" s="503">
        <f>O22/$O$33</f>
        <v>1.382666302101339E-3</v>
      </c>
      <c r="S22" s="19"/>
    </row>
    <row r="23" spans="1:20" ht="14.1" customHeight="1" x14ac:dyDescent="0.2">
      <c r="A23" s="322"/>
      <c r="B23" s="396" t="s">
        <v>84</v>
      </c>
      <c r="C23" s="502">
        <f>+'[3]CSA Air'!$HM$19</f>
        <v>0</v>
      </c>
      <c r="D23" s="283">
        <f>+'[3]CSA Air'!$GY$19</f>
        <v>0</v>
      </c>
      <c r="E23" s="503" t="e">
        <f>(C23-D23)/D23</f>
        <v>#DIV/0!</v>
      </c>
      <c r="F23" s="502">
        <f>+SUM('[3]CSA Air'!$HD$19:$HM$19)</f>
        <v>0</v>
      </c>
      <c r="G23" s="283">
        <f>+SUM('[3]CSA Air'!$GP$19:$GY$19)</f>
        <v>0</v>
      </c>
      <c r="H23" s="486" t="e">
        <f t="shared" ref="H23" si="10">(F23-G23)/G23</f>
        <v>#DIV/0!</v>
      </c>
      <c r="I23" s="503">
        <f>+F23/$F$33</f>
        <v>0</v>
      </c>
      <c r="J23" s="322"/>
      <c r="K23" s="396" t="s">
        <v>84</v>
      </c>
      <c r="L23" s="502">
        <f>+'[3]CSA Air'!$HM$64</f>
        <v>0</v>
      </c>
      <c r="M23" s="283">
        <f>+'[3]CSA Air'!$GY$64</f>
        <v>0</v>
      </c>
      <c r="N23" s="503" t="e">
        <f>(L23-M23)/M23</f>
        <v>#DIV/0!</v>
      </c>
      <c r="O23" s="502">
        <f>+SUM('[3]CSA Air'!$HD$64:$HM$64)</f>
        <v>0</v>
      </c>
      <c r="P23" s="283">
        <f>+SUM('[3]CSA Air'!$GP$64:$GY$64)</f>
        <v>0</v>
      </c>
      <c r="Q23" s="486" t="e">
        <f t="shared" ref="Q23" si="11">(O23-P23)/P23</f>
        <v>#DIV/0!</v>
      </c>
      <c r="R23" s="503">
        <f>O23/$O$33</f>
        <v>0</v>
      </c>
      <c r="S23" s="19"/>
    </row>
    <row r="24" spans="1:20" ht="14.1" customHeight="1" x14ac:dyDescent="0.2">
      <c r="A24" s="322"/>
      <c r="B24" s="54"/>
      <c r="C24" s="473"/>
      <c r="D24" s="465"/>
      <c r="E24" s="474"/>
      <c r="F24" s="473"/>
      <c r="G24" s="465"/>
      <c r="H24" s="475"/>
      <c r="I24" s="474"/>
      <c r="J24" s="322"/>
      <c r="K24" s="54"/>
      <c r="L24" s="449"/>
      <c r="N24" s="83"/>
      <c r="O24" s="449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499">
        <f>SUM(C26:C27)</f>
        <v>664</v>
      </c>
      <c r="D25" s="499">
        <f>SUM(D26:D27)</f>
        <v>734</v>
      </c>
      <c r="E25" s="500">
        <f>(C25-D25)/D25</f>
        <v>-9.5367847411444148E-2</v>
      </c>
      <c r="F25" s="499">
        <f>SUM(F26:F27)</f>
        <v>7113</v>
      </c>
      <c r="G25" s="499">
        <f>SUM(G26:G27)</f>
        <v>6714</v>
      </c>
      <c r="H25" s="501">
        <f>(F25-G25)/G25</f>
        <v>5.9428060768543345E-2</v>
      </c>
      <c r="I25" s="500">
        <f>+F25/$F$33</f>
        <v>0.52393930465527405</v>
      </c>
      <c r="J25" s="322" t="s">
        <v>82</v>
      </c>
      <c r="K25" s="54"/>
      <c r="L25" s="499">
        <f>SUM(L26:L27)</f>
        <v>14080910</v>
      </c>
      <c r="M25" s="499">
        <f>SUM(M26:M27)</f>
        <v>15710245</v>
      </c>
      <c r="N25" s="500">
        <f>(L25-M25)/M25</f>
        <v>-0.1037116225749503</v>
      </c>
      <c r="O25" s="499">
        <f>SUM(O26:O27)</f>
        <v>136321860</v>
      </c>
      <c r="P25" s="499">
        <f>SUM(P26:P27)</f>
        <v>124194035</v>
      </c>
      <c r="Q25" s="501">
        <f>(O25-P25)/P25</f>
        <v>9.765223426390808E-2</v>
      </c>
      <c r="R25" s="500">
        <f>O25/$O$33</f>
        <v>0.36904307232695727</v>
      </c>
      <c r="S25" s="432"/>
      <c r="T25" s="532"/>
    </row>
    <row r="26" spans="1:20" s="7" customFormat="1" ht="14.1" customHeight="1" x14ac:dyDescent="0.2">
      <c r="A26" s="322"/>
      <c r="B26" s="396" t="s">
        <v>82</v>
      </c>
      <c r="C26" s="502">
        <f>+[3]UPS!$HM$19</f>
        <v>278</v>
      </c>
      <c r="D26" s="283">
        <f>+[3]UPS!$GY$19</f>
        <v>328</v>
      </c>
      <c r="E26" s="503">
        <f>(C26-D26)/D26</f>
        <v>-0.1524390243902439</v>
      </c>
      <c r="F26" s="502">
        <f>+SUM([3]UPS!$HD$19:$HM$19)</f>
        <v>2989</v>
      </c>
      <c r="G26" s="283">
        <f>+SUM([3]UPS!$GP$19:$GY$19)</f>
        <v>2768</v>
      </c>
      <c r="H26" s="486">
        <f>(F26-G26)/G26</f>
        <v>7.9841040462427751E-2</v>
      </c>
      <c r="I26" s="503">
        <f>+F26/$F$33</f>
        <v>0.22016794342958163</v>
      </c>
      <c r="J26" s="322"/>
      <c r="K26" s="396" t="s">
        <v>82</v>
      </c>
      <c r="L26" s="502">
        <f>+[3]UPS!$HM$64</f>
        <v>14080910</v>
      </c>
      <c r="M26" s="283">
        <f>+[3]UPS!$GY$64</f>
        <v>15710245</v>
      </c>
      <c r="N26" s="503">
        <f>(L26-M26)/M26</f>
        <v>-0.1037116225749503</v>
      </c>
      <c r="O26" s="502">
        <f>+SUM([3]UPS!$HD$64:$HM$64)</f>
        <v>136321860</v>
      </c>
      <c r="P26" s="283">
        <f>+SUM([3]UPS!$GP$64:$GY$64)</f>
        <v>124194035</v>
      </c>
      <c r="Q26" s="486">
        <f>(O26-P26)/P26</f>
        <v>9.765223426390808E-2</v>
      </c>
      <c r="R26" s="503">
        <f>O26/$O$33</f>
        <v>0.36904307232695727</v>
      </c>
      <c r="S26" s="432"/>
      <c r="T26" s="532"/>
    </row>
    <row r="27" spans="1:20" x14ac:dyDescent="0.2">
      <c r="A27" s="322"/>
      <c r="B27" s="396" t="s">
        <v>83</v>
      </c>
      <c r="C27" s="502">
        <f>+[3]Bemidji!$HM$19</f>
        <v>386</v>
      </c>
      <c r="D27" s="283">
        <f>+[3]Bemidji!$GY$19</f>
        <v>406</v>
      </c>
      <c r="E27" s="503">
        <f>(C27-D27)/D27</f>
        <v>-4.9261083743842367E-2</v>
      </c>
      <c r="F27" s="502">
        <f>+SUM([3]Bemidji!$HD$19:$HM$19)</f>
        <v>4124</v>
      </c>
      <c r="G27" s="283">
        <f>+SUM([3]Bemidji!$GP$19:$GY$19)</f>
        <v>3946</v>
      </c>
      <c r="H27" s="486">
        <f t="shared" ref="H27" si="12">(F27-G27)/G27</f>
        <v>4.5108971109984797E-2</v>
      </c>
      <c r="I27" s="503">
        <f>+F27/$F$33</f>
        <v>0.30377136122569237</v>
      </c>
      <c r="J27" s="322"/>
      <c r="K27" s="396" t="s">
        <v>83</v>
      </c>
      <c r="L27" s="567" t="s">
        <v>188</v>
      </c>
      <c r="M27" s="568"/>
      <c r="N27" s="568"/>
      <c r="O27" s="568"/>
      <c r="P27" s="568"/>
      <c r="Q27" s="568"/>
      <c r="R27" s="569"/>
    </row>
    <row r="28" spans="1:20" s="435" customFormat="1" x14ac:dyDescent="0.2">
      <c r="A28" s="52"/>
      <c r="B28" s="54"/>
      <c r="C28" s="473"/>
      <c r="D28" s="2"/>
      <c r="E28" s="83"/>
      <c r="F28" s="449"/>
      <c r="G28" s="2"/>
      <c r="H28" s="3"/>
      <c r="I28" s="83"/>
      <c r="J28" s="52"/>
      <c r="K28" s="54"/>
      <c r="L28" s="449"/>
      <c r="M28" s="2"/>
      <c r="N28" s="83"/>
      <c r="O28" s="449"/>
      <c r="P28" s="2"/>
      <c r="Q28" s="3"/>
      <c r="R28" s="83"/>
      <c r="T28" s="530"/>
    </row>
    <row r="29" spans="1:20" x14ac:dyDescent="0.2">
      <c r="A29" s="322" t="s">
        <v>127</v>
      </c>
      <c r="B29" s="54"/>
      <c r="C29" s="505">
        <f>+'[3]Misc Cargo'!$HM$19</f>
        <v>0</v>
      </c>
      <c r="D29" s="499">
        <f>+'[3]Misc Cargo'!$GY$19</f>
        <v>2</v>
      </c>
      <c r="E29" s="500">
        <f>(C29-D29)/D29</f>
        <v>-1</v>
      </c>
      <c r="F29" s="505">
        <f>+SUM('[3]Misc Cargo'!$HD$19:$HM$19)</f>
        <v>6</v>
      </c>
      <c r="G29" s="499">
        <f>+SUM('[3]Misc Cargo'!$GP$19:$GY$19)</f>
        <v>15</v>
      </c>
      <c r="H29" s="501">
        <f>(F29-G29)/G29</f>
        <v>-0.6</v>
      </c>
      <c r="I29" s="500">
        <f>+F29/$F$33</f>
        <v>4.4195639363582795E-4</v>
      </c>
      <c r="J29" s="322" t="s">
        <v>127</v>
      </c>
      <c r="K29" s="54"/>
      <c r="L29" s="505">
        <f>+'[3]Misc Cargo'!$HM$64</f>
        <v>0</v>
      </c>
      <c r="M29" s="499">
        <f>+'[3]Misc Cargo'!$GY$64</f>
        <v>3206</v>
      </c>
      <c r="N29" s="500">
        <f>(L29-M29)/M29</f>
        <v>-1</v>
      </c>
      <c r="O29" s="505">
        <f>+SUM('[3]Misc Cargo'!$HD$64:$HM$64)</f>
        <v>7505</v>
      </c>
      <c r="P29" s="499">
        <f>+SUM('[3]Misc Cargo'!$GP$64:$GY$64)</f>
        <v>271761</v>
      </c>
      <c r="Q29" s="501">
        <f>(O29-P29)/P29</f>
        <v>-0.97238382254996114</v>
      </c>
      <c r="R29" s="500">
        <f>O29/$O$33</f>
        <v>2.031712491168925E-5</v>
      </c>
    </row>
    <row r="30" spans="1:20" x14ac:dyDescent="0.2">
      <c r="A30" s="52"/>
      <c r="B30" s="54"/>
      <c r="C30" s="473"/>
      <c r="E30" s="83"/>
      <c r="F30" s="449"/>
      <c r="I30" s="83"/>
      <c r="J30" s="52"/>
      <c r="K30" s="54"/>
      <c r="L30" s="449"/>
      <c r="N30" s="83"/>
      <c r="O30" s="449"/>
      <c r="P30" s="2"/>
      <c r="Q30" s="3"/>
      <c r="R30" s="83"/>
    </row>
    <row r="31" spans="1:20" ht="13.5" thickBot="1" x14ac:dyDescent="0.25">
      <c r="A31" s="433"/>
      <c r="B31" s="506"/>
      <c r="C31" s="507"/>
      <c r="D31" s="508"/>
      <c r="E31" s="509"/>
      <c r="F31" s="507"/>
      <c r="G31" s="508"/>
      <c r="H31" s="510"/>
      <c r="I31" s="509"/>
      <c r="J31" s="322"/>
      <c r="K31" s="54"/>
      <c r="L31" s="511"/>
      <c r="M31" s="340"/>
      <c r="N31" s="512"/>
      <c r="O31" s="511"/>
      <c r="P31" s="340"/>
      <c r="Q31" s="513"/>
      <c r="R31" s="506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6" t="s">
        <v>186</v>
      </c>
      <c r="C33" s="437">
        <f>+C29+C25+C19+C9+C5</f>
        <v>1338</v>
      </c>
      <c r="D33" s="437">
        <f>+D29+D25+D19+D9+D5</f>
        <v>1356</v>
      </c>
      <c r="E33" s="438">
        <f>(C33-D33)/D33</f>
        <v>-1.3274336283185841E-2</v>
      </c>
      <c r="F33" s="437">
        <f>+F29+F25+F19+F9+F5</f>
        <v>13576</v>
      </c>
      <c r="G33" s="437">
        <f>+G29+G25+G19+G9+G5</f>
        <v>12190</v>
      </c>
      <c r="H33" s="439">
        <f>(F33-G33)/G33</f>
        <v>0.11369975389663659</v>
      </c>
      <c r="I33" s="452"/>
      <c r="J33"/>
      <c r="K33" s="436" t="s">
        <v>186</v>
      </c>
      <c r="L33" s="437">
        <f>+L29+L25+L19+L9+L5</f>
        <v>39838294</v>
      </c>
      <c r="M33" s="437">
        <f>+M29+M25+M19+M9+M5</f>
        <v>36905001</v>
      </c>
      <c r="N33" s="440">
        <f>(L33-M33)/M33</f>
        <v>7.9482263122008859E-2</v>
      </c>
      <c r="O33" s="437">
        <f>+O29+O25+O19+O9+O5</f>
        <v>369392816.77999997</v>
      </c>
      <c r="P33" s="437">
        <f>+P29+P25+P19+P9+P5</f>
        <v>323727069</v>
      </c>
      <c r="Q33" s="439">
        <f t="shared" ref="Q33" si="13">(O33-P33)/P33</f>
        <v>0.14106249415923872</v>
      </c>
      <c r="R33" s="452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 s="128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0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October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2021-12-16T15:42:23Z</dcterms:modified>
</cp:coreProperties>
</file>