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Activity'!$A$1:$R$66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H49" i="3" l="1"/>
  <c r="G49" i="3"/>
  <c r="H48" i="3"/>
  <c r="G48" i="3"/>
  <c r="C21" i="1" l="1"/>
  <c r="B21" i="1"/>
  <c r="J35" i="16" l="1"/>
  <c r="J34" i="16"/>
  <c r="J37" i="16" s="1"/>
  <c r="J28" i="16"/>
  <c r="J27" i="16"/>
  <c r="J30" i="16" s="1"/>
  <c r="J22" i="16"/>
  <c r="J21" i="16"/>
  <c r="J23" i="16" s="1"/>
  <c r="J17" i="16"/>
  <c r="J16" i="16"/>
  <c r="J10" i="16"/>
  <c r="J9" i="16"/>
  <c r="J11" i="16" s="1"/>
  <c r="J5" i="16"/>
  <c r="J4" i="16"/>
  <c r="J6" i="16" s="1"/>
  <c r="J18" i="16" l="1"/>
  <c r="K10" i="16"/>
  <c r="K9" i="16"/>
  <c r="K5" i="16"/>
  <c r="K4" i="16"/>
  <c r="K35" i="16" l="1"/>
  <c r="K34" i="16"/>
  <c r="K28" i="16"/>
  <c r="K27" i="16"/>
  <c r="K22" i="16"/>
  <c r="K21" i="16"/>
  <c r="K17" i="16"/>
  <c r="K16" i="16"/>
  <c r="J16" i="5" l="1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4" i="7" l="1"/>
  <c r="O23" i="7"/>
  <c r="J24" i="7"/>
  <c r="G25" i="7"/>
  <c r="H25" i="7"/>
  <c r="I25" i="7"/>
  <c r="E24" i="7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5" i="9"/>
  <c r="M45" i="9"/>
  <c r="G45" i="9"/>
  <c r="D45" i="9"/>
  <c r="P43" i="9"/>
  <c r="M43" i="9"/>
  <c r="G43" i="9"/>
  <c r="D43" i="9"/>
  <c r="P41" i="9"/>
  <c r="M41" i="9"/>
  <c r="G41" i="9"/>
  <c r="D41" i="9"/>
  <c r="P39" i="9"/>
  <c r="M39" i="9"/>
  <c r="G39" i="9"/>
  <c r="D39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31" i="9"/>
  <c r="M31" i="9"/>
  <c r="G31" i="9"/>
  <c r="D31" i="9"/>
  <c r="P28" i="9"/>
  <c r="M28" i="9"/>
  <c r="G28" i="9"/>
  <c r="D28" i="9"/>
  <c r="P26" i="9"/>
  <c r="M26" i="9"/>
  <c r="G26" i="9"/>
  <c r="D26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8" i="9"/>
  <c r="M18" i="9"/>
  <c r="G18" i="9"/>
  <c r="D18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5" i="9"/>
  <c r="L45" i="9"/>
  <c r="F45" i="9"/>
  <c r="C45" i="9"/>
  <c r="O43" i="9"/>
  <c r="L43" i="9"/>
  <c r="F43" i="9"/>
  <c r="C43" i="9"/>
  <c r="O41" i="9"/>
  <c r="L41" i="9"/>
  <c r="F41" i="9"/>
  <c r="C41" i="9"/>
  <c r="O39" i="9"/>
  <c r="L39" i="9"/>
  <c r="F39" i="9"/>
  <c r="C39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31" i="9"/>
  <c r="L31" i="9"/>
  <c r="F31" i="9"/>
  <c r="C31" i="9"/>
  <c r="O28" i="9"/>
  <c r="L28" i="9"/>
  <c r="F28" i="9"/>
  <c r="C28" i="9"/>
  <c r="O26" i="9"/>
  <c r="L26" i="9"/>
  <c r="F26" i="9"/>
  <c r="C26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8" i="9"/>
  <c r="L18" i="9"/>
  <c r="F18" i="9"/>
  <c r="C18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N35" i="16"/>
  <c r="M35" i="16"/>
  <c r="L35" i="16"/>
  <c r="I35" i="16"/>
  <c r="H35" i="16"/>
  <c r="G35" i="16"/>
  <c r="F35" i="16"/>
  <c r="E35" i="16"/>
  <c r="D35" i="16"/>
  <c r="C35" i="16"/>
  <c r="B35" i="16"/>
  <c r="N34" i="16"/>
  <c r="M34" i="16"/>
  <c r="L34" i="16"/>
  <c r="I34" i="16"/>
  <c r="H34" i="16"/>
  <c r="G34" i="16"/>
  <c r="F34" i="16"/>
  <c r="E34" i="16"/>
  <c r="D34" i="16"/>
  <c r="C34" i="16"/>
  <c r="B34" i="16"/>
  <c r="N28" i="16"/>
  <c r="M28" i="16"/>
  <c r="L28" i="16"/>
  <c r="I28" i="16"/>
  <c r="H28" i="16"/>
  <c r="G28" i="16"/>
  <c r="F28" i="16"/>
  <c r="E28" i="16"/>
  <c r="D28" i="16"/>
  <c r="C28" i="16"/>
  <c r="B28" i="16"/>
  <c r="N27" i="16"/>
  <c r="M27" i="16"/>
  <c r="L27" i="16"/>
  <c r="I27" i="16"/>
  <c r="H27" i="16"/>
  <c r="G27" i="16"/>
  <c r="F27" i="16"/>
  <c r="E27" i="16"/>
  <c r="D27" i="16"/>
  <c r="C27" i="16"/>
  <c r="B27" i="16"/>
  <c r="N22" i="16"/>
  <c r="M22" i="16"/>
  <c r="L22" i="16"/>
  <c r="I22" i="16"/>
  <c r="H22" i="16"/>
  <c r="G22" i="16"/>
  <c r="F22" i="16"/>
  <c r="E22" i="16"/>
  <c r="D22" i="16"/>
  <c r="C22" i="16"/>
  <c r="B22" i="16"/>
  <c r="N21" i="16"/>
  <c r="M21" i="16"/>
  <c r="L21" i="16"/>
  <c r="I21" i="16"/>
  <c r="H21" i="16"/>
  <c r="G21" i="16"/>
  <c r="F21" i="16"/>
  <c r="E21" i="16"/>
  <c r="D21" i="16"/>
  <c r="C21" i="16"/>
  <c r="B21" i="16"/>
  <c r="N17" i="16"/>
  <c r="M17" i="16"/>
  <c r="L17" i="16"/>
  <c r="I17" i="16"/>
  <c r="H17" i="16"/>
  <c r="G17" i="16"/>
  <c r="F17" i="16"/>
  <c r="E17" i="16"/>
  <c r="D17" i="16"/>
  <c r="C17" i="16"/>
  <c r="B17" i="16"/>
  <c r="N16" i="16"/>
  <c r="M16" i="16"/>
  <c r="L16" i="16"/>
  <c r="I16" i="16"/>
  <c r="H16" i="16"/>
  <c r="G16" i="16"/>
  <c r="F16" i="16"/>
  <c r="E16" i="16"/>
  <c r="D16" i="16"/>
  <c r="C16" i="16"/>
  <c r="B16" i="16"/>
  <c r="N10" i="16"/>
  <c r="M10" i="16"/>
  <c r="L10" i="16"/>
  <c r="I10" i="16"/>
  <c r="H10" i="16"/>
  <c r="G10" i="16"/>
  <c r="F10" i="16"/>
  <c r="E10" i="16"/>
  <c r="D10" i="16"/>
  <c r="C10" i="16"/>
  <c r="B10" i="16"/>
  <c r="N9" i="16"/>
  <c r="M9" i="16"/>
  <c r="L9" i="16"/>
  <c r="I9" i="16"/>
  <c r="H9" i="16"/>
  <c r="G9" i="16"/>
  <c r="F9" i="16"/>
  <c r="E9" i="16"/>
  <c r="D9" i="16"/>
  <c r="C9" i="16"/>
  <c r="B9" i="16"/>
  <c r="N5" i="16"/>
  <c r="M5" i="16"/>
  <c r="L5" i="16"/>
  <c r="I5" i="16"/>
  <c r="H5" i="16"/>
  <c r="G5" i="16"/>
  <c r="F5" i="16"/>
  <c r="E5" i="16"/>
  <c r="D5" i="16"/>
  <c r="C5" i="16"/>
  <c r="B5" i="16"/>
  <c r="N4" i="16"/>
  <c r="M4" i="16"/>
  <c r="L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O17" i="16" l="1"/>
  <c r="O28" i="16"/>
  <c r="O35" i="16"/>
  <c r="O34" i="16"/>
  <c r="O16" i="16"/>
  <c r="O27" i="16"/>
  <c r="O22" i="16"/>
  <c r="O21" i="16"/>
  <c r="Q45" i="9"/>
  <c r="H21" i="2" l="1"/>
  <c r="H44" i="2"/>
  <c r="H6" i="2"/>
  <c r="H17" i="2"/>
  <c r="H40" i="2"/>
  <c r="H43" i="2"/>
  <c r="H35" i="2"/>
  <c r="E45" i="9"/>
  <c r="N45" i="9"/>
  <c r="H11" i="2"/>
  <c r="H45" i="9"/>
  <c r="H30" i="2"/>
  <c r="H45" i="2" l="1"/>
  <c r="H23" i="2"/>
  <c r="J23" i="7"/>
  <c r="E23" i="7"/>
  <c r="L47" i="15" l="1"/>
  <c r="L46" i="15"/>
  <c r="C65" i="9"/>
  <c r="N22" i="9"/>
  <c r="G37" i="4"/>
  <c r="G7" i="4" l="1"/>
  <c r="G17" i="4"/>
  <c r="G27" i="4"/>
  <c r="G12" i="4"/>
  <c r="G32" i="4"/>
  <c r="E22" i="9"/>
  <c r="G41" i="4"/>
  <c r="G20" i="4"/>
  <c r="Q22" i="9"/>
  <c r="H22" i="9"/>
  <c r="G40" i="4"/>
  <c r="O22" i="7"/>
  <c r="J22" i="7"/>
  <c r="E22" i="7"/>
  <c r="G21" i="4" l="1"/>
  <c r="P54" i="9"/>
  <c r="P65" i="9"/>
  <c r="G42" i="4"/>
  <c r="G65" i="9"/>
  <c r="D65" i="9"/>
  <c r="M65" i="9"/>
  <c r="F65" i="9"/>
  <c r="O65" i="9"/>
  <c r="L65" i="9"/>
  <c r="O30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1" i="9"/>
  <c r="N21" i="9"/>
  <c r="J20" i="4"/>
  <c r="D12" i="15"/>
  <c r="D20" i="15"/>
  <c r="D21" i="15" s="1"/>
  <c r="D32" i="15"/>
  <c r="Q21" i="9"/>
  <c r="D22" i="3"/>
  <c r="D7" i="3"/>
  <c r="D40" i="3"/>
  <c r="E7" i="3"/>
  <c r="E18" i="3"/>
  <c r="E30" i="3"/>
  <c r="H26" i="9"/>
  <c r="Q26" i="9"/>
  <c r="J17" i="4"/>
  <c r="J27" i="4"/>
  <c r="J41" i="4"/>
  <c r="D41" i="15"/>
  <c r="E12" i="3"/>
  <c r="E35" i="3"/>
  <c r="I20" i="4"/>
  <c r="J37" i="4"/>
  <c r="H21" i="9"/>
  <c r="J12" i="4"/>
  <c r="D12" i="3"/>
  <c r="D35" i="3"/>
  <c r="I7" i="4"/>
  <c r="I27" i="4"/>
  <c r="N59" i="9"/>
  <c r="E26" i="9"/>
  <c r="H59" i="9"/>
  <c r="Q59" i="9"/>
  <c r="N26" i="9"/>
  <c r="E59" i="9"/>
  <c r="H9" i="9"/>
  <c r="E9" i="9"/>
  <c r="Q9" i="9"/>
  <c r="N9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7" i="9" l="1"/>
  <c r="C13" i="9"/>
  <c r="O21" i="7"/>
  <c r="J21" i="7"/>
  <c r="E21" i="7"/>
  <c r="D54" i="9" l="1"/>
  <c r="C4" i="9"/>
  <c r="D17" i="9"/>
  <c r="D30" i="9"/>
  <c r="G30" i="9"/>
  <c r="G54" i="9"/>
  <c r="F30" i="9"/>
  <c r="L10" i="15"/>
  <c r="L18" i="15"/>
  <c r="C54" i="9"/>
  <c r="O4" i="16"/>
  <c r="C30" i="9"/>
  <c r="L5" i="15"/>
  <c r="L15" i="15"/>
  <c r="L6" i="15"/>
  <c r="L16" i="15"/>
  <c r="F54" i="9"/>
  <c r="L11" i="15"/>
  <c r="L19" i="15"/>
  <c r="G32" i="8" l="1"/>
  <c r="G18" i="8"/>
  <c r="G6" i="8"/>
  <c r="G31" i="8"/>
  <c r="G10" i="8"/>
  <c r="G12" i="8" l="1"/>
  <c r="G23" i="8"/>
  <c r="G28" i="8"/>
  <c r="G33" i="8" l="1"/>
  <c r="Q28" i="9" l="1"/>
  <c r="E28" i="9"/>
  <c r="H28" i="9"/>
  <c r="N28" i="9"/>
  <c r="F41" i="4" l="1"/>
  <c r="F20" i="4"/>
  <c r="F17" i="4"/>
  <c r="F40" i="4"/>
  <c r="F7" i="4"/>
  <c r="F27" i="4"/>
  <c r="F12" i="4"/>
  <c r="F32" i="4"/>
  <c r="F37" i="4"/>
  <c r="F21" i="4" l="1"/>
  <c r="F42" i="4"/>
  <c r="M13" i="9"/>
  <c r="D13" i="9"/>
  <c r="Q5" i="9"/>
  <c r="N5" i="9"/>
  <c r="H5" i="9"/>
  <c r="E5" i="9"/>
  <c r="O4" i="9"/>
  <c r="G4" i="9"/>
  <c r="E19" i="9"/>
  <c r="E18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3" i="9" l="1"/>
  <c r="F17" i="9"/>
  <c r="G17" i="9"/>
  <c r="N7" i="9"/>
  <c r="G13" i="9"/>
  <c r="O17" i="9"/>
  <c r="P17" i="9"/>
  <c r="E20" i="9"/>
  <c r="E23" i="9"/>
  <c r="E24" i="9"/>
  <c r="Q15" i="9"/>
  <c r="H20" i="9"/>
  <c r="Q20" i="9"/>
  <c r="H23" i="9"/>
  <c r="Q23" i="9"/>
  <c r="H24" i="9"/>
  <c r="Q24" i="9"/>
  <c r="L13" i="9"/>
  <c r="O13" i="9"/>
  <c r="H6" i="9"/>
  <c r="E7" i="9"/>
  <c r="F13" i="9"/>
  <c r="N6" i="9"/>
  <c r="E15" i="9"/>
  <c r="L4" i="9"/>
  <c r="E14" i="9"/>
  <c r="Q14" i="9"/>
  <c r="H15" i="9"/>
  <c r="F4" i="9"/>
  <c r="L17" i="9"/>
  <c r="M17" i="9"/>
  <c r="Q7" i="9"/>
  <c r="H14" i="9"/>
  <c r="E13" i="9"/>
  <c r="N15" i="9"/>
  <c r="N14" i="9"/>
  <c r="P4" i="9"/>
  <c r="D4" i="9"/>
  <c r="Q6" i="9"/>
  <c r="M4" i="9"/>
  <c r="E6" i="9"/>
  <c r="N20" i="9"/>
  <c r="N23" i="9"/>
  <c r="N24" i="9"/>
  <c r="J7" i="15"/>
  <c r="L23" i="16"/>
  <c r="F11" i="2"/>
  <c r="F21" i="2"/>
  <c r="F35" i="2"/>
  <c r="G6" i="2"/>
  <c r="G17" i="2"/>
  <c r="G30" i="2"/>
  <c r="G40" i="2"/>
  <c r="J37" i="15"/>
  <c r="L30" i="16"/>
  <c r="L6" i="16"/>
  <c r="G43" i="2"/>
  <c r="L37" i="16"/>
  <c r="F6" i="2"/>
  <c r="F17" i="2"/>
  <c r="F30" i="2"/>
  <c r="F40" i="2"/>
  <c r="G11" i="2"/>
  <c r="J32" i="15"/>
  <c r="J12" i="15"/>
  <c r="J27" i="15"/>
  <c r="J17" i="15"/>
  <c r="G35" i="2"/>
  <c r="L18" i="16"/>
  <c r="G21" i="2"/>
  <c r="J40" i="15"/>
  <c r="J20" i="15"/>
  <c r="L11" i="16"/>
  <c r="J41" i="15"/>
  <c r="F43" i="2"/>
  <c r="G44" i="2"/>
  <c r="F44" i="2"/>
  <c r="E4" i="9" l="1"/>
  <c r="E17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7" i="9"/>
  <c r="Q60" i="9"/>
  <c r="N32" i="9"/>
  <c r="H48" i="9"/>
  <c r="H31" i="9"/>
  <c r="H50" i="9"/>
  <c r="E43" i="9"/>
  <c r="O33" i="7"/>
  <c r="J33" i="7"/>
  <c r="E33" i="7"/>
  <c r="J47" i="2"/>
  <c r="N30" i="7"/>
  <c r="P30" i="7" s="1"/>
  <c r="N31" i="7"/>
  <c r="P31" i="7"/>
  <c r="D30" i="7"/>
  <c r="F30" i="7" s="1"/>
  <c r="D31" i="7"/>
  <c r="N29" i="7"/>
  <c r="P29" i="7" s="1"/>
  <c r="D29" i="7"/>
  <c r="N27" i="7"/>
  <c r="P27" i="7" s="1"/>
  <c r="N28" i="7"/>
  <c r="P28" i="7" s="1"/>
  <c r="D27" i="7"/>
  <c r="F27" i="7" s="1"/>
  <c r="D28" i="7"/>
  <c r="N25" i="7"/>
  <c r="P25" i="7" s="1"/>
  <c r="D25" i="7"/>
  <c r="F25" i="7" s="1"/>
  <c r="N32" i="7"/>
  <c r="P32" i="7"/>
  <c r="I32" i="7"/>
  <c r="K32" i="7" s="1"/>
  <c r="D32" i="7"/>
  <c r="F32" i="7"/>
  <c r="I31" i="7"/>
  <c r="K31" i="7" s="1"/>
  <c r="F31" i="7"/>
  <c r="I30" i="7"/>
  <c r="K30" i="7"/>
  <c r="I29" i="7"/>
  <c r="K29" i="7"/>
  <c r="F29" i="7"/>
  <c r="I28" i="7"/>
  <c r="K28" i="7"/>
  <c r="F28" i="7"/>
  <c r="I27" i="7"/>
  <c r="K27" i="7"/>
  <c r="N26" i="7"/>
  <c r="P26" i="7"/>
  <c r="I26" i="7"/>
  <c r="K26" i="7"/>
  <c r="D26" i="7"/>
  <c r="F26" i="7"/>
  <c r="K25" i="7"/>
  <c r="L45" i="15"/>
  <c r="L44" i="15"/>
  <c r="O20" i="16"/>
  <c r="O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N37" i="16"/>
  <c r="H18" i="3"/>
  <c r="H23" i="3" s="1"/>
  <c r="C17" i="4"/>
  <c r="K37" i="4"/>
  <c r="K37" i="16"/>
  <c r="D32" i="8"/>
  <c r="I37" i="16"/>
  <c r="Q61" i="9"/>
  <c r="B18" i="3"/>
  <c r="E17" i="15"/>
  <c r="B37" i="16"/>
  <c r="F37" i="16"/>
  <c r="G47" i="9"/>
  <c r="H44" i="3"/>
  <c r="J48" i="3"/>
  <c r="I50" i="2" s="1"/>
  <c r="J50" i="2" s="1"/>
  <c r="D30" i="16"/>
  <c r="I30" i="16"/>
  <c r="E34" i="9"/>
  <c r="N58" i="9"/>
  <c r="E60" i="9"/>
  <c r="E32" i="9"/>
  <c r="N11" i="16"/>
  <c r="E41" i="15"/>
  <c r="K41" i="4"/>
  <c r="N31" i="9"/>
  <c r="C23" i="16"/>
  <c r="K28" i="8"/>
  <c r="B22" i="3"/>
  <c r="K20" i="4"/>
  <c r="K17" i="4"/>
  <c r="B46" i="4"/>
  <c r="B47" i="4" s="1"/>
  <c r="M47" i="9"/>
  <c r="B44" i="3"/>
  <c r="D44" i="2"/>
  <c r="B18" i="8"/>
  <c r="N19" i="9"/>
  <c r="M18" i="16"/>
  <c r="N35" i="9"/>
  <c r="Q13" i="9"/>
  <c r="Q55" i="9"/>
  <c r="D6" i="16"/>
  <c r="C7" i="7"/>
  <c r="G18" i="3"/>
  <c r="H20" i="15"/>
  <c r="H17" i="4"/>
  <c r="J28" i="8"/>
  <c r="B28" i="8"/>
  <c r="H37" i="15"/>
  <c r="E40" i="2"/>
  <c r="B40" i="2"/>
  <c r="G40" i="15"/>
  <c r="N18" i="16"/>
  <c r="B27" i="15"/>
  <c r="B30" i="16"/>
  <c r="F30" i="16"/>
  <c r="M30" i="16"/>
  <c r="E18" i="16"/>
  <c r="K18" i="16"/>
  <c r="N41" i="9"/>
  <c r="Q41" i="9"/>
  <c r="Q39" i="9"/>
  <c r="Q52" i="9"/>
  <c r="E39" i="9"/>
  <c r="H35" i="9"/>
  <c r="E56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5" i="9"/>
  <c r="N43" i="9"/>
  <c r="E43" i="2"/>
  <c r="B43" i="2"/>
  <c r="G32" i="15"/>
  <c r="C32" i="15"/>
  <c r="G44" i="3"/>
  <c r="B23" i="16"/>
  <c r="H18" i="9"/>
  <c r="N13" i="9"/>
  <c r="Q56" i="9"/>
  <c r="Q19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1" i="9"/>
  <c r="C47" i="9"/>
  <c r="C66" i="9" s="1"/>
  <c r="C64" i="9" s="1"/>
  <c r="H61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1" i="9"/>
  <c r="H60" i="9"/>
  <c r="H32" i="9"/>
  <c r="H6" i="16"/>
  <c r="C6" i="16"/>
  <c r="E6" i="16"/>
  <c r="F7" i="3"/>
  <c r="I7" i="3"/>
  <c r="C7" i="3"/>
  <c r="B6" i="8"/>
  <c r="B12" i="8" s="1"/>
  <c r="B40" i="4"/>
  <c r="E23" i="16"/>
  <c r="K23" i="16"/>
  <c r="H43" i="9"/>
  <c r="E37" i="9"/>
  <c r="N33" i="9"/>
  <c r="N61" i="9"/>
  <c r="N56" i="9"/>
  <c r="Q11" i="9"/>
  <c r="Q36" i="9"/>
  <c r="K7" i="4"/>
  <c r="C7" i="4"/>
  <c r="J10" i="3"/>
  <c r="I9" i="2" s="1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8" i="9"/>
  <c r="Q43" i="9"/>
  <c r="Q50" i="9"/>
  <c r="Q48" i="9"/>
  <c r="H7" i="15"/>
  <c r="K12" i="15"/>
  <c r="D12" i="4"/>
  <c r="C12" i="3"/>
  <c r="C22" i="3"/>
  <c r="G40" i="3"/>
  <c r="C40" i="2"/>
  <c r="N37" i="9"/>
  <c r="Q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0" i="9"/>
  <c r="L54" i="9"/>
  <c r="G6" i="7"/>
  <c r="C7" i="1" s="1"/>
  <c r="J11" i="3"/>
  <c r="I10" i="2" s="1"/>
  <c r="J10" i="2" s="1"/>
  <c r="G11" i="7"/>
  <c r="C18" i="1" s="1"/>
  <c r="O5" i="16"/>
  <c r="L26" i="15"/>
  <c r="L26" i="4" s="1"/>
  <c r="M26" i="4" s="1"/>
  <c r="C6" i="5" s="1"/>
  <c r="C40" i="3"/>
  <c r="B23" i="8"/>
  <c r="M23" i="16"/>
  <c r="Q58" i="9"/>
  <c r="D37" i="4"/>
  <c r="B40" i="15"/>
  <c r="J20" i="3"/>
  <c r="I19" i="2" s="1"/>
  <c r="J19" i="2" s="1"/>
  <c r="M8" i="8"/>
  <c r="G43" i="3"/>
  <c r="B27" i="4"/>
  <c r="L19" i="4"/>
  <c r="M19" i="4" s="1"/>
  <c r="D31" i="8"/>
  <c r="H41" i="9"/>
  <c r="H52" i="9"/>
  <c r="P47" i="9"/>
  <c r="H56" i="9"/>
  <c r="Q33" i="9"/>
  <c r="D7" i="4"/>
  <c r="J39" i="3"/>
  <c r="I39" i="2" s="1"/>
  <c r="J39" i="2" s="1"/>
  <c r="B16" i="5" s="1"/>
  <c r="B32" i="4"/>
  <c r="E35" i="2"/>
  <c r="B35" i="2"/>
  <c r="F23" i="8"/>
  <c r="D43" i="2"/>
  <c r="F23" i="16"/>
  <c r="O47" i="9"/>
  <c r="M11" i="16"/>
  <c r="K20" i="15"/>
  <c r="K21" i="15" s="1"/>
  <c r="C40" i="4"/>
  <c r="C31" i="8"/>
  <c r="F43" i="3"/>
  <c r="B41" i="4"/>
  <c r="C32" i="4"/>
  <c r="B18" i="16"/>
  <c r="F18" i="16"/>
  <c r="H57" i="9"/>
  <c r="M30" i="9"/>
  <c r="N36" i="9"/>
  <c r="N55" i="9"/>
  <c r="E35" i="9"/>
  <c r="H7" i="3"/>
  <c r="C6" i="2"/>
  <c r="E7" i="15"/>
  <c r="G7" i="15"/>
  <c r="E7" i="4"/>
  <c r="J16" i="3"/>
  <c r="I15" i="2" s="1"/>
  <c r="J15" i="2" s="1"/>
  <c r="H40" i="15"/>
  <c r="Q57" i="9"/>
  <c r="O54" i="9"/>
  <c r="D6" i="8"/>
  <c r="D12" i="8" s="1"/>
  <c r="M5" i="8"/>
  <c r="C19" i="1" s="1"/>
  <c r="M27" i="8"/>
  <c r="D16" i="5" s="1"/>
  <c r="C44" i="2"/>
  <c r="H23" i="16"/>
  <c r="Q32" i="9"/>
  <c r="P30" i="9"/>
  <c r="N48" i="9"/>
  <c r="L47" i="9"/>
  <c r="J5" i="3"/>
  <c r="I4" i="2" s="1"/>
  <c r="J4" i="2" s="1"/>
  <c r="B5" i="1" s="1"/>
  <c r="C7" i="15"/>
  <c r="L5" i="4"/>
  <c r="M5" i="4" s="1"/>
  <c r="L16" i="4"/>
  <c r="M16" i="4" s="1"/>
  <c r="F20" i="15"/>
  <c r="F21" i="15" s="1"/>
  <c r="I30" i="3"/>
  <c r="I43" i="3"/>
  <c r="E31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H18" i="16"/>
  <c r="D23" i="16"/>
  <c r="H40" i="4"/>
  <c r="H37" i="4"/>
  <c r="J38" i="3"/>
  <c r="I38" i="2" s="1"/>
  <c r="F40" i="3"/>
  <c r="F28" i="8"/>
  <c r="F32" i="8"/>
  <c r="M16" i="8"/>
  <c r="D5" i="5" s="1"/>
  <c r="F47" i="9"/>
  <c r="F66" i="9" s="1"/>
  <c r="G37" i="15"/>
  <c r="L18" i="4"/>
  <c r="M18" i="4" s="1"/>
  <c r="J32" i="8"/>
  <c r="E41" i="9"/>
  <c r="O10" i="16"/>
  <c r="B11" i="16"/>
  <c r="J51" i="2"/>
  <c r="J21" i="3"/>
  <c r="I20" i="2" s="1"/>
  <c r="J20" i="2" s="1"/>
  <c r="G22" i="3"/>
  <c r="H41" i="4"/>
  <c r="M26" i="8"/>
  <c r="D15" i="5" s="1"/>
  <c r="C37" i="15"/>
  <c r="G30" i="3"/>
  <c r="L44" i="4"/>
  <c r="M44" i="4" s="1"/>
  <c r="M37" i="16"/>
  <c r="E52" i="9"/>
  <c r="H39" i="9"/>
  <c r="N34" i="9"/>
  <c r="N57" i="9"/>
  <c r="E58" i="9"/>
  <c r="E57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1" i="9"/>
  <c r="H37" i="16"/>
  <c r="H13" i="9"/>
  <c r="N50" i="9"/>
  <c r="Q35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5" i="9"/>
  <c r="E50" i="9"/>
  <c r="H37" i="9"/>
  <c r="N60" i="9"/>
  <c r="E33" i="9"/>
  <c r="N6" i="16"/>
  <c r="J6" i="3"/>
  <c r="I5" i="2" s="1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1" i="9"/>
  <c r="H58" i="9"/>
  <c r="H36" i="9"/>
  <c r="H33" i="9"/>
  <c r="B6" i="2"/>
  <c r="J17" i="3"/>
  <c r="I16" i="2" s="1"/>
  <c r="C41" i="4"/>
  <c r="C40" i="15"/>
  <c r="L25" i="15"/>
  <c r="L25" i="4" s="1"/>
  <c r="C27" i="15"/>
  <c r="E40" i="4"/>
  <c r="E27" i="4"/>
  <c r="N30" i="16"/>
  <c r="D18" i="16"/>
  <c r="N23" i="16"/>
  <c r="E37" i="16"/>
  <c r="J12" i="5"/>
  <c r="J21" i="5"/>
  <c r="M4" i="8"/>
  <c r="B19" i="1" s="1"/>
  <c r="C6" i="8"/>
  <c r="K31" i="8"/>
  <c r="K23" i="8"/>
  <c r="C32" i="8"/>
  <c r="E11" i="9"/>
  <c r="B43" i="3"/>
  <c r="C11" i="16"/>
  <c r="O9" i="16"/>
  <c r="B24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N18" i="9"/>
  <c r="N39" i="9"/>
  <c r="N52" i="9"/>
  <c r="L11" i="4"/>
  <c r="M11" i="4" s="1"/>
  <c r="E36" i="9"/>
  <c r="Q18" i="9"/>
  <c r="L15" i="4"/>
  <c r="M15" i="4" s="1"/>
  <c r="D47" i="9"/>
  <c r="M54" i="9"/>
  <c r="M6" i="16"/>
  <c r="B7" i="7"/>
  <c r="F32" i="15"/>
  <c r="C43" i="2"/>
  <c r="C35" i="2"/>
  <c r="D21" i="4"/>
  <c r="C18" i="16"/>
  <c r="H34" i="9"/>
  <c r="H19" i="9"/>
  <c r="B7" i="4"/>
  <c r="C12" i="4"/>
  <c r="H12" i="3"/>
  <c r="C18" i="3"/>
  <c r="G10" i="7"/>
  <c r="B18" i="1" s="1"/>
  <c r="C37" i="4"/>
  <c r="H43" i="3"/>
  <c r="H30" i="3"/>
  <c r="C30" i="3"/>
  <c r="C43" i="3"/>
  <c r="O66" i="9" l="1"/>
  <c r="O18" i="16"/>
  <c r="C24" i="7"/>
  <c r="M66" i="9"/>
  <c r="M64" i="9" s="1"/>
  <c r="P66" i="9"/>
  <c r="P64" i="9" s="1"/>
  <c r="G66" i="9"/>
  <c r="G64" i="9" s="1"/>
  <c r="D66" i="9"/>
  <c r="D64" i="9" s="1"/>
  <c r="L66" i="9"/>
  <c r="L64" i="9" s="1"/>
  <c r="J5" i="2"/>
  <c r="C5" i="1" s="1"/>
  <c r="F20" i="1"/>
  <c r="F21" i="1"/>
  <c r="I45" i="9"/>
  <c r="R45" i="9"/>
  <c r="L20" i="15"/>
  <c r="L7" i="15"/>
  <c r="B21" i="15"/>
  <c r="L17" i="15"/>
  <c r="L12" i="15"/>
  <c r="M6" i="4"/>
  <c r="C6" i="1" s="1"/>
  <c r="B6" i="1"/>
  <c r="H21" i="4"/>
  <c r="N30" i="9"/>
  <c r="E54" i="9"/>
  <c r="G21" i="15"/>
  <c r="B23" i="3"/>
  <c r="B42" i="15"/>
  <c r="K42" i="4"/>
  <c r="K42" i="15"/>
  <c r="H47" i="9"/>
  <c r="N47" i="9"/>
  <c r="L7" i="4"/>
  <c r="M7" i="4" s="1"/>
  <c r="K21" i="4"/>
  <c r="I45" i="3"/>
  <c r="N54" i="9"/>
  <c r="Q17" i="9"/>
  <c r="E47" i="9"/>
  <c r="C21" i="4"/>
  <c r="B23" i="2"/>
  <c r="B33" i="1"/>
  <c r="M10" i="8"/>
  <c r="H45" i="3"/>
  <c r="H17" i="9"/>
  <c r="J33" i="8"/>
  <c r="E21" i="15"/>
  <c r="G45" i="3"/>
  <c r="D45" i="2"/>
  <c r="C45" i="3"/>
  <c r="L12" i="8"/>
  <c r="G23" i="3"/>
  <c r="B33" i="8"/>
  <c r="G42" i="15"/>
  <c r="H21" i="15"/>
  <c r="E42" i="15"/>
  <c r="Q47" i="9"/>
  <c r="B42" i="4"/>
  <c r="D7" i="1"/>
  <c r="I17" i="2"/>
  <c r="J17" i="2" s="1"/>
  <c r="Q30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O6" i="16"/>
  <c r="J7" i="3"/>
  <c r="M23" i="8"/>
  <c r="B21" i="4"/>
  <c r="M18" i="8"/>
  <c r="M31" i="8"/>
  <c r="G12" i="7"/>
  <c r="O11" i="16"/>
  <c r="J22" i="5"/>
  <c r="J29" i="2"/>
  <c r="B6" i="5" s="1"/>
  <c r="B7" i="5" s="1"/>
  <c r="I21" i="2"/>
  <c r="J21" i="2" s="1"/>
  <c r="H42" i="4"/>
  <c r="O23" i="16"/>
  <c r="L32" i="4"/>
  <c r="M32" i="4" s="1"/>
  <c r="C37" i="1"/>
  <c r="H42" i="15"/>
  <c r="J22" i="3"/>
  <c r="Q54" i="9"/>
  <c r="E23" i="2"/>
  <c r="L27" i="15"/>
  <c r="B16" i="1"/>
  <c r="C17" i="1"/>
  <c r="O37" i="16"/>
  <c r="L41" i="4"/>
  <c r="M41" i="4" s="1"/>
  <c r="D19" i="1"/>
  <c r="I6" i="2"/>
  <c r="H30" i="9"/>
  <c r="L20" i="4"/>
  <c r="M20" i="4" s="1"/>
  <c r="M32" i="8"/>
  <c r="G7" i="7"/>
  <c r="O30" i="16"/>
  <c r="M28" i="8"/>
  <c r="J38" i="2"/>
  <c r="B15" i="5" s="1"/>
  <c r="B17" i="5" s="1"/>
  <c r="I40" i="2"/>
  <c r="J40" i="2" s="1"/>
  <c r="M31" i="4"/>
  <c r="I30" i="2"/>
  <c r="J30" i="2" s="1"/>
  <c r="E36" i="1"/>
  <c r="C45" i="2"/>
  <c r="E30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7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4" i="9"/>
  <c r="B8" i="1" l="1"/>
  <c r="D24" i="7"/>
  <c r="J6" i="2"/>
  <c r="D5" i="1" s="1"/>
  <c r="R30" i="9"/>
  <c r="R22" i="9"/>
  <c r="I47" i="9"/>
  <c r="I22" i="9"/>
  <c r="F18" i="1"/>
  <c r="R47" i="9"/>
  <c r="O64" i="9"/>
  <c r="R66" i="9"/>
  <c r="R51" i="9"/>
  <c r="R5" i="9"/>
  <c r="R9" i="9"/>
  <c r="R26" i="9"/>
  <c r="R59" i="9"/>
  <c r="R21" i="9"/>
  <c r="R7" i="9"/>
  <c r="R24" i="9"/>
  <c r="R37" i="9"/>
  <c r="R6" i="9"/>
  <c r="R23" i="9"/>
  <c r="R36" i="9"/>
  <c r="R55" i="9"/>
  <c r="R60" i="9"/>
  <c r="R11" i="9"/>
  <c r="R61" i="9"/>
  <c r="R15" i="9"/>
  <c r="R20" i="9"/>
  <c r="R34" i="9"/>
  <c r="R52" i="9"/>
  <c r="R19" i="9"/>
  <c r="R35" i="9"/>
  <c r="R50" i="9"/>
  <c r="R58" i="9"/>
  <c r="R14" i="9"/>
  <c r="R28" i="9"/>
  <c r="R41" i="9"/>
  <c r="R31" i="9"/>
  <c r="R39" i="9"/>
  <c r="R56" i="9"/>
  <c r="R18" i="9"/>
  <c r="R32" i="9"/>
  <c r="R48" i="9"/>
  <c r="R33" i="9"/>
  <c r="R43" i="9"/>
  <c r="R57" i="9"/>
  <c r="R65" i="9"/>
  <c r="R4" i="9"/>
  <c r="R13" i="9"/>
  <c r="R17" i="9"/>
  <c r="R54" i="9"/>
  <c r="F64" i="9"/>
  <c r="I5" i="9"/>
  <c r="I7" i="9"/>
  <c r="I9" i="9"/>
  <c r="I55" i="9"/>
  <c r="I26" i="9"/>
  <c r="I59" i="9"/>
  <c r="I21" i="9"/>
  <c r="I14" i="9"/>
  <c r="I20" i="9"/>
  <c r="I31" i="9"/>
  <c r="I35" i="9"/>
  <c r="I41" i="9"/>
  <c r="I52" i="9"/>
  <c r="I56" i="9"/>
  <c r="I32" i="9"/>
  <c r="I58" i="9"/>
  <c r="I60" i="9"/>
  <c r="I37" i="9"/>
  <c r="I61" i="9"/>
  <c r="I11" i="9"/>
  <c r="I19" i="9"/>
  <c r="I28" i="9"/>
  <c r="I34" i="9"/>
  <c r="I39" i="9"/>
  <c r="I50" i="9"/>
  <c r="I6" i="9"/>
  <c r="I57" i="9"/>
  <c r="I15" i="9"/>
  <c r="I23" i="9"/>
  <c r="I36" i="9"/>
  <c r="I43" i="9"/>
  <c r="I18" i="9"/>
  <c r="I24" i="9"/>
  <c r="I33" i="9"/>
  <c r="I48" i="9"/>
  <c r="I65" i="9"/>
  <c r="I30" i="9"/>
  <c r="I54" i="9"/>
  <c r="I17" i="9"/>
  <c r="I4" i="9"/>
  <c r="I13" i="9"/>
  <c r="L21" i="15"/>
  <c r="D6" i="1"/>
  <c r="C8" i="1"/>
  <c r="C33" i="1" s="1"/>
  <c r="M12" i="8"/>
  <c r="B10" i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L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F24" i="7" l="1"/>
  <c r="D10" i="1"/>
  <c r="D17" i="1"/>
  <c r="F5" i="1"/>
  <c r="R64" i="9"/>
  <c r="I64" i="9"/>
  <c r="D8" i="1"/>
  <c r="F8" i="1" s="1"/>
  <c r="F6" i="1"/>
  <c r="C11" i="1"/>
  <c r="M24" i="7" s="1"/>
  <c r="B32" i="1"/>
  <c r="B11" i="1"/>
  <c r="D28" i="1"/>
  <c r="B22" i="1"/>
  <c r="B29" i="1"/>
  <c r="C12" i="5"/>
  <c r="C21" i="5"/>
  <c r="E21" i="5" s="1"/>
  <c r="F21" i="5" s="1"/>
  <c r="E11" i="5"/>
  <c r="F11" i="5" s="1"/>
  <c r="C29" i="1"/>
  <c r="F10" i="1"/>
  <c r="F5" i="5"/>
  <c r="E7" i="5"/>
  <c r="F16" i="1"/>
  <c r="D22" i="5"/>
  <c r="F15" i="5"/>
  <c r="E17" i="5"/>
  <c r="D27" i="1" s="1"/>
  <c r="B22" i="5"/>
  <c r="E20" i="5"/>
  <c r="H6" i="5"/>
  <c r="F10" i="5"/>
  <c r="H24" i="7" l="1"/>
  <c r="F17" i="1"/>
  <c r="D22" i="1"/>
  <c r="F22" i="1" s="1"/>
  <c r="L24" i="7"/>
  <c r="H21" i="5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N24" i="7" l="1"/>
  <c r="P24" i="7" s="1"/>
  <c r="G24" i="7"/>
  <c r="F22" i="5"/>
  <c r="H22" i="5" s="1"/>
  <c r="H20" i="5"/>
  <c r="I24" i="7" l="1"/>
  <c r="K24" i="7" l="1"/>
  <c r="Q65" i="9"/>
  <c r="Q4" i="9"/>
  <c r="N4" i="9"/>
  <c r="N66" i="9" l="1"/>
  <c r="N65" i="9"/>
  <c r="Q64" i="9"/>
  <c r="Q66" i="9"/>
  <c r="H65" i="9"/>
  <c r="H4" i="9"/>
  <c r="N64" i="9" l="1"/>
  <c r="H66" i="9"/>
  <c r="I66" i="9" s="1"/>
  <c r="H64" i="9"/>
  <c r="E66" i="9"/>
  <c r="E65" i="9"/>
  <c r="E64" i="9" l="1"/>
  <c r="C21" i="7" l="1"/>
  <c r="B21" i="7"/>
  <c r="D21" i="7" l="1"/>
  <c r="F21" i="7" l="1"/>
  <c r="M21" i="7"/>
  <c r="L21" i="7"/>
  <c r="H21" i="7" l="1"/>
  <c r="N21" i="7"/>
  <c r="G21" i="7"/>
  <c r="I21" i="7" l="1"/>
  <c r="P21" i="7"/>
  <c r="K21" i="7" l="1"/>
  <c r="B22" i="7" l="1"/>
  <c r="C22" i="7" l="1"/>
  <c r="D22" i="7" s="1"/>
  <c r="F22" i="7" l="1"/>
  <c r="L22" i="7" l="1"/>
  <c r="G22" i="7" l="1"/>
  <c r="M22" i="7"/>
  <c r="N22" i="7" s="1"/>
  <c r="P22" i="7" l="1"/>
  <c r="H22" i="7"/>
  <c r="I22" i="7" s="1"/>
  <c r="K22" i="7" l="1"/>
  <c r="B23" i="7" l="1"/>
  <c r="B33" i="7" s="1"/>
  <c r="C23" i="7" l="1"/>
  <c r="D23" i="7" l="1"/>
  <c r="C33" i="7"/>
  <c r="F23" i="7" l="1"/>
  <c r="D33" i="7"/>
  <c r="F33" i="7" s="1"/>
  <c r="M23" i="7"/>
  <c r="L23" i="7"/>
  <c r="G23" i="7" l="1"/>
  <c r="N23" i="7"/>
  <c r="L33" i="7"/>
  <c r="H23" i="7"/>
  <c r="H33" i="7" s="1"/>
  <c r="M33" i="7"/>
  <c r="P23" i="7" l="1"/>
  <c r="N33" i="7"/>
  <c r="P33" i="7" s="1"/>
  <c r="I23" i="7"/>
  <c r="G33" i="7"/>
  <c r="K23" i="7" l="1"/>
  <c r="I33" i="7"/>
  <c r="K33" i="7" s="1"/>
  <c r="G19" i="1" l="1"/>
  <c r="I19" i="1" s="1"/>
  <c r="G7" i="1"/>
  <c r="I7" i="1" s="1"/>
  <c r="G21" i="1"/>
  <c r="I21" i="1" s="1"/>
  <c r="G20" i="1"/>
  <c r="I20" i="1" s="1"/>
  <c r="D33" i="1"/>
  <c r="I16" i="5"/>
  <c r="G5" i="1"/>
  <c r="I5" i="1" l="1"/>
  <c r="G6" i="1"/>
  <c r="I6" i="1" s="1"/>
  <c r="G18" i="1"/>
  <c r="I18" i="1" s="1"/>
  <c r="G16" i="1"/>
  <c r="I6" i="5"/>
  <c r="K6" i="5" s="1"/>
  <c r="I16" i="1" l="1"/>
  <c r="G8" i="1"/>
  <c r="G10" i="1"/>
  <c r="I10" i="1" s="1"/>
  <c r="G17" i="1"/>
  <c r="I17" i="1" s="1"/>
  <c r="G27" i="1"/>
  <c r="I5" i="5"/>
  <c r="I15" i="5"/>
  <c r="I10" i="5"/>
  <c r="K5" i="5" l="1"/>
  <c r="I7" i="5"/>
  <c r="K7" i="5" s="1"/>
  <c r="I27" i="1"/>
  <c r="I8" i="1"/>
  <c r="G11" i="1"/>
  <c r="I11" i="1" s="1"/>
  <c r="K10" i="5"/>
  <c r="I12" i="5"/>
  <c r="K12" i="5" s="1"/>
  <c r="G22" i="1"/>
  <c r="I22" i="1" s="1"/>
  <c r="I17" i="5"/>
  <c r="K17" i="5" s="1"/>
  <c r="K15" i="5"/>
  <c r="G28" i="1"/>
  <c r="I28" i="1" s="1"/>
  <c r="D32" i="1"/>
  <c r="I11" i="5"/>
  <c r="K11" i="5" s="1"/>
  <c r="I20" i="5"/>
  <c r="G29" i="1" l="1"/>
  <c r="I29" i="1" s="1"/>
  <c r="D34" i="1"/>
  <c r="E33" i="1" s="1"/>
  <c r="E32" i="1"/>
  <c r="K20" i="5"/>
  <c r="I21" i="5"/>
  <c r="K21" i="5" s="1"/>
  <c r="I22" i="5" l="1"/>
  <c r="K22" i="5" s="1"/>
</calcChain>
</file>

<file path=xl/sharedStrings.xml><?xml version="1.0" encoding="utf-8"?>
<sst xmlns="http://schemas.openxmlformats.org/spreadsheetml/2006/main" count="591" uniqueCount="226">
  <si>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</si>
  <si>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</si>
  <si>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</si>
  <si>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</si>
  <si>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</si>
  <si>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</si>
  <si>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</si>
  <si>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</si>
  <si>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</si>
  <si>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</si>
  <si>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</si>
  <si>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</si>
  <si>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</si>
  <si>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</si>
  <si>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</si>
  <si>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</si>
  <si>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</si>
  <si>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</si>
  <si>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</si>
  <si>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</si>
  <si>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</si>
  <si>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</si>
  <si>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</si>
  <si>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</si>
  <si>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</si>
  <si>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</si>
  <si>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</si>
  <si>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</si>
  <si>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</si>
  <si>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</si>
  <si>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</si>
  <si>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</si>
  <si>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</si>
  <si>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</si>
  <si>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</si>
  <si>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</si>
  <si>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</si>
  <si>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</si>
  <si>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</si>
  <si>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</si>
  <si>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</si>
  <si>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</si>
  <si>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</si>
  <si>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</si>
  <si>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</si>
  <si>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</si>
  <si>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</si>
  <si>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</si>
  <si>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</si>
  <si>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</si>
  <si>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</si>
  <si>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</si>
  <si>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</si>
  <si>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</si>
  <si>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</si>
  <si>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</si>
  <si>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</si>
  <si>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</si>
  <si>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</si>
  <si>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</si>
  <si>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</si>
  <si>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</si>
  <si>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</si>
  <si>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</si>
  <si>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</si>
  <si>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</si>
  <si>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</si>
  <si>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</si>
  <si>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</si>
  <si>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</si>
  <si>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</si>
  <si>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</si>
  <si>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</si>
  <si>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</si>
  <si>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</si>
  <si>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</si>
  <si>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</si>
  <si>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</si>
  <si>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</si>
  <si>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</si>
  <si>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</si>
  <si>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</si>
  <si>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</si>
  <si>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</si>
  <si>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</si>
  <si>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</si>
  <si>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</si>
  <si>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</si>
  <si>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</si>
  <si>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</si>
  <si>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</si>
  <si>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</si>
  <si>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</si>
  <si>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</si>
  <si>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</si>
  <si>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</si>
  <si>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</si>
  <si>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</si>
  <si>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</si>
  <si>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</si>
  <si>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</si>
  <si>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</si>
  <si>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</si>
  <si>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</si>
  <si>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</si>
  <si>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</si>
  <si>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</si>
  <si>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</si>
  <si>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</si>
  <si>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</si>
  <si>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</si>
  <si>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</si>
  <si>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</si>
  <si>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</si>
  <si>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</si>
  <si>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</si>
  <si>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</si>
  <si>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</si>
  <si>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</si>
  <si>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</si>
  <si>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</si>
  <si>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</si>
  <si>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</si>
  <si>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</si>
  <si>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</si>
  <si>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</si>
  <si>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</si>
  <si>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</si>
  <si>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</si>
  <si>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</si>
  <si>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</si>
  <si>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</si>
  <si>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</si>
  <si>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</si>
  <si>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</si>
  <si>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</si>
  <si>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</si>
  <si>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</si>
  <si>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</si>
  <si>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</si>
  <si>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</si>
  <si>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</si>
  <si>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</si>
  <si>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</si>
  <si>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</si>
  <si>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</si>
  <si>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</si>
  <si>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</si>
  <si>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</si>
  <si>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</si>
  <si>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</si>
  <si>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</si>
  <si>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</si>
  <si>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</si>
  <si>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</si>
  <si>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</si>
  <si>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</si>
  <si>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</si>
  <si>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</si>
  <si>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</si>
  <si>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</si>
  <si>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</si>
  <si>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</si>
  <si>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</si>
  <si>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</si>
  <si>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</si>
  <si>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</si>
  <si>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</si>
  <si>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</si>
  <si>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</si>
  <si>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</si>
  <si>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</si>
  <si>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</si>
  <si>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</si>
  <si>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</si>
  <si>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</si>
  <si>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</si>
  <si>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</si>
  <si>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</si>
  <si>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</si>
  <si>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</si>
  <si>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</si>
  <si>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</si>
  <si>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</si>
  <si>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</si>
  <si>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</si>
  <si>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</si>
  <si>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</si>
  <si>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</si>
  <si>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</si>
  <si>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</si>
  <si>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</si>
  <si>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</si>
  <si>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</si>
  <si>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</si>
  <si>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</si>
  <si>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</si>
  <si>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</si>
  <si>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</si>
  <si>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</si>
  <si>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</si>
  <si>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</si>
  <si>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</si>
  <si>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</si>
  <si>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</si>
  <si>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</si>
  <si>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</si>
  <si>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</si>
  <si>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Air Georgian - Air Canada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</si>
  <si>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</si>
  <si>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</si>
  <si>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</si>
  <si>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</si>
  <si>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</si>
  <si>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</si>
  <si>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</si>
  <si>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</si>
  <si>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</si>
  <si>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</si>
  <si>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</si>
  <si>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</si>
  <si>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</si>
  <si>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</si>
  <si>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April 2016</t>
  </si>
  <si>
    <t>Landing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</si>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</sst>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2206014</v>
          </cell>
          <cell r="G5">
            <v>8616059</v>
          </cell>
        </row>
        <row r="6">
          <cell r="D6">
            <v>703256</v>
          </cell>
          <cell r="G6">
            <v>2674663</v>
          </cell>
        </row>
        <row r="7">
          <cell r="D7">
            <v>784</v>
          </cell>
          <cell r="G7">
            <v>1264</v>
          </cell>
        </row>
        <row r="10">
          <cell r="D10">
            <v>92888</v>
          </cell>
          <cell r="G10">
            <v>366390</v>
          </cell>
        </row>
        <row r="16">
          <cell r="D16">
            <v>17194</v>
          </cell>
          <cell r="G16">
            <v>66381</v>
          </cell>
        </row>
        <row r="17">
          <cell r="D17">
            <v>13327</v>
          </cell>
          <cell r="G17">
            <v>52600</v>
          </cell>
        </row>
        <row r="18">
          <cell r="D18">
            <v>5</v>
          </cell>
          <cell r="G18">
            <v>11</v>
          </cell>
        </row>
        <row r="19">
          <cell r="D19">
            <v>1080</v>
          </cell>
          <cell r="G19">
            <v>4402</v>
          </cell>
        </row>
        <row r="20">
          <cell r="D20">
            <v>1750</v>
          </cell>
          <cell r="G20">
            <v>6678</v>
          </cell>
        </row>
        <row r="21">
          <cell r="D21">
            <v>119</v>
          </cell>
          <cell r="G21">
            <v>391</v>
          </cell>
        </row>
        <row r="27">
          <cell r="D27">
            <v>16766.898621861081</v>
          </cell>
          <cell r="G27">
            <v>58581.440524136531</v>
          </cell>
        </row>
        <row r="28">
          <cell r="D28">
            <v>713.11433731075999</v>
          </cell>
          <cell r="G28">
            <v>3774.3355545458835</v>
          </cell>
        </row>
        <row r="32">
          <cell r="B32">
            <v>794845</v>
          </cell>
          <cell r="D32">
            <v>3370538</v>
          </cell>
        </row>
        <row r="33">
          <cell r="B33">
            <v>620532</v>
          </cell>
          <cell r="D33">
            <v>2255890</v>
          </cell>
        </row>
      </sheetData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>
        <row r="5">
          <cell r="F5">
            <v>8992.3272144305593</v>
          </cell>
          <cell r="I5">
            <v>28282.932589937409</v>
          </cell>
        </row>
        <row r="6">
          <cell r="F6">
            <v>356.24373632771</v>
          </cell>
          <cell r="I6">
            <v>1820.083177153954</v>
          </cell>
        </row>
        <row r="10">
          <cell r="F10">
            <v>7774.5714074305197</v>
          </cell>
          <cell r="I10">
            <v>30298.507934199115</v>
          </cell>
        </row>
        <row r="11">
          <cell r="F11">
            <v>356.87060098305</v>
          </cell>
          <cell r="I11">
            <v>1954.2523773919299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16766.898621861081</v>
          </cell>
        </row>
        <row r="21">
          <cell r="F21">
            <v>713.11433731075999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6600381</v>
          </cell>
        </row>
        <row r="6">
          <cell r="G6">
            <v>1849521</v>
          </cell>
        </row>
        <row r="7">
          <cell r="G7">
            <v>735</v>
          </cell>
        </row>
        <row r="10">
          <cell r="G10">
            <v>283892</v>
          </cell>
        </row>
        <row r="16">
          <cell r="G16">
            <v>52180</v>
          </cell>
        </row>
        <row r="17">
          <cell r="G17">
            <v>37405</v>
          </cell>
        </row>
        <row r="18">
          <cell r="G18">
            <v>10</v>
          </cell>
        </row>
        <row r="19">
          <cell r="G19">
            <v>3620</v>
          </cell>
        </row>
        <row r="20">
          <cell r="G20">
            <v>5146</v>
          </cell>
        </row>
        <row r="21">
          <cell r="G21">
            <v>127</v>
          </cell>
        </row>
        <row r="27">
          <cell r="G27">
            <v>47863.411612601194</v>
          </cell>
        </row>
        <row r="28">
          <cell r="G28">
            <v>5224.7749278470901</v>
          </cell>
        </row>
        <row r="32">
          <cell r="D32">
            <v>2736156</v>
          </cell>
        </row>
        <row r="33">
          <cell r="D33">
            <v>1523354</v>
          </cell>
        </row>
      </sheetData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>
        <row r="5">
          <cell r="I5">
            <v>25448.205712845302</v>
          </cell>
        </row>
        <row r="6">
          <cell r="I6">
            <v>2237.7036101820399</v>
          </cell>
        </row>
        <row r="10">
          <cell r="I10">
            <v>22415.2058997559</v>
          </cell>
        </row>
        <row r="11">
          <cell r="I11">
            <v>2987.0713176650497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47863.411612601194</v>
          </cell>
        </row>
        <row r="21">
          <cell r="I21">
            <v>5224.7749278470901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C4">
            <v>120</v>
          </cell>
        </row>
        <row r="5">
          <cell r="FC5">
            <v>120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</row>
        <row r="22">
          <cell r="FC22">
            <v>420</v>
          </cell>
        </row>
        <row r="23">
          <cell r="FC23">
            <v>358</v>
          </cell>
        </row>
        <row r="27">
          <cell r="FC27"/>
        </row>
        <row r="28">
          <cell r="FC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3"/>
      <sheetData sheetId="4">
        <row r="4">
          <cell r="FC4"/>
        </row>
        <row r="5">
          <cell r="FC5"/>
        </row>
        <row r="8">
          <cell r="FC8"/>
        </row>
        <row r="9">
          <cell r="FC9"/>
        </row>
        <row r="15">
          <cell r="EZ15"/>
          <cell r="FA15"/>
          <cell r="FB15"/>
          <cell r="FC15"/>
        </row>
        <row r="16">
          <cell r="EZ16"/>
          <cell r="FA16"/>
          <cell r="FB16"/>
          <cell r="FC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32">
          <cell r="EZ32"/>
          <cell r="FA32"/>
          <cell r="FB32"/>
          <cell r="FC32"/>
        </row>
        <row r="33">
          <cell r="EZ33"/>
          <cell r="FA33"/>
          <cell r="FB33"/>
          <cell r="FC33"/>
        </row>
        <row r="37">
          <cell r="EZ37"/>
          <cell r="FA37"/>
          <cell r="FB37"/>
          <cell r="FC37"/>
        </row>
        <row r="38">
          <cell r="EZ38"/>
          <cell r="FA38"/>
          <cell r="FB38"/>
          <cell r="FC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5">
        <row r="4">
          <cell r="FC4">
            <v>61</v>
          </cell>
        </row>
        <row r="5">
          <cell r="FC5">
            <v>60</v>
          </cell>
        </row>
        <row r="8">
          <cell r="FC8"/>
        </row>
        <row r="9">
          <cell r="FC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</row>
        <row r="22">
          <cell r="FC22">
            <v>9235</v>
          </cell>
        </row>
        <row r="23">
          <cell r="FC23">
            <v>8403</v>
          </cell>
        </row>
        <row r="27">
          <cell r="FC27">
            <v>279</v>
          </cell>
        </row>
        <row r="28">
          <cell r="FC28">
            <v>328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</row>
        <row r="47">
          <cell r="FC47">
            <v>25680</v>
          </cell>
        </row>
        <row r="48">
          <cell r="FC48">
            <v>50437</v>
          </cell>
        </row>
        <row r="52">
          <cell r="FC52">
            <v>6535</v>
          </cell>
        </row>
        <row r="53">
          <cell r="FC53">
            <v>18354</v>
          </cell>
        </row>
        <row r="57">
          <cell r="FC57"/>
        </row>
        <row r="58">
          <cell r="FC58"/>
        </row>
      </sheetData>
      <sheetData sheetId="6"/>
      <sheetData sheetId="7">
        <row r="4">
          <cell r="FC4">
            <v>748</v>
          </cell>
        </row>
        <row r="5">
          <cell r="FC5">
            <v>750</v>
          </cell>
        </row>
        <row r="8">
          <cell r="FC8"/>
        </row>
        <row r="9">
          <cell r="FC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</row>
        <row r="22">
          <cell r="FC22">
            <v>92373</v>
          </cell>
        </row>
        <row r="23">
          <cell r="FC23">
            <v>82973</v>
          </cell>
        </row>
        <row r="27">
          <cell r="FC27">
            <v>3281</v>
          </cell>
        </row>
        <row r="28">
          <cell r="FC28">
            <v>3462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</row>
        <row r="47">
          <cell r="FC47">
            <v>42775</v>
          </cell>
        </row>
        <row r="48">
          <cell r="FC48">
            <v>92558</v>
          </cell>
        </row>
        <row r="52">
          <cell r="FC52">
            <v>13113</v>
          </cell>
        </row>
        <row r="53">
          <cell r="FC53">
            <v>118167</v>
          </cell>
        </row>
        <row r="57">
          <cell r="FC57"/>
        </row>
        <row r="58">
          <cell r="FC58"/>
        </row>
      </sheetData>
      <sheetData sheetId="8"/>
      <sheetData sheetId="9">
        <row r="4">
          <cell r="FC4">
            <v>73</v>
          </cell>
        </row>
        <row r="5">
          <cell r="FC5">
            <v>73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</row>
        <row r="22">
          <cell r="FC22">
            <v>473</v>
          </cell>
        </row>
        <row r="23">
          <cell r="FC23">
            <v>454</v>
          </cell>
        </row>
        <row r="27">
          <cell r="FC27"/>
        </row>
        <row r="28">
          <cell r="FC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10">
        <row r="4">
          <cell r="FC4"/>
        </row>
        <row r="5">
          <cell r="FC5"/>
        </row>
        <row r="8">
          <cell r="FC8"/>
        </row>
        <row r="9">
          <cell r="FC9"/>
        </row>
        <row r="15">
          <cell r="EZ15"/>
          <cell r="FA15"/>
          <cell r="FB15"/>
          <cell r="FC15"/>
        </row>
        <row r="16">
          <cell r="EZ16"/>
          <cell r="FA16"/>
          <cell r="FB16"/>
          <cell r="FC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32">
          <cell r="EZ32"/>
          <cell r="FA32"/>
          <cell r="FB32"/>
          <cell r="FC32"/>
        </row>
        <row r="33">
          <cell r="EZ33"/>
          <cell r="FA33"/>
          <cell r="FB33"/>
          <cell r="FC33"/>
        </row>
        <row r="37">
          <cell r="EZ37"/>
          <cell r="FA37"/>
          <cell r="FB37"/>
          <cell r="FC37"/>
        </row>
        <row r="38">
          <cell r="EZ38"/>
          <cell r="FA38"/>
          <cell r="FB38"/>
          <cell r="FC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11">
        <row r="4">
          <cell r="FC4">
            <v>5340</v>
          </cell>
        </row>
        <row r="5">
          <cell r="FC5">
            <v>5334</v>
          </cell>
        </row>
        <row r="8">
          <cell r="FC8">
            <v>5</v>
          </cell>
        </row>
        <row r="9">
          <cell r="FC9">
            <v>16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</row>
        <row r="22">
          <cell r="FC22">
            <v>720073</v>
          </cell>
        </row>
        <row r="23">
          <cell r="FC23">
            <v>692655</v>
          </cell>
        </row>
        <row r="27">
          <cell r="FC27">
            <v>27322</v>
          </cell>
        </row>
        <row r="28">
          <cell r="FC28">
            <v>26749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</row>
        <row r="47">
          <cell r="FC47">
            <v>4726226</v>
          </cell>
        </row>
        <row r="48">
          <cell r="FC48">
            <v>1464401</v>
          </cell>
        </row>
        <row r="52">
          <cell r="FC52">
            <v>2800802</v>
          </cell>
        </row>
        <row r="53">
          <cell r="FC53">
            <v>1676567</v>
          </cell>
        </row>
        <row r="57">
          <cell r="FC57"/>
        </row>
        <row r="58">
          <cell r="FC58"/>
        </row>
        <row r="70">
          <cell r="FC70">
            <v>321392</v>
          </cell>
        </row>
        <row r="71">
          <cell r="FC71">
            <v>371263</v>
          </cell>
        </row>
        <row r="73">
          <cell r="FC73">
            <v>32652</v>
          </cell>
        </row>
        <row r="74">
          <cell r="FC74">
            <v>37719</v>
          </cell>
        </row>
      </sheetData>
      <sheetData sheetId="12">
        <row r="4">
          <cell r="FC4">
            <v>87</v>
          </cell>
        </row>
        <row r="5">
          <cell r="FC5">
            <v>88</v>
          </cell>
        </row>
        <row r="8">
          <cell r="FC8"/>
        </row>
        <row r="9">
          <cell r="FC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</row>
        <row r="22">
          <cell r="FC22">
            <v>14316</v>
          </cell>
        </row>
        <row r="23">
          <cell r="FC23">
            <v>13647</v>
          </cell>
        </row>
        <row r="27">
          <cell r="FC27">
            <v>151</v>
          </cell>
        </row>
        <row r="28">
          <cell r="FC28">
            <v>154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13">
        <row r="4">
          <cell r="FC4"/>
        </row>
        <row r="5">
          <cell r="FC5"/>
        </row>
        <row r="8">
          <cell r="FC8"/>
        </row>
        <row r="9">
          <cell r="FC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14">
        <row r="8">
          <cell r="FC8"/>
        </row>
        <row r="9">
          <cell r="FC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</row>
        <row r="47">
          <cell r="FC47">
            <v>44292</v>
          </cell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15"/>
      <sheetData sheetId="16">
        <row r="4">
          <cell r="FC4"/>
        </row>
        <row r="5">
          <cell r="FC5"/>
        </row>
        <row r="8">
          <cell r="FC8"/>
        </row>
        <row r="9">
          <cell r="FC9"/>
        </row>
        <row r="15">
          <cell r="EZ15"/>
          <cell r="FA15"/>
          <cell r="FB15">
            <v>2</v>
          </cell>
          <cell r="FC15">
            <v>13</v>
          </cell>
        </row>
        <row r="16">
          <cell r="EZ16"/>
          <cell r="FA16"/>
          <cell r="FB16">
            <v>2</v>
          </cell>
          <cell r="FC16">
            <v>13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32">
          <cell r="EZ32"/>
          <cell r="FA32"/>
          <cell r="FB32">
            <v>487</v>
          </cell>
          <cell r="FC32">
            <v>3256</v>
          </cell>
        </row>
        <row r="33">
          <cell r="EZ33"/>
          <cell r="FA33"/>
          <cell r="FB33">
            <v>273</v>
          </cell>
          <cell r="FC33">
            <v>2784</v>
          </cell>
        </row>
        <row r="37">
          <cell r="EZ37"/>
          <cell r="FA37"/>
          <cell r="FB37">
            <v>2</v>
          </cell>
          <cell r="FC37">
            <v>13</v>
          </cell>
        </row>
        <row r="38">
          <cell r="EZ38"/>
          <cell r="FA38"/>
          <cell r="FB38">
            <v>2</v>
          </cell>
          <cell r="FC38">
            <v>21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</row>
        <row r="47">
          <cell r="FC47">
            <v>105481</v>
          </cell>
        </row>
        <row r="48">
          <cell r="FC48"/>
        </row>
        <row r="52">
          <cell r="FC52">
            <v>40455</v>
          </cell>
        </row>
        <row r="53">
          <cell r="FC53"/>
        </row>
        <row r="57">
          <cell r="FC57"/>
        </row>
        <row r="58">
          <cell r="FC58"/>
        </row>
      </sheetData>
      <sheetData sheetId="17"/>
      <sheetData sheetId="18">
        <row r="4">
          <cell r="FC4">
            <v>797</v>
          </cell>
        </row>
        <row r="5">
          <cell r="FC5">
            <v>798</v>
          </cell>
        </row>
        <row r="8">
          <cell r="FC8"/>
        </row>
        <row r="9">
          <cell r="FC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</row>
        <row r="22">
          <cell r="FC22">
            <v>95943</v>
          </cell>
        </row>
        <row r="23">
          <cell r="FC23">
            <v>87876</v>
          </cell>
        </row>
        <row r="27">
          <cell r="FC27">
            <v>1437</v>
          </cell>
        </row>
        <row r="28">
          <cell r="FC28">
            <v>1600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</row>
        <row r="47">
          <cell r="FC47">
            <v>203437</v>
          </cell>
        </row>
        <row r="48">
          <cell r="FC48"/>
        </row>
        <row r="52">
          <cell r="FC52">
            <v>104100</v>
          </cell>
        </row>
        <row r="53">
          <cell r="FC53"/>
        </row>
        <row r="57">
          <cell r="FC57"/>
        </row>
        <row r="58">
          <cell r="FC58"/>
        </row>
        <row r="70">
          <cell r="FC70">
            <v>86088</v>
          </cell>
        </row>
        <row r="71">
          <cell r="FC71">
            <v>1788</v>
          </cell>
        </row>
        <row r="73">
          <cell r="FC73"/>
        </row>
        <row r="74">
          <cell r="FC74"/>
        </row>
      </sheetData>
      <sheetData sheetId="19">
        <row r="4">
          <cell r="FC4">
            <v>410</v>
          </cell>
        </row>
        <row r="5">
          <cell r="FC5">
            <v>410</v>
          </cell>
        </row>
        <row r="8">
          <cell r="FC8"/>
        </row>
        <row r="9">
          <cell r="FC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</row>
        <row r="22">
          <cell r="FC22">
            <v>56296</v>
          </cell>
        </row>
        <row r="23">
          <cell r="FC23">
            <v>48330</v>
          </cell>
        </row>
        <row r="27">
          <cell r="FC27">
            <v>454</v>
          </cell>
        </row>
        <row r="28">
          <cell r="FC28">
            <v>459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  <row r="70">
          <cell r="FC70"/>
        </row>
        <row r="71">
          <cell r="FC71"/>
        </row>
        <row r="73">
          <cell r="FC73"/>
        </row>
        <row r="74">
          <cell r="FC74"/>
        </row>
      </sheetData>
      <sheetData sheetId="20">
        <row r="4">
          <cell r="FC4">
            <v>709</v>
          </cell>
        </row>
        <row r="5">
          <cell r="FC5">
            <v>720</v>
          </cell>
        </row>
        <row r="8">
          <cell r="FC8">
            <v>52</v>
          </cell>
        </row>
        <row r="9">
          <cell r="FC9">
            <v>52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</row>
        <row r="22">
          <cell r="FC22">
            <v>93913</v>
          </cell>
        </row>
        <row r="23">
          <cell r="FC23">
            <v>82150</v>
          </cell>
        </row>
        <row r="27">
          <cell r="FC27">
            <v>1867</v>
          </cell>
        </row>
        <row r="28">
          <cell r="FC28">
            <v>1831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</row>
        <row r="47">
          <cell r="FC47">
            <v>137309</v>
          </cell>
        </row>
        <row r="48">
          <cell r="FC48">
            <v>596316</v>
          </cell>
        </row>
        <row r="52">
          <cell r="FC52">
            <v>111425</v>
          </cell>
        </row>
        <row r="53">
          <cell r="FC53">
            <v>305831</v>
          </cell>
        </row>
        <row r="57">
          <cell r="FC57"/>
        </row>
        <row r="58">
          <cell r="FC58"/>
        </row>
        <row r="70">
          <cell r="FC70">
            <v>79682</v>
          </cell>
        </row>
        <row r="71">
          <cell r="FC71">
            <v>2468</v>
          </cell>
        </row>
        <row r="73">
          <cell r="FC73">
            <v>13426</v>
          </cell>
        </row>
        <row r="74">
          <cell r="FC74">
            <v>26</v>
          </cell>
        </row>
      </sheetData>
      <sheetData sheetId="21">
        <row r="4">
          <cell r="FC4">
            <v>312</v>
          </cell>
        </row>
        <row r="5">
          <cell r="FC5">
            <v>312</v>
          </cell>
        </row>
        <row r="8">
          <cell r="FC8"/>
        </row>
        <row r="9">
          <cell r="FC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</row>
        <row r="22">
          <cell r="FC22">
            <v>38780</v>
          </cell>
        </row>
        <row r="23">
          <cell r="FC23">
            <v>35281</v>
          </cell>
        </row>
        <row r="27">
          <cell r="FC27">
            <v>1251</v>
          </cell>
        </row>
        <row r="28">
          <cell r="FC28">
            <v>1398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</row>
        <row r="47">
          <cell r="FC47">
            <v>57575</v>
          </cell>
        </row>
        <row r="48">
          <cell r="FC48">
            <v>129188</v>
          </cell>
        </row>
        <row r="52">
          <cell r="FC52">
            <v>34973</v>
          </cell>
        </row>
        <row r="53">
          <cell r="FC53">
            <v>155362</v>
          </cell>
        </row>
        <row r="57">
          <cell r="FC57"/>
        </row>
        <row r="58">
          <cell r="FC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</sheetData>
      <sheetData sheetId="25">
        <row r="8">
          <cell r="FC8"/>
        </row>
        <row r="9">
          <cell r="FC9"/>
        </row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</row>
        <row r="37">
          <cell r="EZ37"/>
          <cell r="FA37"/>
          <cell r="FB37"/>
          <cell r="FC37"/>
        </row>
        <row r="38">
          <cell r="EZ38"/>
          <cell r="FA38"/>
          <cell r="FB38"/>
          <cell r="FC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</sheetData>
      <sheetData sheetId="26">
        <row r="4">
          <cell r="FC4"/>
        </row>
        <row r="5">
          <cell r="FC5"/>
        </row>
        <row r="8">
          <cell r="FC8"/>
        </row>
        <row r="9">
          <cell r="FC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</row>
        <row r="47">
          <cell r="FC47"/>
        </row>
        <row r="48">
          <cell r="FC48"/>
        </row>
        <row r="52">
          <cell r="BH52"/>
        </row>
        <row r="53">
          <cell r="FC53"/>
        </row>
        <row r="57">
          <cell r="BG57"/>
        </row>
        <row r="58">
          <cell r="BG58"/>
        </row>
      </sheetData>
      <sheetData sheetId="27">
        <row r="4">
          <cell r="FC4">
            <v>8</v>
          </cell>
        </row>
        <row r="5">
          <cell r="FC5">
            <v>8</v>
          </cell>
        </row>
        <row r="8">
          <cell r="FC8"/>
        </row>
        <row r="9">
          <cell r="FC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</row>
        <row r="22">
          <cell r="FC22">
            <v>429</v>
          </cell>
        </row>
        <row r="23">
          <cell r="FC23">
            <v>416</v>
          </cell>
        </row>
        <row r="27">
          <cell r="FC27">
            <v>21</v>
          </cell>
        </row>
        <row r="28">
          <cell r="FC28">
            <v>28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</row>
        <row r="47">
          <cell r="FC47">
            <v>2</v>
          </cell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28">
        <row r="4">
          <cell r="FC4">
            <v>406</v>
          </cell>
        </row>
        <row r="5">
          <cell r="FC5">
            <v>404</v>
          </cell>
        </row>
        <row r="8">
          <cell r="FC8"/>
        </row>
        <row r="9">
          <cell r="FC9">
            <v>1</v>
          </cell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</row>
        <row r="16">
          <cell r="EZ16">
            <v>1</v>
          </cell>
          <cell r="FA16"/>
          <cell r="FB16">
            <v>38</v>
          </cell>
          <cell r="FC16">
            <v>80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</row>
        <row r="22">
          <cell r="FC22">
            <v>23195</v>
          </cell>
        </row>
        <row r="23">
          <cell r="FC23">
            <v>22697</v>
          </cell>
        </row>
        <row r="27">
          <cell r="FC27">
            <v>804</v>
          </cell>
        </row>
        <row r="28">
          <cell r="FC28">
            <v>748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</row>
        <row r="33">
          <cell r="EZ33">
            <v>24</v>
          </cell>
          <cell r="FA33"/>
          <cell r="FB33">
            <v>2381</v>
          </cell>
          <cell r="FC33">
            <v>5124</v>
          </cell>
        </row>
        <row r="37">
          <cell r="EZ37"/>
          <cell r="FA37"/>
          <cell r="FB37">
            <v>52</v>
          </cell>
          <cell r="FC37">
            <v>108</v>
          </cell>
        </row>
        <row r="38">
          <cell r="EZ38">
            <v>4</v>
          </cell>
          <cell r="FA38"/>
          <cell r="FB38">
            <v>43</v>
          </cell>
          <cell r="FC38">
            <v>79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G58"/>
        </row>
        <row r="70">
          <cell r="FC70">
            <v>9782</v>
          </cell>
        </row>
        <row r="71">
          <cell r="FC71">
            <v>12915</v>
          </cell>
        </row>
        <row r="73">
          <cell r="FC73">
            <v>2208</v>
          </cell>
        </row>
        <row r="74">
          <cell r="FC74">
            <v>2916</v>
          </cell>
        </row>
      </sheetData>
      <sheetData sheetId="29"/>
      <sheetData sheetId="30"/>
      <sheetData sheetId="31"/>
      <sheetData sheetId="32">
        <row r="4">
          <cell r="FC4">
            <v>371</v>
          </cell>
        </row>
        <row r="5">
          <cell r="FC5">
            <v>368</v>
          </cell>
        </row>
        <row r="8">
          <cell r="FC8"/>
        </row>
        <row r="9">
          <cell r="FC9">
            <v>2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</row>
        <row r="22">
          <cell r="FC22">
            <v>22478</v>
          </cell>
        </row>
        <row r="23">
          <cell r="FC23">
            <v>22338</v>
          </cell>
        </row>
        <row r="27">
          <cell r="FC27">
            <v>1066</v>
          </cell>
        </row>
        <row r="28">
          <cell r="FC28">
            <v>934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G58"/>
        </row>
        <row r="70">
          <cell r="BG70">
            <v>26242</v>
          </cell>
          <cell r="FC70">
            <v>9561</v>
          </cell>
        </row>
        <row r="71">
          <cell r="BG71">
            <v>44562</v>
          </cell>
          <cell r="FC71">
            <v>12777</v>
          </cell>
        </row>
        <row r="73">
          <cell r="BG73">
            <v>1540</v>
          </cell>
          <cell r="FC73">
            <v>1527</v>
          </cell>
        </row>
        <row r="74">
          <cell r="BG74">
            <v>2614</v>
          </cell>
          <cell r="FC74">
            <v>2040</v>
          </cell>
        </row>
      </sheetData>
      <sheetData sheetId="33"/>
      <sheetData sheetId="34">
        <row r="4">
          <cell r="FC4">
            <v>10</v>
          </cell>
        </row>
        <row r="5">
          <cell r="FC5">
            <v>10</v>
          </cell>
        </row>
        <row r="8">
          <cell r="FC8"/>
        </row>
        <row r="9">
          <cell r="FC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</row>
        <row r="22">
          <cell r="FC22">
            <v>423</v>
          </cell>
        </row>
        <row r="23">
          <cell r="FC23">
            <v>427</v>
          </cell>
        </row>
        <row r="27">
          <cell r="FC27">
            <v>15</v>
          </cell>
        </row>
        <row r="28">
          <cell r="FC28">
            <v>5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G58"/>
        </row>
      </sheetData>
      <sheetData sheetId="35"/>
      <sheetData sheetId="36">
        <row r="4">
          <cell r="FC4">
            <v>213</v>
          </cell>
        </row>
        <row r="5">
          <cell r="FC5">
            <v>211</v>
          </cell>
        </row>
        <row r="8">
          <cell r="FC8"/>
        </row>
        <row r="9">
          <cell r="FC9"/>
        </row>
        <row r="15">
          <cell r="EZ15">
            <v>54</v>
          </cell>
          <cell r="FA15">
            <v>63</v>
          </cell>
          <cell r="FB15">
            <v>48</v>
          </cell>
          <cell r="FC15"/>
        </row>
        <row r="16">
          <cell r="EZ16">
            <v>49</v>
          </cell>
          <cell r="FA16">
            <v>64</v>
          </cell>
          <cell r="FB16">
            <v>50</v>
          </cell>
          <cell r="FC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</row>
        <row r="22">
          <cell r="FC22">
            <v>11999</v>
          </cell>
        </row>
        <row r="23">
          <cell r="FC23">
            <v>11561</v>
          </cell>
        </row>
        <row r="27">
          <cell r="FC27">
            <v>461</v>
          </cell>
        </row>
        <row r="28">
          <cell r="FC28">
            <v>403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</row>
        <row r="33">
          <cell r="EZ33">
            <v>2602</v>
          </cell>
          <cell r="FA33">
            <v>3467</v>
          </cell>
          <cell r="FB33">
            <v>2945</v>
          </cell>
          <cell r="FC33"/>
        </row>
        <row r="37">
          <cell r="EZ37">
            <v>33</v>
          </cell>
          <cell r="FA37">
            <v>59</v>
          </cell>
          <cell r="FB37">
            <v>47</v>
          </cell>
          <cell r="FC37"/>
        </row>
        <row r="38">
          <cell r="EZ38">
            <v>26</v>
          </cell>
          <cell r="FA38">
            <v>49</v>
          </cell>
          <cell r="FB38">
            <v>44</v>
          </cell>
          <cell r="FC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K58"/>
        </row>
        <row r="70">
          <cell r="FC70">
            <v>5769</v>
          </cell>
        </row>
        <row r="71">
          <cell r="FC71">
            <v>5792</v>
          </cell>
        </row>
        <row r="73">
          <cell r="FC73"/>
        </row>
        <row r="74">
          <cell r="FC74"/>
        </row>
      </sheetData>
      <sheetData sheetId="37">
        <row r="4">
          <cell r="FC4">
            <v>1</v>
          </cell>
        </row>
        <row r="5">
          <cell r="FC5">
            <v>1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</row>
        <row r="22">
          <cell r="FC22">
            <v>65</v>
          </cell>
        </row>
        <row r="23">
          <cell r="FC23">
            <v>68</v>
          </cell>
        </row>
        <row r="27">
          <cell r="FC27">
            <v>1</v>
          </cell>
        </row>
        <row r="28">
          <cell r="FC28">
            <v>1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AJ57"/>
        </row>
        <row r="58">
          <cell r="AJ58"/>
        </row>
      </sheetData>
      <sheetData sheetId="38"/>
      <sheetData sheetId="39">
        <row r="4">
          <cell r="FC4">
            <v>153</v>
          </cell>
        </row>
        <row r="5">
          <cell r="FC5">
            <v>153</v>
          </cell>
        </row>
        <row r="8">
          <cell r="FC8"/>
        </row>
        <row r="9">
          <cell r="FC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</row>
        <row r="22">
          <cell r="FC22">
            <v>9356</v>
          </cell>
        </row>
        <row r="23">
          <cell r="FC23">
            <v>8269</v>
          </cell>
        </row>
        <row r="27">
          <cell r="FC27">
            <v>412</v>
          </cell>
        </row>
        <row r="28">
          <cell r="FC28">
            <v>417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40">
        <row r="4">
          <cell r="FC4"/>
        </row>
        <row r="5">
          <cell r="FC5"/>
        </row>
        <row r="8">
          <cell r="FC8"/>
        </row>
        <row r="9">
          <cell r="FC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AJ57"/>
        </row>
        <row r="58">
          <cell r="AJ58"/>
        </row>
      </sheetData>
      <sheetData sheetId="41"/>
      <sheetData sheetId="42">
        <row r="4">
          <cell r="FC4">
            <v>1229</v>
          </cell>
        </row>
        <row r="5">
          <cell r="FC5">
            <v>1229</v>
          </cell>
        </row>
        <row r="8">
          <cell r="FC8"/>
        </row>
        <row r="9">
          <cell r="FC9">
            <v>1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</row>
        <row r="22">
          <cell r="FC22">
            <v>62005</v>
          </cell>
        </row>
        <row r="23">
          <cell r="FC23">
            <v>60106</v>
          </cell>
        </row>
        <row r="27">
          <cell r="FC27">
            <v>2276</v>
          </cell>
        </row>
        <row r="28">
          <cell r="FC28">
            <v>2468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  <row r="70">
          <cell r="FC70">
            <v>19595</v>
          </cell>
        </row>
        <row r="71">
          <cell r="FC71">
            <v>40511</v>
          </cell>
        </row>
        <row r="73">
          <cell r="FC73">
            <v>20</v>
          </cell>
        </row>
        <row r="74">
          <cell r="FC74">
            <v>40</v>
          </cell>
        </row>
      </sheetData>
      <sheetData sheetId="43">
        <row r="4">
          <cell r="FC4">
            <v>18</v>
          </cell>
        </row>
        <row r="5">
          <cell r="FC5">
            <v>18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</row>
        <row r="22">
          <cell r="FC22">
            <v>882</v>
          </cell>
        </row>
        <row r="23">
          <cell r="FC23">
            <v>793</v>
          </cell>
        </row>
        <row r="27">
          <cell r="FC27">
            <v>36</v>
          </cell>
        </row>
        <row r="28">
          <cell r="FC28">
            <v>16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G58"/>
        </row>
      </sheetData>
      <sheetData sheetId="44">
        <row r="4">
          <cell r="FC4">
            <v>211</v>
          </cell>
        </row>
        <row r="5">
          <cell r="FC5">
            <v>211</v>
          </cell>
        </row>
        <row r="8">
          <cell r="FC8"/>
        </row>
        <row r="9">
          <cell r="FC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</row>
        <row r="22">
          <cell r="FC22">
            <v>11561</v>
          </cell>
        </row>
        <row r="23">
          <cell r="FC23">
            <v>10657</v>
          </cell>
        </row>
        <row r="27">
          <cell r="FC27">
            <v>442</v>
          </cell>
        </row>
        <row r="28">
          <cell r="FC28">
            <v>488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45">
        <row r="4">
          <cell r="FC4">
            <v>157</v>
          </cell>
        </row>
        <row r="5">
          <cell r="FC5">
            <v>157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</row>
        <row r="22">
          <cell r="FC22">
            <v>9540</v>
          </cell>
        </row>
        <row r="23">
          <cell r="FC23">
            <v>8739</v>
          </cell>
        </row>
        <row r="27">
          <cell r="FC27">
            <v>412</v>
          </cell>
        </row>
        <row r="28">
          <cell r="FC28">
            <v>451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</sheetData>
      <sheetData sheetId="46"/>
      <sheetData sheetId="47">
        <row r="4">
          <cell r="FC4">
            <v>2812</v>
          </cell>
        </row>
        <row r="5">
          <cell r="FC5">
            <v>2812</v>
          </cell>
        </row>
        <row r="8">
          <cell r="FC8"/>
        </row>
        <row r="9">
          <cell r="FC9">
            <v>1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</row>
        <row r="22">
          <cell r="FC22">
            <v>127591</v>
          </cell>
        </row>
        <row r="23">
          <cell r="FC23">
            <v>125829</v>
          </cell>
        </row>
        <row r="27">
          <cell r="FC27">
            <v>5422</v>
          </cell>
        </row>
        <row r="28">
          <cell r="FC28">
            <v>5035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  <row r="70">
          <cell r="FC70">
            <v>36490</v>
          </cell>
        </row>
        <row r="71">
          <cell r="FC71">
            <v>89339</v>
          </cell>
        </row>
        <row r="73">
          <cell r="FC73">
            <v>3889</v>
          </cell>
        </row>
        <row r="74">
          <cell r="FC74">
            <v>9520</v>
          </cell>
        </row>
      </sheetData>
      <sheetData sheetId="48">
        <row r="4">
          <cell r="FC4">
            <v>140</v>
          </cell>
        </row>
        <row r="5">
          <cell r="FC5">
            <v>140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</row>
        <row r="22">
          <cell r="FC22">
            <v>9003</v>
          </cell>
        </row>
        <row r="23">
          <cell r="FC23">
            <v>8546</v>
          </cell>
        </row>
        <row r="27">
          <cell r="FC27">
            <v>204</v>
          </cell>
        </row>
        <row r="28">
          <cell r="FC28">
            <v>222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</row>
      </sheetData>
      <sheetData sheetId="50">
        <row r="4">
          <cell r="FC4">
            <v>10</v>
          </cell>
        </row>
        <row r="5">
          <cell r="FC5">
            <v>10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</row>
        <row r="22">
          <cell r="FC22">
            <v>566</v>
          </cell>
        </row>
        <row r="23">
          <cell r="FC23">
            <v>523</v>
          </cell>
        </row>
        <row r="27">
          <cell r="FC27">
            <v>32</v>
          </cell>
        </row>
        <row r="28">
          <cell r="FC28">
            <v>30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FC58"/>
        </row>
      </sheetData>
      <sheetData sheetId="51">
        <row r="4">
          <cell r="FC4">
            <v>30</v>
          </cell>
        </row>
        <row r="5">
          <cell r="FC5">
            <v>30</v>
          </cell>
        </row>
        <row r="8">
          <cell r="FC8"/>
        </row>
        <row r="9">
          <cell r="FC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</row>
        <row r="22">
          <cell r="FC22">
            <v>2093</v>
          </cell>
        </row>
        <row r="23">
          <cell r="FC23">
            <v>1980</v>
          </cell>
        </row>
        <row r="27">
          <cell r="FC27">
            <v>74</v>
          </cell>
        </row>
        <row r="28">
          <cell r="FC28">
            <v>81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</row>
        <row r="47">
          <cell r="FC47">
            <v>1405</v>
          </cell>
        </row>
        <row r="48">
          <cell r="FC48">
            <v>3154</v>
          </cell>
        </row>
        <row r="52">
          <cell r="FC52"/>
        </row>
        <row r="53">
          <cell r="FC53">
            <v>641</v>
          </cell>
        </row>
        <row r="57">
          <cell r="FC57"/>
        </row>
        <row r="58">
          <cell r="FC58"/>
        </row>
      </sheetData>
      <sheetData sheetId="52">
        <row r="4">
          <cell r="FC4">
            <v>2</v>
          </cell>
        </row>
        <row r="5">
          <cell r="FC5">
            <v>2</v>
          </cell>
        </row>
        <row r="8">
          <cell r="FC8"/>
        </row>
        <row r="9">
          <cell r="FC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</row>
        <row r="22">
          <cell r="FC22">
            <v>139</v>
          </cell>
        </row>
        <row r="23">
          <cell r="FC23">
            <v>114</v>
          </cell>
        </row>
        <row r="27">
          <cell r="FC27">
            <v>6</v>
          </cell>
        </row>
        <row r="28">
          <cell r="FC28">
            <v>2</v>
          </cell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H58"/>
        </row>
        <row r="70">
          <cell r="FC70">
            <v>73</v>
          </cell>
        </row>
        <row r="71">
          <cell r="FC71">
            <v>41</v>
          </cell>
        </row>
        <row r="73">
          <cell r="FC73"/>
        </row>
        <row r="74">
          <cell r="FC74"/>
        </row>
      </sheetData>
      <sheetData sheetId="53">
        <row r="4">
          <cell r="FC4"/>
        </row>
        <row r="5">
          <cell r="FC5"/>
        </row>
        <row r="8">
          <cell r="FC8"/>
        </row>
        <row r="9">
          <cell r="FC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</row>
        <row r="22">
          <cell r="FC22"/>
        </row>
        <row r="23">
          <cell r="FC23"/>
        </row>
        <row r="27">
          <cell r="FC27"/>
        </row>
        <row r="28">
          <cell r="FC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</row>
        <row r="47">
          <cell r="FC47"/>
        </row>
        <row r="48">
          <cell r="FC48"/>
        </row>
        <row r="52">
          <cell r="FC52"/>
        </row>
        <row r="53">
          <cell r="FC53"/>
        </row>
        <row r="57">
          <cell r="FC57"/>
        </row>
        <row r="58">
          <cell r="BG58"/>
        </row>
      </sheetData>
      <sheetData sheetId="54"/>
      <sheetData sheetId="55"/>
      <sheetData sheetId="56"/>
      <sheetData sheetId="57">
        <row r="4">
          <cell r="FC4"/>
        </row>
        <row r="5">
          <cell r="FC5"/>
        </row>
        <row r="15">
          <cell r="EZ15"/>
          <cell r="FA15"/>
          <cell r="FB15"/>
          <cell r="FC15"/>
        </row>
        <row r="16">
          <cell r="EZ16"/>
          <cell r="FA16"/>
          <cell r="FB16"/>
          <cell r="FC16"/>
        </row>
        <row r="22">
          <cell r="FC22"/>
        </row>
        <row r="23">
          <cell r="FC23"/>
        </row>
        <row r="32">
          <cell r="EZ32"/>
          <cell r="FA32"/>
          <cell r="FB32"/>
          <cell r="FC32"/>
        </row>
        <row r="33">
          <cell r="EZ33"/>
          <cell r="FA33"/>
          <cell r="FB33"/>
          <cell r="FC33"/>
        </row>
        <row r="37">
          <cell r="EZ37"/>
          <cell r="FA37"/>
          <cell r="FB37"/>
          <cell r="FC37"/>
        </row>
        <row r="38">
          <cell r="EZ38"/>
          <cell r="FA38"/>
          <cell r="FB38"/>
          <cell r="FC38"/>
        </row>
      </sheetData>
      <sheetData sheetId="58">
        <row r="4">
          <cell r="FC4"/>
        </row>
        <row r="5">
          <cell r="FC5"/>
        </row>
        <row r="15">
          <cell r="FC15"/>
        </row>
        <row r="16">
          <cell r="FC16"/>
        </row>
        <row r="22">
          <cell r="FC22"/>
        </row>
        <row r="23">
          <cell r="FC23"/>
        </row>
        <row r="32">
          <cell r="FC32"/>
        </row>
        <row r="33">
          <cell r="FC33"/>
        </row>
      </sheetData>
      <sheetData sheetId="59">
        <row r="15">
          <cell r="EZ15"/>
          <cell r="FA15">
            <v>1</v>
          </cell>
          <cell r="FB15"/>
          <cell r="FC15"/>
        </row>
        <row r="16">
          <cell r="EZ16"/>
          <cell r="FA16">
            <v>1</v>
          </cell>
          <cell r="FB16"/>
          <cell r="FC16"/>
        </row>
        <row r="32">
          <cell r="EZ32"/>
          <cell r="FA32">
            <v>103</v>
          </cell>
          <cell r="FB32"/>
          <cell r="FC32"/>
        </row>
        <row r="33">
          <cell r="EZ33"/>
          <cell r="FA33">
            <v>102</v>
          </cell>
          <cell r="FB33"/>
          <cell r="FC33"/>
        </row>
        <row r="37">
          <cell r="EZ37"/>
          <cell r="FA37"/>
          <cell r="FB37"/>
          <cell r="FC37"/>
        </row>
        <row r="38">
          <cell r="EZ38"/>
          <cell r="FA38"/>
          <cell r="FB38"/>
          <cell r="FC38"/>
        </row>
      </sheetData>
      <sheetData sheetId="60"/>
      <sheetData sheetId="61">
        <row r="4">
          <cell r="FC4">
            <v>1</v>
          </cell>
        </row>
        <row r="5">
          <cell r="FC5">
            <v>1</v>
          </cell>
        </row>
        <row r="15">
          <cell r="EZ15"/>
          <cell r="FA15"/>
          <cell r="FB15"/>
          <cell r="FC15"/>
        </row>
        <row r="16">
          <cell r="EZ16"/>
          <cell r="FA16"/>
          <cell r="FB16"/>
          <cell r="FC16"/>
        </row>
        <row r="22">
          <cell r="FC22">
            <v>150</v>
          </cell>
        </row>
        <row r="23">
          <cell r="FC23">
            <v>150</v>
          </cell>
        </row>
        <row r="32">
          <cell r="EZ32"/>
          <cell r="FA32"/>
          <cell r="FB32"/>
          <cell r="FC32"/>
        </row>
        <row r="33">
          <cell r="EZ33"/>
          <cell r="FA33"/>
          <cell r="FB33"/>
          <cell r="FC33"/>
        </row>
        <row r="37">
          <cell r="EZ37"/>
          <cell r="FA37"/>
          <cell r="FB37"/>
          <cell r="FC37"/>
        </row>
        <row r="38">
          <cell r="EZ38"/>
          <cell r="FA38"/>
          <cell r="FB38"/>
          <cell r="FC38"/>
        </row>
      </sheetData>
      <sheetData sheetId="62"/>
      <sheetData sheetId="63">
        <row r="4">
          <cell r="FC4">
            <v>20</v>
          </cell>
        </row>
        <row r="5">
          <cell r="FC5">
            <v>20</v>
          </cell>
        </row>
        <row r="12">
          <cell r="EL12">
            <v>42</v>
          </cell>
          <cell r="EM12">
            <v>42</v>
          </cell>
          <cell r="EN12">
            <v>46</v>
          </cell>
          <cell r="EO12">
            <v>42</v>
          </cell>
          <cell r="EZ12">
            <v>44</v>
          </cell>
          <cell r="FA12">
            <v>40</v>
          </cell>
          <cell r="FB12">
            <v>44</v>
          </cell>
          <cell r="FC12">
            <v>40</v>
          </cell>
        </row>
        <row r="47">
          <cell r="FC47">
            <v>730139</v>
          </cell>
        </row>
        <row r="48">
          <cell r="FC48"/>
        </row>
        <row r="52">
          <cell r="FC52">
            <v>480620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</row>
      </sheetData>
      <sheetData sheetId="64">
        <row r="4">
          <cell r="FC4">
            <v>30</v>
          </cell>
        </row>
        <row r="5">
          <cell r="FC5">
            <v>30</v>
          </cell>
        </row>
        <row r="12">
          <cell r="EL12">
            <v>60</v>
          </cell>
          <cell r="EM12">
            <v>60</v>
          </cell>
          <cell r="EN12">
            <v>72</v>
          </cell>
          <cell r="EO12">
            <v>68</v>
          </cell>
          <cell r="EZ12">
            <v>62</v>
          </cell>
          <cell r="FA12">
            <v>64</v>
          </cell>
          <cell r="FB12">
            <v>72</v>
          </cell>
          <cell r="FC12">
            <v>60</v>
          </cell>
        </row>
        <row r="15">
          <cell r="FC15"/>
        </row>
        <row r="47">
          <cell r="FC47">
            <v>43965</v>
          </cell>
        </row>
        <row r="48">
          <cell r="FC48"/>
        </row>
        <row r="52">
          <cell r="FC52">
            <v>41299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</row>
      </sheetData>
      <sheetData sheetId="65">
        <row r="12"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</row>
        <row r="15">
          <cell r="FC15">
            <v>21</v>
          </cell>
        </row>
        <row r="16">
          <cell r="FC16">
            <v>21</v>
          </cell>
        </row>
        <row r="47">
          <cell r="FC47">
            <v>34941</v>
          </cell>
        </row>
        <row r="48">
          <cell r="FC48"/>
        </row>
        <row r="52">
          <cell r="FC52">
            <v>76200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</row>
      </sheetData>
      <sheetData sheetId="66">
        <row r="4">
          <cell r="FC4">
            <v>88</v>
          </cell>
        </row>
        <row r="5">
          <cell r="FC5">
            <v>88</v>
          </cell>
        </row>
        <row r="12">
          <cell r="EL12">
            <v>168</v>
          </cell>
          <cell r="EM12">
            <v>158</v>
          </cell>
          <cell r="EN12">
            <v>186</v>
          </cell>
          <cell r="EO12">
            <v>166</v>
          </cell>
          <cell r="EZ12">
            <v>176</v>
          </cell>
          <cell r="FA12">
            <v>168</v>
          </cell>
          <cell r="FB12">
            <v>198</v>
          </cell>
          <cell r="FC12">
            <v>176</v>
          </cell>
        </row>
        <row r="15">
          <cell r="FC15"/>
        </row>
        <row r="47">
          <cell r="FC47">
            <v>8535918</v>
          </cell>
        </row>
        <row r="48">
          <cell r="FC48"/>
        </row>
        <row r="52">
          <cell r="FC52">
            <v>8027783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</row>
      </sheetData>
      <sheetData sheetId="67">
        <row r="4">
          <cell r="FC4">
            <v>90</v>
          </cell>
        </row>
        <row r="5">
          <cell r="FC5">
            <v>90</v>
          </cell>
        </row>
        <row r="12">
          <cell r="EL12">
            <v>166</v>
          </cell>
          <cell r="EM12">
            <v>158</v>
          </cell>
          <cell r="EN12">
            <v>180</v>
          </cell>
          <cell r="EO12">
            <v>162</v>
          </cell>
          <cell r="EZ12">
            <v>182</v>
          </cell>
          <cell r="FA12">
            <v>166</v>
          </cell>
          <cell r="FB12">
            <v>204</v>
          </cell>
          <cell r="FC12">
            <v>180</v>
          </cell>
        </row>
        <row r="15">
          <cell r="FC15">
            <v>16</v>
          </cell>
        </row>
        <row r="16">
          <cell r="FC16">
            <v>16</v>
          </cell>
        </row>
        <row r="47">
          <cell r="FC47">
            <v>4849248</v>
          </cell>
        </row>
        <row r="48">
          <cell r="FC48">
            <v>815</v>
          </cell>
        </row>
        <row r="52">
          <cell r="FC52">
            <v>4103018</v>
          </cell>
        </row>
        <row r="53">
          <cell r="FC53">
            <v>573429</v>
          </cell>
        </row>
        <row r="57">
          <cell r="FC57"/>
        </row>
        <row r="58">
          <cell r="FC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</row>
      </sheetData>
      <sheetData sheetId="68"/>
      <sheetData sheetId="69"/>
      <sheetData sheetId="70"/>
      <sheetData sheetId="71">
        <row r="4">
          <cell r="FC4">
            <v>247</v>
          </cell>
        </row>
        <row r="5">
          <cell r="FC5">
            <v>247</v>
          </cell>
        </row>
        <row r="12">
          <cell r="EL12">
            <v>456</v>
          </cell>
          <cell r="EM12">
            <v>438</v>
          </cell>
          <cell r="EN12">
            <v>486</v>
          </cell>
          <cell r="EO12">
            <v>444</v>
          </cell>
          <cell r="EZ12">
            <v>540</v>
          </cell>
          <cell r="FA12">
            <v>492</v>
          </cell>
          <cell r="FB12">
            <v>566</v>
          </cell>
          <cell r="FC12">
            <v>494</v>
          </cell>
        </row>
      </sheetData>
      <sheetData sheetId="72">
        <row r="4">
          <cell r="FC4">
            <v>20</v>
          </cell>
        </row>
        <row r="5">
          <cell r="FC5">
            <v>20</v>
          </cell>
        </row>
        <row r="12">
          <cell r="EL12">
            <v>42</v>
          </cell>
          <cell r="EM12">
            <v>40</v>
          </cell>
          <cell r="EN12">
            <v>48</v>
          </cell>
          <cell r="EO12">
            <v>42</v>
          </cell>
          <cell r="EZ12">
            <v>40</v>
          </cell>
          <cell r="FA12">
            <v>42</v>
          </cell>
          <cell r="FB12">
            <v>48</v>
          </cell>
          <cell r="FC12">
            <v>40</v>
          </cell>
        </row>
        <row r="47">
          <cell r="FC47">
            <v>28995</v>
          </cell>
        </row>
        <row r="48">
          <cell r="FC48"/>
        </row>
        <row r="52">
          <cell r="FC52">
            <v>27795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</row>
      </sheetData>
      <sheetData sheetId="73">
        <row r="4">
          <cell r="FC4">
            <v>21</v>
          </cell>
        </row>
        <row r="5">
          <cell r="FC5">
            <v>21</v>
          </cell>
        </row>
        <row r="12">
          <cell r="EL12">
            <v>42</v>
          </cell>
          <cell r="EM12">
            <v>38</v>
          </cell>
          <cell r="EN12">
            <v>46</v>
          </cell>
          <cell r="EO12">
            <v>42</v>
          </cell>
          <cell r="EZ12">
            <v>40</v>
          </cell>
          <cell r="FA12">
            <v>34</v>
          </cell>
          <cell r="FB12">
            <v>46</v>
          </cell>
          <cell r="FC12">
            <v>42</v>
          </cell>
        </row>
        <row r="47">
          <cell r="FC47">
            <v>46453</v>
          </cell>
        </row>
        <row r="48">
          <cell r="FC48"/>
        </row>
        <row r="52">
          <cell r="FC52">
            <v>100756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</row>
      </sheetData>
      <sheetData sheetId="74">
        <row r="4">
          <cell r="FC4">
            <v>20</v>
          </cell>
        </row>
        <row r="5">
          <cell r="FC5">
            <v>20</v>
          </cell>
        </row>
        <row r="8">
          <cell r="FC8"/>
        </row>
        <row r="9">
          <cell r="FC9"/>
        </row>
        <row r="12">
          <cell r="EL12">
            <v>40</v>
          </cell>
          <cell r="EM12">
            <v>42</v>
          </cell>
          <cell r="EN12">
            <v>46</v>
          </cell>
          <cell r="EO12">
            <v>42</v>
          </cell>
          <cell r="EZ12">
            <v>43</v>
          </cell>
          <cell r="FA12">
            <v>40</v>
          </cell>
          <cell r="FB12">
            <v>46</v>
          </cell>
          <cell r="FC12">
            <v>40</v>
          </cell>
        </row>
        <row r="47">
          <cell r="FC47">
            <v>49767</v>
          </cell>
        </row>
        <row r="48">
          <cell r="FC48"/>
        </row>
        <row r="52">
          <cell r="FC52">
            <v>37612</v>
          </cell>
        </row>
        <row r="53">
          <cell r="FC53"/>
        </row>
        <row r="57">
          <cell r="FC57"/>
        </row>
        <row r="58">
          <cell r="FC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</row>
      </sheetData>
      <sheetData sheetId="75">
        <row r="4">
          <cell r="FC4">
            <v>20</v>
          </cell>
        </row>
        <row r="5">
          <cell r="FC5">
            <v>20</v>
          </cell>
        </row>
      </sheetData>
      <sheetData sheetId="76">
        <row r="4">
          <cell r="FC4">
            <v>898</v>
          </cell>
        </row>
        <row r="5">
          <cell r="FC5">
            <v>899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4">
        <v>42826</v>
      </c>
      <c r="B2" s="17"/>
      <c r="C2" s="17"/>
      <c r="D2" s="520" t="s">
        <v>196</v>
      </c>
      <c r="E2" s="520" t="s">
        <v>171</v>
      </c>
      <c r="F2" s="8"/>
      <c r="G2" s="8"/>
      <c r="H2" s="8"/>
      <c r="I2" s="8"/>
      <c r="J2" s="23"/>
    </row>
    <row r="3" spans="1:14" ht="13.5" thickBot="1" x14ac:dyDescent="0.25">
      <c r="A3" s="390"/>
      <c r="B3" s="8" t="s">
        <v>0</v>
      </c>
      <c r="C3" s="8" t="s">
        <v>1</v>
      </c>
      <c r="D3" s="521"/>
      <c r="E3" s="522"/>
      <c r="F3" s="8" t="s">
        <v>2</v>
      </c>
      <c r="G3" s="8" t="s">
        <v>197</v>
      </c>
      <c r="H3" s="8" t="s">
        <v>172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1227169</v>
      </c>
      <c r="C5" s="296">
        <f>'Major Airline Stats'!J5</f>
        <v>1141677</v>
      </c>
      <c r="D5" s="5">
        <f>'Major Airline Stats'!J6</f>
        <v>2368846</v>
      </c>
      <c r="E5" s="9">
        <f>'[1]Monthly Summary'!D5</f>
        <v>2206014</v>
      </c>
      <c r="F5" s="39">
        <f>(D5-E5)/E5</f>
        <v>7.3812768187327918E-2</v>
      </c>
      <c r="G5" s="9">
        <f>+D5+'[2]Monthly Summary'!G5</f>
        <v>8969227</v>
      </c>
      <c r="H5" s="9">
        <f>'[1]Monthly Summary'!G5</f>
        <v>8616059</v>
      </c>
      <c r="I5" s="85">
        <f>(G5-H5)/H5</f>
        <v>4.0989505758955457E-2</v>
      </c>
      <c r="J5" s="9"/>
    </row>
    <row r="6" spans="1:14" x14ac:dyDescent="0.2">
      <c r="A6" s="67" t="s">
        <v>5</v>
      </c>
      <c r="B6" s="294">
        <f>'Regional Major'!M5</f>
        <v>317262</v>
      </c>
      <c r="C6" s="294">
        <f>'Regional Major'!M6</f>
        <v>308419</v>
      </c>
      <c r="D6" s="5">
        <f>B6+C6</f>
        <v>625681</v>
      </c>
      <c r="E6" s="9">
        <f>'[1]Monthly Summary'!D6</f>
        <v>703256</v>
      </c>
      <c r="F6" s="39">
        <f>(D6-E6)/E6</f>
        <v>-0.11030833722001661</v>
      </c>
      <c r="G6" s="9">
        <f>+D6+'[2]Monthly Summary'!G6</f>
        <v>2475202</v>
      </c>
      <c r="H6" s="9">
        <f>'[1]Monthly Summary'!G6</f>
        <v>2674663</v>
      </c>
      <c r="I6" s="85">
        <f>(G6-H6)/H6</f>
        <v>-7.457425477527449E-2</v>
      </c>
      <c r="J6" s="20"/>
      <c r="K6" s="2"/>
    </row>
    <row r="7" spans="1:14" x14ac:dyDescent="0.2">
      <c r="A7" s="67" t="s">
        <v>6</v>
      </c>
      <c r="B7" s="9">
        <f>Charter!G5</f>
        <v>150</v>
      </c>
      <c r="C7" s="295">
        <f>Charter!G6</f>
        <v>150</v>
      </c>
      <c r="D7" s="5">
        <f>B7+C7</f>
        <v>300</v>
      </c>
      <c r="E7" s="9">
        <f>'[1]Monthly Summary'!D7</f>
        <v>784</v>
      </c>
      <c r="F7" s="39">
        <f>(D7-E7)/E7</f>
        <v>-0.61734693877551017</v>
      </c>
      <c r="G7" s="9">
        <f>+D7+'[2]Monthly Summary'!G7</f>
        <v>1035</v>
      </c>
      <c r="H7" s="9">
        <f>'[1]Monthly Summary'!G7</f>
        <v>1264</v>
      </c>
      <c r="I7" s="85">
        <f>(G7-H7)/H7</f>
        <v>-0.18117088607594936</v>
      </c>
      <c r="J7" s="20"/>
      <c r="K7" s="2"/>
    </row>
    <row r="8" spans="1:14" x14ac:dyDescent="0.2">
      <c r="A8" s="70" t="s">
        <v>7</v>
      </c>
      <c r="B8" s="148">
        <f>SUM(B5:B7)</f>
        <v>1544581</v>
      </c>
      <c r="C8" s="148">
        <f>SUM(C5:C7)</f>
        <v>1450246</v>
      </c>
      <c r="D8" s="148">
        <f>SUM(D5:D7)</f>
        <v>2994827</v>
      </c>
      <c r="E8" s="148">
        <f>SUM(E5:E7)</f>
        <v>2910054</v>
      </c>
      <c r="F8" s="92">
        <f>(D8-E8)/E8</f>
        <v>2.9131074543633898E-2</v>
      </c>
      <c r="G8" s="148">
        <f>SUM(G5:G7)</f>
        <v>11445464</v>
      </c>
      <c r="H8" s="148">
        <f>SUM(H5:H7)</f>
        <v>11291986</v>
      </c>
      <c r="I8" s="91">
        <f>(G8-H8)/H8</f>
        <v>1.3591763220393649E-2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50414</v>
      </c>
      <c r="C10" s="297">
        <f>'Major Airline Stats'!J10+'Regional Major'!M11</f>
        <v>49823</v>
      </c>
      <c r="D10" s="120">
        <f>SUM(B10:C10)</f>
        <v>100237</v>
      </c>
      <c r="E10" s="120">
        <f>'[1]Monthly Summary'!D10</f>
        <v>92888</v>
      </c>
      <c r="F10" s="93">
        <f>(D10-E10)/E10</f>
        <v>7.9116785806562742E-2</v>
      </c>
      <c r="G10" s="9">
        <f>+D10+'[2]Monthly Summary'!G10</f>
        <v>384129</v>
      </c>
      <c r="H10" s="120">
        <f>'[1]Monthly Summary'!G10</f>
        <v>366390</v>
      </c>
      <c r="I10" s="96">
        <f>(G10-H10)/H10</f>
        <v>4.8415622697126015E-2</v>
      </c>
      <c r="J10" s="264"/>
    </row>
    <row r="11" spans="1:14" ht="15.75" thickBot="1" x14ac:dyDescent="0.3">
      <c r="A11" s="69" t="s">
        <v>13</v>
      </c>
      <c r="B11" s="273">
        <f>B10+B8</f>
        <v>1594995</v>
      </c>
      <c r="C11" s="273">
        <f>C10+C8</f>
        <v>1500069</v>
      </c>
      <c r="D11" s="273">
        <f>D10+D8</f>
        <v>3095064</v>
      </c>
      <c r="E11" s="273">
        <f>E10+E8</f>
        <v>3002942</v>
      </c>
      <c r="F11" s="94">
        <f>(D11-E11)/E11</f>
        <v>3.0677249177639795E-2</v>
      </c>
      <c r="G11" s="273">
        <f>G8+G10</f>
        <v>11829593</v>
      </c>
      <c r="H11" s="273">
        <f>H8+H10</f>
        <v>11658376</v>
      </c>
      <c r="I11" s="97">
        <f>(G11-H11)/H11</f>
        <v>1.4686179275741321E-2</v>
      </c>
      <c r="J11" s="7"/>
      <c r="L11" s="130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196</v>
      </c>
      <c r="E13" s="520" t="s">
        <v>171</v>
      </c>
      <c r="F13" s="465"/>
      <c r="G13" s="465"/>
      <c r="H13" s="465"/>
      <c r="I13" s="465"/>
    </row>
    <row r="14" spans="1:14" ht="13.5" thickBot="1" x14ac:dyDescent="0.25">
      <c r="A14" s="16"/>
      <c r="B14" s="465" t="s">
        <v>224</v>
      </c>
      <c r="C14" s="465" t="s">
        <v>225</v>
      </c>
      <c r="D14" s="521"/>
      <c r="E14" s="522"/>
      <c r="F14" s="465" t="s">
        <v>2</v>
      </c>
      <c r="G14" s="465" t="s">
        <v>197</v>
      </c>
      <c r="H14" s="465" t="s">
        <v>172</v>
      </c>
      <c r="I14" s="465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9352</v>
      </c>
      <c r="C16" s="305">
        <f>'Major Airline Stats'!J16+'Major Airline Stats'!J20</f>
        <v>9361</v>
      </c>
      <c r="D16" s="47">
        <f t="shared" ref="D16:D21" si="0">SUM(B16:C16)</f>
        <v>18713</v>
      </c>
      <c r="E16" s="9">
        <f>'[1]Monthly Summary'!D16</f>
        <v>17194</v>
      </c>
      <c r="F16" s="95">
        <f t="shared" ref="F16:F22" si="1">(D16-E16)/E16</f>
        <v>8.8344771431894842E-2</v>
      </c>
      <c r="G16" s="9">
        <f>+D16+'[2]Monthly Summary'!G16</f>
        <v>70893</v>
      </c>
      <c r="H16" s="9">
        <f>'[1]Monthly Summary'!G16</f>
        <v>66381</v>
      </c>
      <c r="I16" s="262">
        <f t="shared" ref="I16:I22" si="2">(G16-H16)/H16</f>
        <v>6.7971256835540284E-2</v>
      </c>
      <c r="N16" s="130"/>
    </row>
    <row r="17" spans="1:12" x14ac:dyDescent="0.2">
      <c r="A17" s="68" t="s">
        <v>5</v>
      </c>
      <c r="B17" s="47">
        <f>'Regional Major'!M15+'Regional Major'!M18</f>
        <v>6207</v>
      </c>
      <c r="C17" s="47">
        <f>'Regional Major'!M16+'Regional Major'!M19</f>
        <v>6204</v>
      </c>
      <c r="D17" s="47">
        <f>SUM(B17:C17)</f>
        <v>12411</v>
      </c>
      <c r="E17" s="9">
        <f>'[1]Monthly Summary'!D17</f>
        <v>13327</v>
      </c>
      <c r="F17" s="95">
        <f t="shared" si="1"/>
        <v>-6.8732648007803709E-2</v>
      </c>
      <c r="G17" s="9">
        <f>+D17+'[2]Monthly Summary'!G17</f>
        <v>49816</v>
      </c>
      <c r="H17" s="9">
        <f>'[1]Monthly Summary'!G17</f>
        <v>52600</v>
      </c>
      <c r="I17" s="262">
        <f t="shared" si="2"/>
        <v>-5.2927756653992394E-2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5</v>
      </c>
      <c r="F18" s="95">
        <f t="shared" si="1"/>
        <v>-0.6</v>
      </c>
      <c r="G18" s="9">
        <f>+D18+'[2]Monthly Summary'!G18</f>
        <v>12</v>
      </c>
      <c r="H18" s="9">
        <f>'[1]Monthly Summary'!G18</f>
        <v>11</v>
      </c>
      <c r="I18" s="262">
        <f t="shared" si="2"/>
        <v>9.0909090909090912E-2</v>
      </c>
    </row>
    <row r="19" spans="1:12" x14ac:dyDescent="0.2">
      <c r="A19" s="68" t="s">
        <v>11</v>
      </c>
      <c r="B19" s="47">
        <f>Cargo!M4</f>
        <v>573</v>
      </c>
      <c r="C19" s="47">
        <f>Cargo!M5</f>
        <v>573</v>
      </c>
      <c r="D19" s="47">
        <f t="shared" si="0"/>
        <v>1146</v>
      </c>
      <c r="E19" s="9">
        <f>'[1]Monthly Summary'!D19</f>
        <v>1080</v>
      </c>
      <c r="F19" s="95">
        <f t="shared" si="1"/>
        <v>6.1111111111111109E-2</v>
      </c>
      <c r="G19" s="9">
        <f>+D19+'[2]Monthly Summary'!G19</f>
        <v>4766</v>
      </c>
      <c r="H19" s="9">
        <f>'[1]Monthly Summary'!G19</f>
        <v>4402</v>
      </c>
      <c r="I19" s="262">
        <f t="shared" si="2"/>
        <v>8.2689686506133578E-2</v>
      </c>
    </row>
    <row r="20" spans="1:12" x14ac:dyDescent="0.2">
      <c r="A20" s="68" t="s">
        <v>152</v>
      </c>
      <c r="B20" s="47">
        <f>'[3]General Avation'!$FC$4</f>
        <v>898</v>
      </c>
      <c r="C20" s="47">
        <f>'[3]General Avation'!$FC$5</f>
        <v>899</v>
      </c>
      <c r="D20" s="47">
        <f t="shared" si="0"/>
        <v>1797</v>
      </c>
      <c r="E20" s="9">
        <f>'[1]Monthly Summary'!D20</f>
        <v>1750</v>
      </c>
      <c r="F20" s="95">
        <f t="shared" si="1"/>
        <v>2.6857142857142857E-2</v>
      </c>
      <c r="G20" s="9">
        <f>+D20+'[2]Monthly Summary'!G20</f>
        <v>6943</v>
      </c>
      <c r="H20" s="9">
        <f>'[1]Monthly Summary'!G20</f>
        <v>6678</v>
      </c>
      <c r="I20" s="262">
        <f t="shared" si="2"/>
        <v>3.968253968253968E-2</v>
      </c>
    </row>
    <row r="21" spans="1:12" ht="12.75" customHeight="1" x14ac:dyDescent="0.2">
      <c r="A21" s="68" t="s">
        <v>12</v>
      </c>
      <c r="B21" s="18">
        <f>'[3]Military '!$FC$4</f>
        <v>20</v>
      </c>
      <c r="C21" s="18">
        <f>'[3]Military '!$FC$5</f>
        <v>20</v>
      </c>
      <c r="D21" s="18">
        <f t="shared" si="0"/>
        <v>40</v>
      </c>
      <c r="E21" s="120">
        <f>'[1]Monthly Summary'!D21</f>
        <v>119</v>
      </c>
      <c r="F21" s="260">
        <f t="shared" si="1"/>
        <v>-0.66386554621848737</v>
      </c>
      <c r="G21" s="9">
        <f>+D21+'[2]Monthly Summary'!G21</f>
        <v>167</v>
      </c>
      <c r="H21" s="120">
        <f>'[1]Monthly Summary'!G21</f>
        <v>391</v>
      </c>
      <c r="I21" s="263">
        <f t="shared" si="2"/>
        <v>-0.57289002557544755</v>
      </c>
    </row>
    <row r="22" spans="1:12" ht="15.75" thickBot="1" x14ac:dyDescent="0.3">
      <c r="A22" s="69" t="s">
        <v>28</v>
      </c>
      <c r="B22" s="274">
        <f>SUM(B16:B21)</f>
        <v>17051</v>
      </c>
      <c r="C22" s="274">
        <f>SUM(C16:C21)</f>
        <v>17058</v>
      </c>
      <c r="D22" s="274">
        <f>SUM(D16:D21)</f>
        <v>34109</v>
      </c>
      <c r="E22" s="274">
        <f>SUM(E16:E21)</f>
        <v>33475</v>
      </c>
      <c r="F22" s="270">
        <f t="shared" si="1"/>
        <v>1.8939507094846899E-2</v>
      </c>
      <c r="G22" s="274">
        <f>SUM(G16:G21)</f>
        <v>132597</v>
      </c>
      <c r="H22" s="274">
        <f>SUM(H16:H21)</f>
        <v>130463</v>
      </c>
      <c r="I22" s="271">
        <f t="shared" si="2"/>
        <v>1.6357128074626522E-2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196</v>
      </c>
      <c r="E24" s="520" t="s">
        <v>171</v>
      </c>
      <c r="F24" s="465"/>
      <c r="G24" s="465"/>
      <c r="H24" s="465"/>
      <c r="I24" s="465"/>
    </row>
    <row r="25" spans="1:12" ht="13.5" thickBot="1" x14ac:dyDescent="0.25">
      <c r="B25" s="465" t="s">
        <v>0</v>
      </c>
      <c r="C25" s="465" t="s">
        <v>1</v>
      </c>
      <c r="D25" s="521"/>
      <c r="E25" s="522"/>
      <c r="F25" s="465" t="s">
        <v>2</v>
      </c>
      <c r="G25" s="465" t="s">
        <v>197</v>
      </c>
      <c r="H25" s="465" t="s">
        <v>172</v>
      </c>
      <c r="I25" s="465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8919.2625554709593</v>
      </c>
      <c r="C27" s="22">
        <f>(Cargo!M21+'Major Airline Stats'!J33+'Regional Major'!M30)*0.00045359237</f>
        <v>7260.4199201118199</v>
      </c>
      <c r="D27" s="22">
        <f>(SUM(B27:C27)+('Cargo Summary'!E17*0.00045359237))</f>
        <v>16179.68247558278</v>
      </c>
      <c r="E27" s="9">
        <f>'[1]Monthly Summary'!D27</f>
        <v>16766.898621861081</v>
      </c>
      <c r="F27" s="98">
        <f>(D27-E27)/E27</f>
        <v>-3.5022347276119047E-2</v>
      </c>
      <c r="G27" s="9">
        <f>+D27+'[2]Monthly Summary'!G27</f>
        <v>64043.094088183978</v>
      </c>
      <c r="H27" s="9">
        <f>'[1]Monthly Summary'!G27</f>
        <v>58581.440524136531</v>
      </c>
      <c r="I27" s="100">
        <f>(G27-H27)/H27</f>
        <v>9.32318071249401E-2</v>
      </c>
    </row>
    <row r="28" spans="1:12" x14ac:dyDescent="0.2">
      <c r="A28" s="62" t="s">
        <v>16</v>
      </c>
      <c r="B28" s="22">
        <f>(Cargo!M17+'Major Airline Stats'!J29+'Regional Major'!M26)*0.00045359237</f>
        <v>1059.98594808953</v>
      </c>
      <c r="C28" s="22">
        <f>(Cargo!M22+'Major Airline Stats'!J34+'Regional Major'!M31)*0.00045359237</f>
        <v>1291.99028068187</v>
      </c>
      <c r="D28" s="22">
        <f>SUM(B28:C28)</f>
        <v>2351.9762287714002</v>
      </c>
      <c r="E28" s="9">
        <f>'[1]Monthly Summary'!D28</f>
        <v>713.11433731075999</v>
      </c>
      <c r="F28" s="98">
        <f>(D28-E28)/E28</f>
        <v>2.2981754898393794</v>
      </c>
      <c r="G28" s="9">
        <f>+D28+'[2]Monthly Summary'!G28</f>
        <v>7576.7511566184903</v>
      </c>
      <c r="H28" s="9">
        <f>'[1]Monthly Summary'!G28</f>
        <v>3774.3355545458835</v>
      </c>
      <c r="I28" s="100">
        <f>(G28-H28)/H28</f>
        <v>1.0074397326684172</v>
      </c>
    </row>
    <row r="29" spans="1:12" ht="15.75" thickBot="1" x14ac:dyDescent="0.3">
      <c r="A29" s="63" t="s">
        <v>62</v>
      </c>
      <c r="B29" s="54">
        <f>SUM(B27:B28)</f>
        <v>9979.2485035604896</v>
      </c>
      <c r="C29" s="54">
        <f>SUM(C27:C28)</f>
        <v>8552.410200793689</v>
      </c>
      <c r="D29" s="54">
        <f>SUM(D27:D28)</f>
        <v>18531.65870435418</v>
      </c>
      <c r="E29" s="54">
        <f>SUM(E27:E28)</f>
        <v>17480.01295917184</v>
      </c>
      <c r="F29" s="99">
        <f>(D29-E29)/E29</f>
        <v>6.0162755464694184E-2</v>
      </c>
      <c r="G29" s="54">
        <f>SUM(G27:G28)</f>
        <v>71619.845244802462</v>
      </c>
      <c r="H29" s="54">
        <f>SUM(H27:H28)</f>
        <v>62355.776078682415</v>
      </c>
      <c r="I29" s="101">
        <f>(G29-H29)/H29</f>
        <v>0.14856793947092187</v>
      </c>
    </row>
    <row r="30" spans="1:12" s="7" customFormat="1" ht="4.5" customHeight="1" thickBot="1" x14ac:dyDescent="0.3">
      <c r="A30" s="59"/>
      <c r="B30" s="392"/>
      <c r="C30" s="392"/>
      <c r="D30" s="392"/>
      <c r="E30" s="392"/>
      <c r="F30" s="275"/>
      <c r="G30" s="392"/>
      <c r="H30" s="392"/>
      <c r="I30" s="275"/>
    </row>
    <row r="31" spans="1:12" ht="13.5" thickBot="1" x14ac:dyDescent="0.25">
      <c r="B31" s="519" t="s">
        <v>148</v>
      </c>
      <c r="C31" s="518"/>
      <c r="D31" s="519" t="s">
        <v>155</v>
      </c>
      <c r="E31" s="518"/>
      <c r="F31" s="415"/>
      <c r="G31" s="416"/>
      <c r="H31" s="414"/>
      <c r="I31" s="414"/>
    </row>
    <row r="32" spans="1:12" x14ac:dyDescent="0.2">
      <c r="A32" s="396" t="s">
        <v>149</v>
      </c>
      <c r="B32" s="397">
        <f>C8-B33</f>
        <v>861091</v>
      </c>
      <c r="C32" s="398">
        <f>B32/C8</f>
        <v>0.59375512844027845</v>
      </c>
      <c r="D32" s="399">
        <f>+B32+'[2]Monthly Summary'!D32</f>
        <v>3597247</v>
      </c>
      <c r="E32" s="400">
        <f>+D32/D34</f>
        <v>0.63001763998321469</v>
      </c>
      <c r="G32" s="422"/>
      <c r="H32" s="414"/>
      <c r="I32" s="413"/>
    </row>
    <row r="33" spans="1:14" ht="13.5" thickBot="1" x14ac:dyDescent="0.25">
      <c r="A33" s="401" t="s">
        <v>150</v>
      </c>
      <c r="B33" s="402">
        <f>'Major Airline Stats'!J51+'Regional Major'!M45</f>
        <v>589155</v>
      </c>
      <c r="C33" s="403">
        <f>+B33/C8</f>
        <v>0.40624487155972161</v>
      </c>
      <c r="D33" s="404">
        <f>+B33+'[2]Monthly Summary'!D33</f>
        <v>2112509</v>
      </c>
      <c r="E33" s="405">
        <f>+D33/D34</f>
        <v>0.36998236001678531</v>
      </c>
      <c r="G33" s="414"/>
      <c r="H33" s="414"/>
      <c r="I33" s="413"/>
    </row>
    <row r="34" spans="1:14" ht="13.5" thickBot="1" x14ac:dyDescent="0.25">
      <c r="B34" s="309"/>
      <c r="D34" s="406">
        <f>SUM(D32:D33)</f>
        <v>5709756</v>
      </c>
    </row>
    <row r="35" spans="1:14" ht="13.5" thickBot="1" x14ac:dyDescent="0.25">
      <c r="B35" s="517" t="s">
        <v>223</v>
      </c>
      <c r="C35" s="518"/>
      <c r="D35" s="519" t="s">
        <v>198</v>
      </c>
      <c r="E35" s="518"/>
    </row>
    <row r="36" spans="1:14" x14ac:dyDescent="0.2">
      <c r="A36" s="396" t="s">
        <v>149</v>
      </c>
      <c r="B36" s="397">
        <f>'[1]Monthly Summary'!$B$32</f>
        <v>794845</v>
      </c>
      <c r="C36" s="398">
        <f>+B36/B38</f>
        <v>0.5615782932745127</v>
      </c>
      <c r="D36" s="399">
        <f>'[1]Monthly Summary'!$D$32</f>
        <v>3370538</v>
      </c>
      <c r="E36" s="400">
        <f>+D36/D38</f>
        <v>0.5990546755419246</v>
      </c>
    </row>
    <row r="37" spans="1:14" ht="13.5" thickBot="1" x14ac:dyDescent="0.25">
      <c r="A37" s="401" t="s">
        <v>150</v>
      </c>
      <c r="B37" s="402">
        <f>'[1]Monthly Summary'!$B$33</f>
        <v>620532</v>
      </c>
      <c r="C37" s="405">
        <f>+B37/B38</f>
        <v>0.43842170672548725</v>
      </c>
      <c r="D37" s="404">
        <f>'[1]Monthly Summary'!$D$33</f>
        <v>2255890</v>
      </c>
      <c r="E37" s="405">
        <f>+D37/D38</f>
        <v>0.40094532445807535</v>
      </c>
    </row>
    <row r="38" spans="1:14" x14ac:dyDescent="0.2">
      <c r="B38" s="421">
        <f>+SUM(B36:B37)</f>
        <v>1415377</v>
      </c>
      <c r="D38" s="406">
        <f>SUM(D36:D37)</f>
        <v>5626428</v>
      </c>
    </row>
    <row r="39" spans="1:14" x14ac:dyDescent="0.2">
      <c r="A39" s="410" t="s">
        <v>151</v>
      </c>
    </row>
    <row r="40" spans="1:14" x14ac:dyDescent="0.2">
      <c r="A40" s="229" t="s">
        <v>153</v>
      </c>
      <c r="I40" s="2"/>
    </row>
    <row r="41" spans="1:14" x14ac:dyDescent="0.2">
      <c r="N41" s="411"/>
    </row>
    <row r="42" spans="1:14" x14ac:dyDescent="0.2">
      <c r="G42" s="2"/>
      <c r="N42" s="411"/>
    </row>
    <row r="43" spans="1:14" x14ac:dyDescent="0.2">
      <c r="J43" s="2"/>
      <c r="N43" s="411"/>
    </row>
    <row r="44" spans="1:14" x14ac:dyDescent="0.2">
      <c r="N44" s="411"/>
    </row>
    <row r="45" spans="1:14" x14ac:dyDescent="0.2">
      <c r="J45" s="2"/>
      <c r="N45" s="411"/>
    </row>
    <row r="46" spans="1:14" x14ac:dyDescent="0.2">
      <c r="B46" s="2"/>
      <c r="F46" s="309"/>
    </row>
    <row r="47" spans="1:14" x14ac:dyDescent="0.2">
      <c r="N47" s="411"/>
    </row>
    <row r="51" spans="12:12" x14ac:dyDescent="0.2">
      <c r="L51" s="41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zoomScaleNormal="100" zoomScaleSheetLayoutView="100" workbookViewId="0">
      <selection activeCell="R33" sqref="R3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3" width="11.28515625" customWidth="1"/>
    <col min="14" max="14" width="8.5703125" bestFit="1" customWidth="1"/>
    <col min="15" max="15" width="13.85546875" customWidth="1"/>
    <col min="17" max="17" width="10.85546875" bestFit="1" customWidth="1"/>
  </cols>
  <sheetData>
    <row r="1" spans="1:15" ht="39" thickBot="1" x14ac:dyDescent="0.25">
      <c r="A1" s="384">
        <v>42826</v>
      </c>
      <c r="B1" s="12" t="s">
        <v>18</v>
      </c>
      <c r="C1" s="272" t="s">
        <v>192</v>
      </c>
      <c r="D1" s="433" t="s">
        <v>162</v>
      </c>
      <c r="E1" s="272" t="s">
        <v>169</v>
      </c>
      <c r="F1" s="272" t="s">
        <v>170</v>
      </c>
      <c r="G1" s="272" t="s">
        <v>168</v>
      </c>
      <c r="H1" s="272" t="s">
        <v>49</v>
      </c>
      <c r="I1" s="272" t="s">
        <v>116</v>
      </c>
      <c r="J1" s="272" t="s">
        <v>222</v>
      </c>
      <c r="K1" s="272" t="s">
        <v>208</v>
      </c>
      <c r="L1" s="272" t="s">
        <v>167</v>
      </c>
      <c r="M1" s="272" t="s">
        <v>161</v>
      </c>
      <c r="N1" s="272" t="s">
        <v>142</v>
      </c>
      <c r="O1" s="272" t="s">
        <v>21</v>
      </c>
    </row>
    <row r="2" spans="1:15" ht="15" x14ac:dyDescent="0.25">
      <c r="A2" s="554" t="s">
        <v>143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6"/>
    </row>
    <row r="3" spans="1:15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5"/>
    </row>
    <row r="4" spans="1:15" x14ac:dyDescent="0.2">
      <c r="A4" s="62" t="s">
        <v>30</v>
      </c>
      <c r="B4" s="21">
        <f>[3]Delta!$FC$32</f>
        <v>75976</v>
      </c>
      <c r="C4" s="21">
        <f>'[3]Atlantic Southeast'!$FC$32</f>
        <v>5269</v>
      </c>
      <c r="D4" s="21">
        <f>[3]Pinnacle!$FC$32</f>
        <v>56</v>
      </c>
      <c r="E4" s="21">
        <f>[3]Compass!$FC$32</f>
        <v>3627</v>
      </c>
      <c r="F4" s="21">
        <f>'[3]Sky West'!$FC$32</f>
        <v>13276</v>
      </c>
      <c r="G4" s="21">
        <f>'[3]Go Jet'!$FC$32</f>
        <v>0</v>
      </c>
      <c r="H4" s="21">
        <f>'[3]Sun Country'!$FC$32</f>
        <v>23061</v>
      </c>
      <c r="I4" s="21">
        <f>[3]Icelandair!$FC$32</f>
        <v>3054</v>
      </c>
      <c r="J4" s="21">
        <f>[3]KLM!$FC$32</f>
        <v>3256</v>
      </c>
      <c r="K4" s="21">
        <f>'[3]Air Georgian'!$FC$32</f>
        <v>3709</v>
      </c>
      <c r="L4" s="21">
        <f>[3]Condor!$FC$32</f>
        <v>0</v>
      </c>
      <c r="M4" s="21">
        <f>'[3]Air France'!$FC$32</f>
        <v>0</v>
      </c>
      <c r="N4" s="21">
        <f>'[3]Charter Misc'!$FC$32+[3]Ryan!$FC$32+[3]Omni!$FC$32</f>
        <v>0</v>
      </c>
      <c r="O4" s="281">
        <f>SUM(B4:N4)</f>
        <v>131284</v>
      </c>
    </row>
    <row r="5" spans="1:15" x14ac:dyDescent="0.2">
      <c r="A5" s="62" t="s">
        <v>31</v>
      </c>
      <c r="B5" s="14">
        <f>[3]Delta!$FC$33</f>
        <v>70371</v>
      </c>
      <c r="C5" s="14">
        <f>'[3]Atlantic Southeast'!$FC$33</f>
        <v>5124</v>
      </c>
      <c r="D5" s="14">
        <f>[3]Pinnacle!$FC$33</f>
        <v>60</v>
      </c>
      <c r="E5" s="14">
        <f>[3]Compass!$FC$33</f>
        <v>3567</v>
      </c>
      <c r="F5" s="14">
        <f>'[3]Sky West'!$FC$33</f>
        <v>13409</v>
      </c>
      <c r="G5" s="14">
        <f>'[3]Go Jet'!$FC$33</f>
        <v>0</v>
      </c>
      <c r="H5" s="14">
        <f>'[3]Sun Country'!$FC$33</f>
        <v>13452</v>
      </c>
      <c r="I5" s="14">
        <f>[3]Icelandair!$FC$33</f>
        <v>2943</v>
      </c>
      <c r="J5" s="14">
        <f>[3]KLM!$FC$33</f>
        <v>2784</v>
      </c>
      <c r="K5" s="14">
        <f>'[3]Air Georgian'!$FC$33</f>
        <v>3196</v>
      </c>
      <c r="L5" s="14">
        <f>[3]Condor!$FC$33</f>
        <v>0</v>
      </c>
      <c r="M5" s="14">
        <f>'[3]Air France'!$FC$33</f>
        <v>0</v>
      </c>
      <c r="N5" s="14">
        <f>'[3]Charter Misc'!$FC$33++[3]Ryan!$FC$33+[3]Omni!$FC$33</f>
        <v>0</v>
      </c>
      <c r="O5" s="282">
        <f>SUM(B5:N5)</f>
        <v>114906</v>
      </c>
    </row>
    <row r="6" spans="1:15" ht="15" x14ac:dyDescent="0.25">
      <c r="A6" s="60" t="s">
        <v>7</v>
      </c>
      <c r="B6" s="34">
        <f t="shared" ref="B6:N6" si="0">SUM(B4:B5)</f>
        <v>146347</v>
      </c>
      <c r="C6" s="34">
        <f t="shared" si="0"/>
        <v>10393</v>
      </c>
      <c r="D6" s="34">
        <f t="shared" si="0"/>
        <v>116</v>
      </c>
      <c r="E6" s="34">
        <f t="shared" si="0"/>
        <v>7194</v>
      </c>
      <c r="F6" s="34">
        <f t="shared" si="0"/>
        <v>26685</v>
      </c>
      <c r="G6" s="34">
        <f t="shared" ref="G6" si="1">SUM(G4:G5)</f>
        <v>0</v>
      </c>
      <c r="H6" s="34">
        <f t="shared" si="0"/>
        <v>36513</v>
      </c>
      <c r="I6" s="34">
        <f t="shared" si="0"/>
        <v>5997</v>
      </c>
      <c r="J6" s="34">
        <f t="shared" ref="J6:L6" si="2">SUM(J4:J5)</f>
        <v>6040</v>
      </c>
      <c r="K6" s="34">
        <f t="shared" si="0"/>
        <v>6905</v>
      </c>
      <c r="L6" s="34">
        <f t="shared" si="2"/>
        <v>0</v>
      </c>
      <c r="M6" s="34">
        <f t="shared" si="0"/>
        <v>0</v>
      </c>
      <c r="N6" s="34">
        <f t="shared" si="0"/>
        <v>0</v>
      </c>
      <c r="O6" s="283">
        <f>SUM(B6:N6)</f>
        <v>246190</v>
      </c>
    </row>
    <row r="7" spans="1:15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1"/>
    </row>
    <row r="8" spans="1:15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1">
        <f>SUM(B8:N8)</f>
        <v>0</v>
      </c>
    </row>
    <row r="9" spans="1:15" x14ac:dyDescent="0.2">
      <c r="A9" s="62" t="s">
        <v>30</v>
      </c>
      <c r="B9" s="21">
        <f>[3]Delta!$FC$37</f>
        <v>2154</v>
      </c>
      <c r="C9" s="21">
        <f>'[3]Atlantic Southeast'!$FC$37</f>
        <v>108</v>
      </c>
      <c r="D9" s="21">
        <f>[3]Pinnacle!$FC$37</f>
        <v>4</v>
      </c>
      <c r="E9" s="21">
        <f>[3]Compass!$FC$37</f>
        <v>29</v>
      </c>
      <c r="F9" s="21">
        <f>'[3]Sky West'!$FC$37</f>
        <v>155</v>
      </c>
      <c r="G9" s="21">
        <f>'[3]Go Jet'!$FC$37</f>
        <v>0</v>
      </c>
      <c r="H9" s="21">
        <f>'[3]Sun Country'!$FC$37</f>
        <v>180</v>
      </c>
      <c r="I9" s="21">
        <f>[3]Icelandair!$FC$37</f>
        <v>45</v>
      </c>
      <c r="J9" s="21">
        <f>[3]KLM!$FC$37</f>
        <v>13</v>
      </c>
      <c r="K9" s="21">
        <f>'[3]Air Georgian'!$FC$37</f>
        <v>0</v>
      </c>
      <c r="L9" s="21">
        <f>[3]Condor!$FC$37</f>
        <v>0</v>
      </c>
      <c r="M9" s="21">
        <f>'[3]Air France'!$FC$37</f>
        <v>0</v>
      </c>
      <c r="N9" s="21">
        <f>'[3]Charter Misc'!$FC$37+[3]Ryan!$FC$37+[3]Omni!$FC$37</f>
        <v>0</v>
      </c>
      <c r="O9" s="281">
        <f>SUM(B9:N9)</f>
        <v>2688</v>
      </c>
    </row>
    <row r="10" spans="1:15" x14ac:dyDescent="0.2">
      <c r="A10" s="62" t="s">
        <v>33</v>
      </c>
      <c r="B10" s="14">
        <f>[3]Delta!$FC$38</f>
        <v>1999</v>
      </c>
      <c r="C10" s="14">
        <f>'[3]Atlantic Southeast'!$FC$38</f>
        <v>79</v>
      </c>
      <c r="D10" s="14">
        <f>[3]Pinnacle!$FC$38</f>
        <v>1</v>
      </c>
      <c r="E10" s="14">
        <f>[3]Compass!$FC$38</f>
        <v>43</v>
      </c>
      <c r="F10" s="14">
        <f>'[3]Sky West'!$FC$38</f>
        <v>124</v>
      </c>
      <c r="G10" s="14">
        <f>'[3]Go Jet'!$FC$38</f>
        <v>0</v>
      </c>
      <c r="H10" s="14">
        <f>'[3]Sun Country'!$FC$38</f>
        <v>188</v>
      </c>
      <c r="I10" s="14">
        <f>[3]Icelandair!$FC$38</f>
        <v>58</v>
      </c>
      <c r="J10" s="14">
        <f>[3]KLM!$FC$38</f>
        <v>21</v>
      </c>
      <c r="K10" s="14">
        <f>'[3]Air Georgian'!$FC$38</f>
        <v>0</v>
      </c>
      <c r="L10" s="14">
        <f>[3]Condor!$FC$38</f>
        <v>0</v>
      </c>
      <c r="M10" s="14">
        <f>'[3]Air France'!$FC$38</f>
        <v>0</v>
      </c>
      <c r="N10" s="14">
        <f>'[3]Charter Misc'!$FC$38+[3]Ryan!$FC$38+[3]Omni!$FC$38</f>
        <v>0</v>
      </c>
      <c r="O10" s="282">
        <f>SUM(B10:N10)</f>
        <v>2513</v>
      </c>
    </row>
    <row r="11" spans="1:15" ht="15.75" thickBot="1" x14ac:dyDescent="0.3">
      <c r="A11" s="63" t="s">
        <v>34</v>
      </c>
      <c r="B11" s="284">
        <f t="shared" ref="B11:H11" si="3">SUM(B9:B10)</f>
        <v>4153</v>
      </c>
      <c r="C11" s="284">
        <f t="shared" si="3"/>
        <v>187</v>
      </c>
      <c r="D11" s="284">
        <f t="shared" si="3"/>
        <v>5</v>
      </c>
      <c r="E11" s="284">
        <f t="shared" si="3"/>
        <v>72</v>
      </c>
      <c r="F11" s="284">
        <f t="shared" si="3"/>
        <v>279</v>
      </c>
      <c r="G11" s="284">
        <f t="shared" ref="G11" si="4">SUM(G9:G10)</f>
        <v>0</v>
      </c>
      <c r="H11" s="284">
        <f t="shared" si="3"/>
        <v>368</v>
      </c>
      <c r="I11" s="284">
        <f t="shared" ref="I11:N11" si="5">SUM(I9:I10)</f>
        <v>103</v>
      </c>
      <c r="J11" s="284">
        <f t="shared" ref="J11" si="6">SUM(J9:J10)</f>
        <v>34</v>
      </c>
      <c r="K11" s="284">
        <f t="shared" si="5"/>
        <v>0</v>
      </c>
      <c r="L11" s="284">
        <f t="shared" si="5"/>
        <v>0</v>
      </c>
      <c r="M11" s="284">
        <f t="shared" si="5"/>
        <v>0</v>
      </c>
      <c r="N11" s="284">
        <f t="shared" si="5"/>
        <v>0</v>
      </c>
      <c r="O11" s="285">
        <f>SUM(B11:N11)</f>
        <v>5201</v>
      </c>
    </row>
    <row r="12" spans="1:15" ht="15" x14ac:dyDescent="0.25">
      <c r="A12" s="389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6"/>
    </row>
    <row r="13" spans="1:15" ht="39" thickBot="1" x14ac:dyDescent="0.25">
      <c r="B13" s="12" t="s">
        <v>18</v>
      </c>
      <c r="C13" s="272" t="s">
        <v>192</v>
      </c>
      <c r="D13" s="433" t="s">
        <v>162</v>
      </c>
      <c r="E13" s="272" t="s">
        <v>169</v>
      </c>
      <c r="F13" s="272" t="s">
        <v>170</v>
      </c>
      <c r="G13" s="272" t="s">
        <v>168</v>
      </c>
      <c r="H13" s="272" t="s">
        <v>49</v>
      </c>
      <c r="I13" s="272" t="s">
        <v>116</v>
      </c>
      <c r="J13" s="272" t="s">
        <v>222</v>
      </c>
      <c r="K13" s="272" t="s">
        <v>208</v>
      </c>
      <c r="L13" s="272" t="s">
        <v>167</v>
      </c>
      <c r="M13" s="272" t="s">
        <v>161</v>
      </c>
      <c r="N13" s="272" t="s">
        <v>142</v>
      </c>
      <c r="O13" s="272" t="s">
        <v>144</v>
      </c>
    </row>
    <row r="14" spans="1:15" ht="15" x14ac:dyDescent="0.25">
      <c r="A14" s="557" t="s">
        <v>145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9"/>
    </row>
    <row r="15" spans="1:15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62" t="s">
        <v>30</v>
      </c>
      <c r="B16" s="21">
        <f>SUM([3]Delta!$EZ$32:$FC$32)</f>
        <v>324337</v>
      </c>
      <c r="C16" s="21">
        <f>SUM('[3]Atlantic Southeast'!$EZ$32:$FC$32)</f>
        <v>7866</v>
      </c>
      <c r="D16" s="21">
        <f>SUM([3]Pinnacle!$EZ$32:$FC$32)</f>
        <v>21761</v>
      </c>
      <c r="E16" s="21">
        <f>SUM([3]Compass!$EZ$32:$FC$32)</f>
        <v>25194</v>
      </c>
      <c r="F16" s="21">
        <f>SUM('[3]Sky West'!$EZ$32:$FC$32)</f>
        <v>27598</v>
      </c>
      <c r="G16" s="21">
        <f>SUM('[3]Go Jet'!$EZ$32:$FC$32)</f>
        <v>8924</v>
      </c>
      <c r="H16" s="21">
        <f>SUM('[3]Sun Country'!$EZ$32:$FC$32)</f>
        <v>118132</v>
      </c>
      <c r="I16" s="21">
        <f>SUM([3]Icelandair!$EZ$32:$FC$32)</f>
        <v>9707</v>
      </c>
      <c r="J16" s="21">
        <f>SUM([3]KLM!$EZ$32:$FC$32)</f>
        <v>3743</v>
      </c>
      <c r="K16" s="21">
        <f>SUM('[3]Air Georgian'!$EZ$32:$FC$32)</f>
        <v>13439</v>
      </c>
      <c r="L16" s="21">
        <f>SUM([3]Condor!$EZ$32:$FC$32)</f>
        <v>0</v>
      </c>
      <c r="M16" s="21">
        <f>SUM('[3]Air France'!$EZ$32:$FC$32)</f>
        <v>0</v>
      </c>
      <c r="N16" s="21">
        <f>SUM('[3]Charter Misc'!$EZ$32:$FC$32)+SUM([3]Ryan!$EZ$32:$FC$32)+SUM([3]Omni!$EZ$32:$FC$32)</f>
        <v>103</v>
      </c>
      <c r="O16" s="281">
        <f>SUM(B16:N16)</f>
        <v>560804</v>
      </c>
    </row>
    <row r="17" spans="1:15" x14ac:dyDescent="0.2">
      <c r="A17" s="62" t="s">
        <v>31</v>
      </c>
      <c r="B17" s="14">
        <f>SUM([3]Delta!$EZ$33:$FC$33)</f>
        <v>314716</v>
      </c>
      <c r="C17" s="14">
        <f>SUM('[3]Atlantic Southeast'!$EZ$33:$FC$33)</f>
        <v>7529</v>
      </c>
      <c r="D17" s="14">
        <f>SUM([3]Pinnacle!$EZ$33:$FC$33)</f>
        <v>22173</v>
      </c>
      <c r="E17" s="14">
        <f>SUM([3]Compass!$EZ$33:$FC$33)</f>
        <v>25881</v>
      </c>
      <c r="F17" s="14">
        <f>SUM('[3]Sky West'!$EZ$33:$FC$33)</f>
        <v>27646</v>
      </c>
      <c r="G17" s="14">
        <f>SUM('[3]Go Jet'!$EZ$33:$FC$33)</f>
        <v>9014</v>
      </c>
      <c r="H17" s="14">
        <f>SUM('[3]Sun Country'!$EZ$33:$FC$33)</f>
        <v>112923</v>
      </c>
      <c r="I17" s="14">
        <f>SUM([3]Icelandair!$EZ$33:$FC$33)</f>
        <v>10049</v>
      </c>
      <c r="J17" s="14">
        <f>SUM([3]KLM!$EZ$33:$FC$33)</f>
        <v>3057</v>
      </c>
      <c r="K17" s="14">
        <f>SUM('[3]Air Georgian'!$EZ$33:$FC$33)</f>
        <v>12553</v>
      </c>
      <c r="L17" s="14">
        <f>SUM([3]Condor!$EZ$33:$FC$33)</f>
        <v>0</v>
      </c>
      <c r="M17" s="14">
        <f>SUM('[3]Air France'!$EZ$33:$FC$33)</f>
        <v>0</v>
      </c>
      <c r="N17" s="14">
        <f>SUM('[3]Charter Misc'!$EZ$33:$FC$33)++SUM([3]Ryan!$EZ$33:$FC$33)+SUM([3]Omni!$EZ$33:$FC$33)</f>
        <v>102</v>
      </c>
      <c r="O17" s="282">
        <f>SUM(B17:N17)</f>
        <v>545643</v>
      </c>
    </row>
    <row r="18" spans="1:15" ht="15" x14ac:dyDescent="0.25">
      <c r="A18" s="60" t="s">
        <v>7</v>
      </c>
      <c r="B18" s="34">
        <f t="shared" ref="B18:N18" si="7">SUM(B16:B17)</f>
        <v>639053</v>
      </c>
      <c r="C18" s="34">
        <f t="shared" si="7"/>
        <v>15395</v>
      </c>
      <c r="D18" s="34">
        <f t="shared" si="7"/>
        <v>43934</v>
      </c>
      <c r="E18" s="34">
        <f t="shared" si="7"/>
        <v>51075</v>
      </c>
      <c r="F18" s="34">
        <f t="shared" si="7"/>
        <v>55244</v>
      </c>
      <c r="G18" s="34">
        <f t="shared" ref="G18" si="8">SUM(G16:G17)</f>
        <v>17938</v>
      </c>
      <c r="H18" s="34">
        <f t="shared" si="7"/>
        <v>231055</v>
      </c>
      <c r="I18" s="34">
        <f t="shared" si="7"/>
        <v>19756</v>
      </c>
      <c r="J18" s="34">
        <f t="shared" ref="J18:L18" si="9">SUM(J16:J17)</f>
        <v>6800</v>
      </c>
      <c r="K18" s="34">
        <f t="shared" si="7"/>
        <v>25992</v>
      </c>
      <c r="L18" s="34">
        <f t="shared" si="9"/>
        <v>0</v>
      </c>
      <c r="M18" s="34">
        <f t="shared" si="7"/>
        <v>0</v>
      </c>
      <c r="N18" s="34">
        <f t="shared" si="7"/>
        <v>205</v>
      </c>
      <c r="O18" s="283">
        <f>SUM(B18:N18)</f>
        <v>1106447</v>
      </c>
    </row>
    <row r="19" spans="1:15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1"/>
    </row>
    <row r="20" spans="1:15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1">
        <f>SUM(B20:N20)</f>
        <v>0</v>
      </c>
    </row>
    <row r="21" spans="1:15" x14ac:dyDescent="0.2">
      <c r="A21" s="62" t="s">
        <v>30</v>
      </c>
      <c r="B21" s="21">
        <f>SUM([3]Delta!$EZ$37:$FC$37)</f>
        <v>8875</v>
      </c>
      <c r="C21" s="21">
        <f>SUM('[3]Atlantic Southeast'!$EZ$37:$FC$37)</f>
        <v>160</v>
      </c>
      <c r="D21" s="21">
        <f>SUM([3]Pinnacle!$EZ$37:$FC$37)</f>
        <v>366</v>
      </c>
      <c r="E21" s="21">
        <f>SUM([3]Compass!$EZ$37:$FC$37)</f>
        <v>365</v>
      </c>
      <c r="F21" s="21">
        <f>SUM('[3]Sky West'!$EZ$37:$FC$37)</f>
        <v>283</v>
      </c>
      <c r="G21" s="21">
        <f>SUM('[3]Go Jet'!$EZ$37:$FC$37)</f>
        <v>139</v>
      </c>
      <c r="H21" s="21">
        <f>SUM('[3]Sun Country'!$EZ$37:$FC$37)</f>
        <v>791</v>
      </c>
      <c r="I21" s="21">
        <f>SUM([3]Icelandair!$EZ$37:$FC$37)</f>
        <v>201</v>
      </c>
      <c r="J21" s="21">
        <f>SUM([3]KLM!$EZ$37:$FC$37)</f>
        <v>15</v>
      </c>
      <c r="K21" s="21">
        <f>SUM('[3]Air Georgian'!$EZ$37:$FC$37)</f>
        <v>0</v>
      </c>
      <c r="L21" s="21">
        <f>SUM([3]Condor!$EZ$37:$FC$37)</f>
        <v>0</v>
      </c>
      <c r="M21" s="21">
        <f>SUM('[3]Air France'!$EZ$37:$FC$37)</f>
        <v>0</v>
      </c>
      <c r="N21" s="21">
        <f>SUM('[3]Charter Misc'!$EZ$37:$FC$37)++SUM([3]Ryan!$EZ$37:$FC$37)+SUM([3]Omni!$EZ$37:$FC$37)</f>
        <v>0</v>
      </c>
      <c r="O21" s="281">
        <f>SUM(B21:N21)</f>
        <v>11195</v>
      </c>
    </row>
    <row r="22" spans="1:15" x14ac:dyDescent="0.2">
      <c r="A22" s="62" t="s">
        <v>33</v>
      </c>
      <c r="B22" s="14">
        <f>SUM([3]Delta!$EZ$38:$FC$38)</f>
        <v>8895</v>
      </c>
      <c r="C22" s="14">
        <f>SUM('[3]Atlantic Southeast'!$EZ$38:$FC$38)</f>
        <v>126</v>
      </c>
      <c r="D22" s="14">
        <f>SUM([3]Pinnacle!$EZ$38:$FC$38)</f>
        <v>388</v>
      </c>
      <c r="E22" s="14">
        <f>SUM([3]Compass!$EZ$38:$FC$38)</f>
        <v>395</v>
      </c>
      <c r="F22" s="14">
        <f>SUM('[3]Sky West'!$EZ$38:$FC$38)</f>
        <v>263</v>
      </c>
      <c r="G22" s="14">
        <f>SUM('[3]Go Jet'!$EZ$38:$FC$38)</f>
        <v>119</v>
      </c>
      <c r="H22" s="14">
        <f>SUM('[3]Sun Country'!$EZ$38:$FC$38)</f>
        <v>978</v>
      </c>
      <c r="I22" s="14">
        <f>SUM([3]Icelandair!$EZ$38:$FC$38)</f>
        <v>223</v>
      </c>
      <c r="J22" s="14">
        <f>SUM([3]KLM!$EZ$38:$FC$38)</f>
        <v>23</v>
      </c>
      <c r="K22" s="14">
        <f>SUM('[3]Air Georgian'!$EZ$38:$FC$38)</f>
        <v>0</v>
      </c>
      <c r="L22" s="14">
        <f>SUM([3]Condor!$EZ$38:$FC$38)</f>
        <v>0</v>
      </c>
      <c r="M22" s="14">
        <f>SUM('[3]Air France'!$EZ$38:$FC$38)</f>
        <v>0</v>
      </c>
      <c r="N22" s="14">
        <f>SUM('[3]Charter Misc'!$EZ$38:$FC$38)++SUM([3]Ryan!$EZ$38:$FC$38)+SUM([3]Omni!$EZ$38:$FC$38)</f>
        <v>0</v>
      </c>
      <c r="O22" s="282">
        <f>SUM(B22:N22)</f>
        <v>11410</v>
      </c>
    </row>
    <row r="23" spans="1:15" ht="15.75" thickBot="1" x14ac:dyDescent="0.3">
      <c r="A23" s="63" t="s">
        <v>34</v>
      </c>
      <c r="B23" s="284">
        <f t="shared" ref="B23:N23" si="10">SUM(B21:B22)</f>
        <v>17770</v>
      </c>
      <c r="C23" s="284">
        <f t="shared" si="10"/>
        <v>286</v>
      </c>
      <c r="D23" s="284">
        <f t="shared" si="10"/>
        <v>754</v>
      </c>
      <c r="E23" s="284">
        <f t="shared" si="10"/>
        <v>760</v>
      </c>
      <c r="F23" s="284">
        <f t="shared" si="10"/>
        <v>546</v>
      </c>
      <c r="G23" s="284">
        <f t="shared" ref="G23" si="11">SUM(G21:G22)</f>
        <v>258</v>
      </c>
      <c r="H23" s="284">
        <f t="shared" si="10"/>
        <v>1769</v>
      </c>
      <c r="I23" s="284">
        <f t="shared" si="10"/>
        <v>424</v>
      </c>
      <c r="J23" s="284">
        <f t="shared" ref="J23:L23" si="12">SUM(J21:J22)</f>
        <v>38</v>
      </c>
      <c r="K23" s="284">
        <f t="shared" si="10"/>
        <v>0</v>
      </c>
      <c r="L23" s="284">
        <f t="shared" si="12"/>
        <v>0</v>
      </c>
      <c r="M23" s="284">
        <f t="shared" si="10"/>
        <v>0</v>
      </c>
      <c r="N23" s="284">
        <f t="shared" si="10"/>
        <v>0</v>
      </c>
      <c r="O23" s="285">
        <f>SUM(B23:N23)</f>
        <v>22605</v>
      </c>
    </row>
    <row r="25" spans="1:15" ht="39" thickBot="1" x14ac:dyDescent="0.25">
      <c r="B25" s="12" t="s">
        <v>18</v>
      </c>
      <c r="C25" s="272" t="s">
        <v>192</v>
      </c>
      <c r="D25" s="433" t="s">
        <v>162</v>
      </c>
      <c r="E25" s="272" t="s">
        <v>169</v>
      </c>
      <c r="F25" s="272" t="s">
        <v>170</v>
      </c>
      <c r="G25" s="272" t="s">
        <v>168</v>
      </c>
      <c r="H25" s="272" t="s">
        <v>49</v>
      </c>
      <c r="I25" s="272" t="s">
        <v>116</v>
      </c>
      <c r="J25" s="272" t="s">
        <v>222</v>
      </c>
      <c r="K25" s="272" t="s">
        <v>208</v>
      </c>
      <c r="L25" s="272" t="s">
        <v>167</v>
      </c>
      <c r="M25" s="272" t="s">
        <v>161</v>
      </c>
      <c r="N25" s="272" t="s">
        <v>142</v>
      </c>
      <c r="O25" s="272" t="s">
        <v>21</v>
      </c>
    </row>
    <row r="26" spans="1:15" ht="15" x14ac:dyDescent="0.25">
      <c r="A26" s="560" t="s">
        <v>146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2"/>
    </row>
    <row r="27" spans="1:15" x14ac:dyDescent="0.2">
      <c r="A27" s="62" t="s">
        <v>22</v>
      </c>
      <c r="B27" s="21">
        <f>[3]Delta!$FC$15</f>
        <v>417</v>
      </c>
      <c r="C27" s="21">
        <f>'[3]Atlantic Southeast'!$FC$15</f>
        <v>80</v>
      </c>
      <c r="D27" s="21">
        <f>[3]Pinnacle!$FC$15</f>
        <v>1</v>
      </c>
      <c r="E27" s="21">
        <f>[3]Compass!$FC$15</f>
        <v>55</v>
      </c>
      <c r="F27" s="21">
        <f>'[3]Sky West'!$FC$15</f>
        <v>215</v>
      </c>
      <c r="G27" s="21">
        <f>'[3]Go Jet'!$FC$15</f>
        <v>0</v>
      </c>
      <c r="H27" s="21">
        <f>'[3]Sun Country'!$FC$15</f>
        <v>186</v>
      </c>
      <c r="I27" s="21">
        <f>[3]Icelandair!$FC$15</f>
        <v>22</v>
      </c>
      <c r="J27" s="21">
        <f>[3]KLM!$FC$15</f>
        <v>13</v>
      </c>
      <c r="K27" s="21">
        <f>'[3]Air Georgian'!$FC$15</f>
        <v>85</v>
      </c>
      <c r="L27" s="21">
        <f>[3]Condor!$FC$15</f>
        <v>0</v>
      </c>
      <c r="M27" s="21">
        <f>'[3]Air France'!$FC$15</f>
        <v>0</v>
      </c>
      <c r="N27" s="21">
        <f>'[3]Charter Misc'!$FC$15+[3]Ryan!$FC$15+[3]Omni!$FC$15</f>
        <v>0</v>
      </c>
      <c r="O27" s="281">
        <f>SUM(B27:N27)</f>
        <v>1074</v>
      </c>
    </row>
    <row r="28" spans="1:15" x14ac:dyDescent="0.2">
      <c r="A28" s="62" t="s">
        <v>23</v>
      </c>
      <c r="B28" s="21">
        <f>[3]Delta!$FC$16</f>
        <v>418</v>
      </c>
      <c r="C28" s="21">
        <f>'[3]Atlantic Southeast'!$FC$16</f>
        <v>80</v>
      </c>
      <c r="D28" s="21">
        <f>[3]Pinnacle!$FC$16</f>
        <v>1</v>
      </c>
      <c r="E28" s="21">
        <f>[3]Compass!$FC$16</f>
        <v>55</v>
      </c>
      <c r="F28" s="21">
        <f>'[3]Sky West'!$FC$16</f>
        <v>214</v>
      </c>
      <c r="G28" s="21">
        <f>'[3]Go Jet'!$FC$16</f>
        <v>0</v>
      </c>
      <c r="H28" s="21">
        <f>'[3]Sun Country'!$FC$16</f>
        <v>175</v>
      </c>
      <c r="I28" s="21">
        <f>[3]Icelandair!$FC$16</f>
        <v>22</v>
      </c>
      <c r="J28" s="21">
        <f>[3]KLM!$FC$16</f>
        <v>13</v>
      </c>
      <c r="K28" s="21">
        <f>'[3]Air Georgian'!$FC$16</f>
        <v>85</v>
      </c>
      <c r="L28" s="21">
        <f>[3]Condor!$FC$16</f>
        <v>0</v>
      </c>
      <c r="M28" s="21">
        <f>'[3]Air France'!$FC$16</f>
        <v>0</v>
      </c>
      <c r="N28" s="21">
        <f>'[3]Charter Misc'!$FC$16+[3]Ryan!$FC$16+[3]Omni!$FC$16</f>
        <v>0</v>
      </c>
      <c r="O28" s="281">
        <f>SUM(B28:N28)</f>
        <v>1063</v>
      </c>
    </row>
    <row r="29" spans="1:15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1"/>
    </row>
    <row r="30" spans="1:15" ht="15.75" thickBot="1" x14ac:dyDescent="0.3">
      <c r="A30" s="63" t="s">
        <v>28</v>
      </c>
      <c r="B30" s="387">
        <f t="shared" ref="B30:K30" si="13">SUM(B27:B28)</f>
        <v>835</v>
      </c>
      <c r="C30" s="387">
        <f t="shared" si="13"/>
        <v>160</v>
      </c>
      <c r="D30" s="387">
        <f t="shared" si="13"/>
        <v>2</v>
      </c>
      <c r="E30" s="387">
        <f t="shared" si="13"/>
        <v>110</v>
      </c>
      <c r="F30" s="387">
        <f>SUM(F27:F28)</f>
        <v>429</v>
      </c>
      <c r="G30" s="387">
        <f>SUM(G27:G28)</f>
        <v>0</v>
      </c>
      <c r="H30" s="387">
        <f t="shared" si="13"/>
        <v>361</v>
      </c>
      <c r="I30" s="387">
        <f t="shared" si="13"/>
        <v>44</v>
      </c>
      <c r="J30" s="387">
        <f>SUM(J27:J28)</f>
        <v>26</v>
      </c>
      <c r="K30" s="387">
        <f t="shared" si="13"/>
        <v>170</v>
      </c>
      <c r="L30" s="387">
        <f>SUM(L27:L28)</f>
        <v>0</v>
      </c>
      <c r="M30" s="387">
        <f>SUM(M27:M28)</f>
        <v>0</v>
      </c>
      <c r="N30" s="387">
        <f>SUM(N27:N28)</f>
        <v>0</v>
      </c>
      <c r="O30" s="388">
        <f>SUM(B30:N30)</f>
        <v>2137</v>
      </c>
    </row>
    <row r="31" spans="1:15" ht="15" x14ac:dyDescent="0.25">
      <c r="A31" s="389"/>
    </row>
    <row r="32" spans="1:15" ht="39" thickBot="1" x14ac:dyDescent="0.25">
      <c r="B32" s="12" t="s">
        <v>18</v>
      </c>
      <c r="C32" s="272" t="s">
        <v>192</v>
      </c>
      <c r="D32" s="433" t="s">
        <v>162</v>
      </c>
      <c r="E32" s="272" t="s">
        <v>169</v>
      </c>
      <c r="F32" s="272" t="s">
        <v>170</v>
      </c>
      <c r="G32" s="272" t="s">
        <v>168</v>
      </c>
      <c r="H32" s="272" t="s">
        <v>49</v>
      </c>
      <c r="I32" s="272" t="s">
        <v>116</v>
      </c>
      <c r="J32" s="272" t="s">
        <v>222</v>
      </c>
      <c r="K32" s="272" t="s">
        <v>208</v>
      </c>
      <c r="L32" s="272" t="s">
        <v>167</v>
      </c>
      <c r="M32" s="272" t="s">
        <v>161</v>
      </c>
      <c r="N32" s="272" t="s">
        <v>142</v>
      </c>
      <c r="O32" s="272" t="s">
        <v>144</v>
      </c>
    </row>
    <row r="33" spans="1:15" ht="15" x14ac:dyDescent="0.25">
      <c r="A33" s="563" t="s">
        <v>147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5"/>
    </row>
    <row r="34" spans="1:15" x14ac:dyDescent="0.2">
      <c r="A34" s="62" t="s">
        <v>22</v>
      </c>
      <c r="B34" s="21">
        <f>SUM([3]Delta!$EZ$15:$FC$15)</f>
        <v>1939</v>
      </c>
      <c r="C34" s="21">
        <f>SUM('[3]Atlantic Southeast'!$EZ$15:$FC$15)</f>
        <v>124</v>
      </c>
      <c r="D34" s="21">
        <f>SUM([3]Pinnacle!$EZ$15:$FC$15)</f>
        <v>364</v>
      </c>
      <c r="E34" s="21">
        <f>SUM([3]Compass!$EZ$15:$FC$15)</f>
        <v>411</v>
      </c>
      <c r="F34" s="21">
        <f>SUM('[3]Sky West'!$EZ$15:$FC$15)</f>
        <v>462</v>
      </c>
      <c r="G34" s="21">
        <f>SUM('[3]Go Jet'!$EZ$15:$FC$15)</f>
        <v>165</v>
      </c>
      <c r="H34" s="21">
        <f>SUM('[3]Sun Country'!$EZ$15:$FC$15)</f>
        <v>1006</v>
      </c>
      <c r="I34" s="21">
        <f>SUM([3]Icelandair!$EZ$15:$FC$15)</f>
        <v>71</v>
      </c>
      <c r="J34" s="21">
        <f>SUM([3]KLM!$EZ$15:$FC$15)</f>
        <v>15</v>
      </c>
      <c r="K34" s="21">
        <f>SUM('[3]Air Georgian'!$EZ$15:$FC$15)</f>
        <v>337</v>
      </c>
      <c r="L34" s="21">
        <f>SUM([3]Condor!$EZ$15:$FC$15)</f>
        <v>0</v>
      </c>
      <c r="M34" s="21">
        <f>SUM('[3]Air France'!$EZ$15:$FC$15)</f>
        <v>0</v>
      </c>
      <c r="N34" s="21">
        <f>SUM('[3]Charter Misc'!$EZ$15:$FC$15)+SUM([3]Ryan!$EZ$15:$FC$15)+SUM([3]Omni!$EZ$15:$FC$15)</f>
        <v>1</v>
      </c>
      <c r="O34" s="281">
        <f>SUM(B34:N34)</f>
        <v>4895</v>
      </c>
    </row>
    <row r="35" spans="1:15" x14ac:dyDescent="0.2">
      <c r="A35" s="62" t="s">
        <v>23</v>
      </c>
      <c r="B35" s="21">
        <f>SUM([3]Delta!$EZ$16:$FC$16)</f>
        <v>1944</v>
      </c>
      <c r="C35" s="21">
        <f>SUM('[3]Atlantic Southeast'!$EZ$16:$FC$16)</f>
        <v>119</v>
      </c>
      <c r="D35" s="21">
        <f>SUM([3]Pinnacle!$EZ$16:$FC$16)</f>
        <v>366</v>
      </c>
      <c r="E35" s="21">
        <f>SUM([3]Compass!$EZ$16:$FC$16)</f>
        <v>408</v>
      </c>
      <c r="F35" s="21">
        <f>SUM('[3]Sky West'!$EZ$16:$FC$16)</f>
        <v>464</v>
      </c>
      <c r="G35" s="21">
        <f>SUM('[3]Go Jet'!$EZ$16:$FC$16)</f>
        <v>163</v>
      </c>
      <c r="H35" s="21">
        <f>SUM('[3]Sun Country'!$EZ$16:$FC$16)</f>
        <v>997</v>
      </c>
      <c r="I35" s="21">
        <f>SUM([3]Icelandair!$EZ$16:$FC$16)</f>
        <v>71</v>
      </c>
      <c r="J35" s="21">
        <f>SUM([3]KLM!$EZ$16:$FC$16)</f>
        <v>15</v>
      </c>
      <c r="K35" s="21">
        <f>SUM('[3]Air Georgian'!$EZ$16:$FC$16)</f>
        <v>337</v>
      </c>
      <c r="L35" s="21">
        <f>SUM([3]Condor!$EZ$16:$FC$16)</f>
        <v>0</v>
      </c>
      <c r="M35" s="21">
        <f>SUM('[3]Air France'!$EZ$16:$FC$16)</f>
        <v>0</v>
      </c>
      <c r="N35" s="21">
        <f>SUM('[3]Charter Misc'!$EZ$16:$FC$16)+SUM([3]Ryan!$EZ$16:$FC$16)+SUM([3]Omni!$EZ$16:$FC$16)</f>
        <v>1</v>
      </c>
      <c r="O35" s="281">
        <f>SUM(B35:N35)</f>
        <v>4885</v>
      </c>
    </row>
    <row r="36" spans="1:15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1"/>
    </row>
    <row r="37" spans="1:15" ht="15.75" thickBot="1" x14ac:dyDescent="0.3">
      <c r="A37" s="63" t="s">
        <v>28</v>
      </c>
      <c r="B37" s="387">
        <f t="shared" ref="B37:K37" si="14">+SUM(B34:B35)</f>
        <v>3883</v>
      </c>
      <c r="C37" s="387">
        <f t="shared" si="14"/>
        <v>243</v>
      </c>
      <c r="D37" s="387">
        <f t="shared" si="14"/>
        <v>730</v>
      </c>
      <c r="E37" s="387">
        <f t="shared" si="14"/>
        <v>819</v>
      </c>
      <c r="F37" s="387">
        <f>+SUM(F34:F35)</f>
        <v>926</v>
      </c>
      <c r="G37" s="387">
        <f>+SUM(G34:G35)</f>
        <v>328</v>
      </c>
      <c r="H37" s="387">
        <f t="shared" si="14"/>
        <v>2003</v>
      </c>
      <c r="I37" s="387">
        <f t="shared" si="14"/>
        <v>142</v>
      </c>
      <c r="J37" s="387">
        <f>+SUM(J34:J35)</f>
        <v>30</v>
      </c>
      <c r="K37" s="387">
        <f t="shared" si="14"/>
        <v>674</v>
      </c>
      <c r="L37" s="387">
        <f>+SUM(L34:L35)</f>
        <v>0</v>
      </c>
      <c r="M37" s="387">
        <f>+SUM(M34:M35)</f>
        <v>0</v>
      </c>
      <c r="N37" s="387">
        <f>+SUM(N34:N35)</f>
        <v>2</v>
      </c>
      <c r="O37" s="388">
        <f>SUM(B37:N37)</f>
        <v>9780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&amp;"Arial,Bold"April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0"/>
  <sheetViews>
    <sheetView topLeftCell="A7" zoomScaleNormal="100" zoomScaleSheetLayoutView="85" workbookViewId="0">
      <selection activeCell="L56" sqref="L56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5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68" t="s">
        <v>201</v>
      </c>
      <c r="D1" s="469" t="s">
        <v>175</v>
      </c>
      <c r="E1" s="267" t="s">
        <v>98</v>
      </c>
      <c r="F1" s="266" t="s">
        <v>202</v>
      </c>
      <c r="G1" s="469" t="s">
        <v>176</v>
      </c>
      <c r="H1" s="265" t="s">
        <v>99</v>
      </c>
      <c r="I1" s="267" t="s">
        <v>140</v>
      </c>
      <c r="J1" s="575" t="s">
        <v>139</v>
      </c>
      <c r="K1" s="576"/>
      <c r="L1" s="466" t="s">
        <v>203</v>
      </c>
      <c r="M1" s="467" t="s">
        <v>177</v>
      </c>
      <c r="N1" s="345" t="s">
        <v>99</v>
      </c>
      <c r="O1" s="507" t="s">
        <v>204</v>
      </c>
      <c r="P1" s="268" t="s">
        <v>178</v>
      </c>
      <c r="Q1" s="503" t="s">
        <v>99</v>
      </c>
      <c r="R1" s="508" t="s">
        <v>216</v>
      </c>
    </row>
    <row r="2" spans="1:19" s="224" customFormat="1" ht="13.5" customHeight="1" thickBot="1" x14ac:dyDescent="0.25">
      <c r="A2" s="571">
        <v>42826</v>
      </c>
      <c r="B2" s="572"/>
      <c r="C2" s="573" t="s">
        <v>9</v>
      </c>
      <c r="D2" s="574"/>
      <c r="E2" s="574"/>
      <c r="F2" s="574"/>
      <c r="G2" s="574"/>
      <c r="H2" s="574"/>
      <c r="I2" s="470"/>
      <c r="J2" s="571">
        <v>42826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6"/>
      <c r="B3" s="347"/>
      <c r="C3" s="348"/>
      <c r="D3" s="349"/>
      <c r="E3" s="350"/>
      <c r="F3" s="417"/>
      <c r="G3" s="418"/>
      <c r="H3" s="500"/>
      <c r="I3" s="350"/>
      <c r="J3" s="351"/>
      <c r="K3" s="347"/>
      <c r="L3" s="509"/>
      <c r="M3" s="5"/>
      <c r="N3" s="85"/>
      <c r="O3" s="346"/>
      <c r="P3" s="352"/>
      <c r="Q3" s="352"/>
      <c r="R3" s="347"/>
    </row>
    <row r="4" spans="1:19" ht="14.1" customHeight="1" x14ac:dyDescent="0.2">
      <c r="A4" s="353" t="s">
        <v>101</v>
      </c>
      <c r="B4" s="55"/>
      <c r="C4" s="354">
        <f>SUM(C5:C7)</f>
        <v>170</v>
      </c>
      <c r="D4" s="356">
        <f>SUM(D5:D7)</f>
        <v>172</v>
      </c>
      <c r="E4" s="357">
        <f>(C4-D4)/D4</f>
        <v>-1.1627906976744186E-2</v>
      </c>
      <c r="F4" s="354">
        <f>SUM(F5:F7)</f>
        <v>674</v>
      </c>
      <c r="G4" s="356">
        <f>SUM(G5:G7)</f>
        <v>694</v>
      </c>
      <c r="H4" s="355">
        <f>(F4-G4)/G4</f>
        <v>-2.8818443804034581E-2</v>
      </c>
      <c r="I4" s="357">
        <f>F4/$F$66</f>
        <v>5.5836764450041005E-3</v>
      </c>
      <c r="J4" s="353" t="s">
        <v>101</v>
      </c>
      <c r="K4" s="55"/>
      <c r="L4" s="354">
        <f>SUM(L5:L7)</f>
        <v>6905</v>
      </c>
      <c r="M4" s="356">
        <f>SUM(M5:M7)</f>
        <v>6989</v>
      </c>
      <c r="N4" s="357">
        <f>(L4-M4)/M4</f>
        <v>-1.2018886822149091E-2</v>
      </c>
      <c r="O4" s="354">
        <f>SUM(O5:O7)</f>
        <v>25992</v>
      </c>
      <c r="P4" s="356">
        <f>SUM(P5:P7)</f>
        <v>26976</v>
      </c>
      <c r="Q4" s="355">
        <f>(O4-P4)/P4</f>
        <v>-3.6476868327402136E-2</v>
      </c>
      <c r="R4" s="357">
        <f>O4/$O$66</f>
        <v>2.2711486960162014E-3</v>
      </c>
      <c r="S4" s="20"/>
    </row>
    <row r="5" spans="1:19" ht="14.1" customHeight="1" x14ac:dyDescent="0.2">
      <c r="A5" s="353"/>
      <c r="B5" s="435" t="s">
        <v>101</v>
      </c>
      <c r="C5" s="358">
        <v>0</v>
      </c>
      <c r="D5" s="9">
        <v>0</v>
      </c>
      <c r="E5" s="86" t="e">
        <f>(C5-D5)/D5</f>
        <v>#DIV/0!</v>
      </c>
      <c r="F5" s="295">
        <v>0</v>
      </c>
      <c r="G5" s="295">
        <v>0</v>
      </c>
      <c r="H5" s="442" t="e">
        <f>(F5-G5)/G5</f>
        <v>#DIV/0!</v>
      </c>
      <c r="I5" s="86">
        <f>F5/$F$66</f>
        <v>0</v>
      </c>
      <c r="J5" s="353"/>
      <c r="K5" s="435" t="s">
        <v>101</v>
      </c>
      <c r="L5" s="441">
        <v>0</v>
      </c>
      <c r="M5" s="295">
        <v>0</v>
      </c>
      <c r="N5" s="443" t="e">
        <f>(L5-M5)/M5</f>
        <v>#DIV/0!</v>
      </c>
      <c r="O5" s="441">
        <v>0</v>
      </c>
      <c r="P5" s="295">
        <v>0</v>
      </c>
      <c r="Q5" s="442" t="e">
        <f>(O5-P5)/P5</f>
        <v>#DIV/0!</v>
      </c>
      <c r="R5" s="443">
        <f>O5/$O$66</f>
        <v>0</v>
      </c>
      <c r="S5" s="20"/>
    </row>
    <row r="6" spans="1:19" ht="14.1" customHeight="1" x14ac:dyDescent="0.2">
      <c r="A6" s="353"/>
      <c r="B6" s="464" t="s">
        <v>179</v>
      </c>
      <c r="C6" s="441">
        <f>'[3]Jazz Air'!$FC$19</f>
        <v>0</v>
      </c>
      <c r="D6" s="295">
        <f>'[3]Jazz Air'!$EO$19</f>
        <v>0</v>
      </c>
      <c r="E6" s="443" t="e">
        <f>(C6-D6)/D6</f>
        <v>#DIV/0!</v>
      </c>
      <c r="F6" s="295">
        <f>SUM('[3]Jazz Air'!$EZ$19:$FC$19)</f>
        <v>0</v>
      </c>
      <c r="G6" s="295">
        <f>SUM('[3]Jazz Air'!$EL$19:$EO$19)</f>
        <v>185</v>
      </c>
      <c r="H6" s="442">
        <f>(F6-G6)/G6</f>
        <v>-1</v>
      </c>
      <c r="I6" s="443">
        <f>F6/$F$66</f>
        <v>0</v>
      </c>
      <c r="J6" s="444"/>
      <c r="K6" s="435" t="s">
        <v>179</v>
      </c>
      <c r="L6" s="441">
        <f>'[3]Jazz Air'!$FC$41</f>
        <v>0</v>
      </c>
      <c r="M6" s="295">
        <f>'[3]Jazz Air'!$EO$41</f>
        <v>0</v>
      </c>
      <c r="N6" s="443" t="e">
        <f>(L6-M6)/M6</f>
        <v>#DIV/0!</v>
      </c>
      <c r="O6" s="441">
        <f>SUM('[3]Jazz Air'!$EZ$41:$FC$41)</f>
        <v>0</v>
      </c>
      <c r="P6" s="295">
        <f>SUM('[3]Jazz Air'!$EL$41:$EO$41)</f>
        <v>6759</v>
      </c>
      <c r="Q6" s="442">
        <f>(O6-P6)/P6</f>
        <v>-1</v>
      </c>
      <c r="R6" s="443">
        <f>O6/$O$66</f>
        <v>0</v>
      </c>
      <c r="S6" s="20"/>
    </row>
    <row r="7" spans="1:19" ht="14.1" customHeight="1" x14ac:dyDescent="0.2">
      <c r="A7" s="353"/>
      <c r="B7" s="435" t="s">
        <v>180</v>
      </c>
      <c r="C7" s="358">
        <f>'[3]Air Georgian'!$FC$19</f>
        <v>170</v>
      </c>
      <c r="D7" s="9">
        <f>'[3]Air Georgian'!$EO$19</f>
        <v>172</v>
      </c>
      <c r="E7" s="86">
        <f>(C7-D7)/D7</f>
        <v>-1.1627906976744186E-2</v>
      </c>
      <c r="F7" s="295">
        <f>SUM('[3]Air Georgian'!$EZ$19:$FC$19)</f>
        <v>674</v>
      </c>
      <c r="G7" s="295">
        <f>SUM('[3]Air Georgian'!$EL$19:$EO$19)</f>
        <v>509</v>
      </c>
      <c r="H7" s="442">
        <f>(F7-G7)/G7</f>
        <v>0.32416502946954812</v>
      </c>
      <c r="I7" s="86">
        <f>F7/$F$66</f>
        <v>5.5836764450041005E-3</v>
      </c>
      <c r="J7" s="353"/>
      <c r="K7" s="435" t="s">
        <v>180</v>
      </c>
      <c r="L7" s="358">
        <f>'[3]Air Georgian'!$FC$41</f>
        <v>6905</v>
      </c>
      <c r="M7" s="9">
        <f>'[3]Air Georgian'!$EO$41</f>
        <v>6989</v>
      </c>
      <c r="N7" s="86">
        <f>(L7-M7)/M7</f>
        <v>-1.2018886822149091E-2</v>
      </c>
      <c r="O7" s="358">
        <f>SUM('[3]Air Georgian'!$EZ$41:$FC$41)</f>
        <v>25992</v>
      </c>
      <c r="P7" s="9">
        <f>SUM('[3]Air Georgian'!$EL$41:$EO$41)</f>
        <v>20217</v>
      </c>
      <c r="Q7" s="39">
        <f>(O7-P7)/P7</f>
        <v>0.28565069001335508</v>
      </c>
      <c r="R7" s="86">
        <f>O7/$O$66</f>
        <v>2.2711486960162014E-3</v>
      </c>
      <c r="S7" s="20"/>
    </row>
    <row r="8" spans="1:19" ht="14.1" customHeight="1" x14ac:dyDescent="0.2">
      <c r="A8" s="353"/>
      <c r="B8" s="55"/>
      <c r="C8" s="354"/>
      <c r="D8" s="356"/>
      <c r="E8" s="357"/>
      <c r="F8" s="356"/>
      <c r="G8" s="356"/>
      <c r="H8" s="355"/>
      <c r="I8" s="357"/>
      <c r="J8" s="353"/>
      <c r="K8" s="55"/>
      <c r="L8" s="358"/>
      <c r="M8" s="9"/>
      <c r="N8" s="86"/>
      <c r="O8" s="358"/>
      <c r="P8" s="9"/>
      <c r="Q8" s="39"/>
      <c r="R8" s="86"/>
      <c r="S8" s="20"/>
    </row>
    <row r="9" spans="1:19" ht="14.1" customHeight="1" x14ac:dyDescent="0.2">
      <c r="A9" s="353" t="s">
        <v>205</v>
      </c>
      <c r="B9" s="55"/>
      <c r="C9" s="354">
        <f>'[3]Air Choice One'!$FC$19</f>
        <v>240</v>
      </c>
      <c r="D9" s="356">
        <f>'[3]Air Choice One'!$EO$19</f>
        <v>0</v>
      </c>
      <c r="E9" s="357" t="e">
        <f>(C9-D9)/D9</f>
        <v>#DIV/0!</v>
      </c>
      <c r="F9" s="356">
        <f>SUM('[3]Air Choice One'!$EZ$19:$FC$19)</f>
        <v>958</v>
      </c>
      <c r="G9" s="356">
        <f>SUM('[3]Air Choice One'!$EL$19:$EO$19)</f>
        <v>0</v>
      </c>
      <c r="H9" s="355" t="e">
        <f>(F9-G9)/G9</f>
        <v>#DIV/0!</v>
      </c>
      <c r="I9" s="357">
        <f>F9/$F$66</f>
        <v>7.9364421874093902E-3</v>
      </c>
      <c r="J9" s="353" t="s">
        <v>205</v>
      </c>
      <c r="K9" s="55"/>
      <c r="L9" s="354">
        <f>'[3]Air Choice One'!$FC$41</f>
        <v>778</v>
      </c>
      <c r="M9" s="356">
        <f>'[3]Air Choice One'!$EO$41</f>
        <v>0</v>
      </c>
      <c r="N9" s="357" t="e">
        <f>(L9-M9)/M9</f>
        <v>#DIV/0!</v>
      </c>
      <c r="O9" s="354">
        <f>SUM('[3]Air Choice One'!$EZ$41:$FC$41)</f>
        <v>3109</v>
      </c>
      <c r="P9" s="356">
        <f>SUM('[3]Air Choice One'!$EL$41:$EO$41)</f>
        <v>0</v>
      </c>
      <c r="Q9" s="355" t="e">
        <f>(O9-P9)/P9</f>
        <v>#DIV/0!</v>
      </c>
      <c r="R9" s="357">
        <f>O9/$O$66</f>
        <v>2.7166056078464031E-4</v>
      </c>
      <c r="S9" s="20"/>
    </row>
    <row r="10" spans="1:19" ht="14.1" customHeight="1" x14ac:dyDescent="0.2">
      <c r="A10" s="353"/>
      <c r="B10" s="55"/>
      <c r="C10" s="354"/>
      <c r="D10" s="356"/>
      <c r="E10" s="357"/>
      <c r="F10" s="356"/>
      <c r="G10" s="356"/>
      <c r="H10" s="355"/>
      <c r="I10" s="357"/>
      <c r="J10" s="353"/>
      <c r="K10" s="55"/>
      <c r="L10" s="358"/>
      <c r="M10" s="9"/>
      <c r="N10" s="86"/>
      <c r="O10" s="358"/>
      <c r="P10" s="9"/>
      <c r="Q10" s="39"/>
      <c r="R10" s="86"/>
      <c r="S10" s="20"/>
    </row>
    <row r="11" spans="1:19" ht="14.1" customHeight="1" x14ac:dyDescent="0.2">
      <c r="A11" s="353" t="s">
        <v>161</v>
      </c>
      <c r="B11" s="55"/>
      <c r="C11" s="354">
        <f>'[3]Air France'!$FC$19</f>
        <v>0</v>
      </c>
      <c r="D11" s="356">
        <f>'[3]Air France'!$EO$19</f>
        <v>0</v>
      </c>
      <c r="E11" s="357" t="e">
        <f>(C11-D11)/D11</f>
        <v>#DIV/0!</v>
      </c>
      <c r="F11" s="356">
        <f>SUM('[3]Air France'!$EZ$19:$FC$19)</f>
        <v>0</v>
      </c>
      <c r="G11" s="356">
        <f>SUM('[3]Air France'!$EL$19:$EO$19)</f>
        <v>0</v>
      </c>
      <c r="H11" s="355" t="e">
        <f>(F11-G11)/G11</f>
        <v>#DIV/0!</v>
      </c>
      <c r="I11" s="357">
        <f>F11/$F$66</f>
        <v>0</v>
      </c>
      <c r="J11" s="353" t="s">
        <v>161</v>
      </c>
      <c r="K11" s="55"/>
      <c r="L11" s="354">
        <f>'[3]Air France'!$FC$41</f>
        <v>0</v>
      </c>
      <c r="M11" s="356">
        <f>'[3]Air France'!$EO$41</f>
        <v>0</v>
      </c>
      <c r="N11" s="357" t="e">
        <f>(L11-M11)/M11</f>
        <v>#DIV/0!</v>
      </c>
      <c r="O11" s="354">
        <f>SUM('[3]Air France'!$EZ$41:$FC$41)</f>
        <v>0</v>
      </c>
      <c r="P11" s="356">
        <f>SUM('[3]Air France'!$EL$41:$EO$41)</f>
        <v>0</v>
      </c>
      <c r="Q11" s="355" t="e">
        <f>(O11-P11)/P11</f>
        <v>#DIV/0!</v>
      </c>
      <c r="R11" s="357">
        <f>O11/$O$66</f>
        <v>0</v>
      </c>
      <c r="S11" s="20"/>
    </row>
    <row r="12" spans="1:19" ht="14.1" customHeight="1" x14ac:dyDescent="0.2">
      <c r="A12" s="353"/>
      <c r="B12" s="55"/>
      <c r="C12" s="354"/>
      <c r="D12" s="356"/>
      <c r="E12" s="357"/>
      <c r="F12" s="356"/>
      <c r="G12" s="356"/>
      <c r="H12" s="355"/>
      <c r="I12" s="357"/>
      <c r="J12" s="353"/>
      <c r="K12" s="55"/>
      <c r="L12" s="358"/>
      <c r="M12" s="9"/>
      <c r="N12" s="86"/>
      <c r="O12" s="358"/>
      <c r="P12" s="9"/>
      <c r="Q12" s="39"/>
      <c r="R12" s="86"/>
      <c r="S12" s="20"/>
    </row>
    <row r="13" spans="1:19" ht="14.1" customHeight="1" x14ac:dyDescent="0.2">
      <c r="A13" s="353" t="s">
        <v>131</v>
      </c>
      <c r="B13" s="55"/>
      <c r="C13" s="354">
        <f>SUM(C14:C15)</f>
        <v>181</v>
      </c>
      <c r="D13" s="356">
        <f>SUM(D14:D15)</f>
        <v>180</v>
      </c>
      <c r="E13" s="357">
        <f>(C13-D13)/D13</f>
        <v>5.5555555555555558E-3</v>
      </c>
      <c r="F13" s="356">
        <f>SUM(F14:F15)</f>
        <v>634</v>
      </c>
      <c r="G13" s="356">
        <f>SUM(G14:G15)</f>
        <v>630</v>
      </c>
      <c r="H13" s="355">
        <f>(F13-G13)/G13</f>
        <v>6.3492063492063492E-3</v>
      </c>
      <c r="I13" s="357">
        <f>F13/$F$66</f>
        <v>5.2523009883272999E-3</v>
      </c>
      <c r="J13" s="353" t="s">
        <v>131</v>
      </c>
      <c r="K13" s="55"/>
      <c r="L13" s="354">
        <f>SUM(L14:L15)</f>
        <v>21711</v>
      </c>
      <c r="M13" s="356">
        <f>SUM(M14:M15)</f>
        <v>19622</v>
      </c>
      <c r="N13" s="357">
        <f>(L13-M13)/M13</f>
        <v>0.10646213433900724</v>
      </c>
      <c r="O13" s="354">
        <f>SUM(O14:O15)</f>
        <v>72300</v>
      </c>
      <c r="P13" s="356">
        <f>SUM(P14:P15)</f>
        <v>79352</v>
      </c>
      <c r="Q13" s="355">
        <f>(O13-P13)/P13</f>
        <v>-8.8869845750579698E-2</v>
      </c>
      <c r="R13" s="357">
        <f>O13/$O$66</f>
        <v>6.3174842536923423E-3</v>
      </c>
      <c r="S13" s="20"/>
    </row>
    <row r="14" spans="1:19" ht="14.1" customHeight="1" x14ac:dyDescent="0.2">
      <c r="A14" s="353"/>
      <c r="B14" s="435" t="s">
        <v>131</v>
      </c>
      <c r="C14" s="441">
        <f>[3]Alaska!$FC$19</f>
        <v>121</v>
      </c>
      <c r="D14" s="295">
        <f>[3]Alaska!$EO$19</f>
        <v>120</v>
      </c>
      <c r="E14" s="443">
        <f>(C14-D14)/D14</f>
        <v>8.3333333333333332E-3</v>
      </c>
      <c r="F14" s="295">
        <f>SUM([3]Alaska!$EZ$19:$FC$19)</f>
        <v>399</v>
      </c>
      <c r="G14" s="295">
        <f>SUM([3]Alaska!$EL$19:$EO$19)</f>
        <v>510</v>
      </c>
      <c r="H14" s="442">
        <f>(F14-G14)/G14</f>
        <v>-0.21764705882352942</v>
      </c>
      <c r="I14" s="443">
        <f>F14/$F$66</f>
        <v>3.3054701803510922E-3</v>
      </c>
      <c r="J14" s="353"/>
      <c r="K14" s="435" t="s">
        <v>131</v>
      </c>
      <c r="L14" s="441">
        <f>[3]Alaska!$FC$41</f>
        <v>17638</v>
      </c>
      <c r="M14" s="295">
        <f>[3]Alaska!$EO$41</f>
        <v>15698</v>
      </c>
      <c r="N14" s="443">
        <f>(L14-M14)/M14</f>
        <v>0.12358262199006242</v>
      </c>
      <c r="O14" s="441">
        <f>SUM([3]Alaska!$EZ$41:$FC$41)</f>
        <v>57089</v>
      </c>
      <c r="P14" s="295">
        <f>SUM([3]Alaska!$EL$41:$EO$41)</f>
        <v>71433</v>
      </c>
      <c r="Q14" s="442">
        <f>(O14-P14)/P14</f>
        <v>-0.20080355017988885</v>
      </c>
      <c r="R14" s="443">
        <f>O14/$O$66</f>
        <v>4.9883659551734731E-3</v>
      </c>
      <c r="S14" s="20"/>
    </row>
    <row r="15" spans="1:19" ht="14.1" customHeight="1" x14ac:dyDescent="0.2">
      <c r="A15" s="353"/>
      <c r="B15" s="435" t="s">
        <v>100</v>
      </c>
      <c r="C15" s="358">
        <f>'[3]Sky West_AS'!$FC$19</f>
        <v>60</v>
      </c>
      <c r="D15" s="9">
        <f>'[3]Sky West_AS'!$EO$19</f>
        <v>60</v>
      </c>
      <c r="E15" s="86">
        <f>(C15-D15)/D15</f>
        <v>0</v>
      </c>
      <c r="F15" s="9">
        <f>SUM('[3]Sky West_AS'!$EZ$19:$FC$19)</f>
        <v>235</v>
      </c>
      <c r="G15" s="9">
        <f>SUM('[3]Sky West_AS'!$EL$19:$EO$19)</f>
        <v>120</v>
      </c>
      <c r="H15" s="39">
        <f>(F15-G15)/G15</f>
        <v>0.95833333333333337</v>
      </c>
      <c r="I15" s="86">
        <f>F15/$F$66</f>
        <v>1.9468308079762073E-3</v>
      </c>
      <c r="J15" s="353"/>
      <c r="K15" s="435" t="s">
        <v>100</v>
      </c>
      <c r="L15" s="358">
        <f>'[3]Sky West_AS'!$FC$41</f>
        <v>4073</v>
      </c>
      <c r="M15" s="9">
        <f>'[3]Sky West_AS'!$EO$41</f>
        <v>3924</v>
      </c>
      <c r="N15" s="86">
        <f>(L15-M15)/M15</f>
        <v>3.7971457696228339E-2</v>
      </c>
      <c r="O15" s="358">
        <f>SUM('[3]Sky West_AS'!$EZ$41:$FC$41)</f>
        <v>15211</v>
      </c>
      <c r="P15" s="9">
        <f>SUM('[3]Sky West_AS'!$EL$41:$EO$41)</f>
        <v>7919</v>
      </c>
      <c r="Q15" s="39">
        <f>(O15-P15)/P15</f>
        <v>0.92082333627983326</v>
      </c>
      <c r="R15" s="443">
        <f>O15/$O$66</f>
        <v>1.3291182985188689E-3</v>
      </c>
      <c r="S15" s="20"/>
    </row>
    <row r="16" spans="1:19" ht="14.1" customHeight="1" x14ac:dyDescent="0.2">
      <c r="A16" s="353"/>
      <c r="B16" s="55"/>
      <c r="C16" s="354"/>
      <c r="D16" s="359"/>
      <c r="E16" s="357"/>
      <c r="F16" s="359"/>
      <c r="G16" s="359"/>
      <c r="H16" s="355"/>
      <c r="I16" s="357"/>
      <c r="J16" s="353"/>
      <c r="K16" s="55"/>
      <c r="L16" s="360"/>
      <c r="M16" s="146"/>
      <c r="N16" s="86"/>
      <c r="O16" s="360"/>
      <c r="P16" s="146"/>
      <c r="Q16" s="39"/>
      <c r="R16" s="86"/>
      <c r="S16" s="20"/>
    </row>
    <row r="17" spans="1:22" ht="14.1" customHeight="1" x14ac:dyDescent="0.2">
      <c r="A17" s="353" t="s">
        <v>17</v>
      </c>
      <c r="B17" s="366"/>
      <c r="C17" s="354">
        <f>SUM(C18:C24)</f>
        <v>1992</v>
      </c>
      <c r="D17" s="356">
        <f>SUM(D18:D24)</f>
        <v>1799</v>
      </c>
      <c r="E17" s="357">
        <f t="shared" ref="E17:E24" si="0">(C17-D17)/D17</f>
        <v>0.10728182323513062</v>
      </c>
      <c r="F17" s="354">
        <f>SUM(F18:F24)</f>
        <v>7468</v>
      </c>
      <c r="G17" s="356">
        <f>SUM(G18:G24)</f>
        <v>6847</v>
      </c>
      <c r="H17" s="355">
        <f t="shared" ref="H17:H24" si="1">(F17-G17)/G17</f>
        <v>9.0696655469548706E-2</v>
      </c>
      <c r="I17" s="357">
        <f t="shared" ref="I17:I24" si="2">F17/$F$66</f>
        <v>6.186779776155879E-2</v>
      </c>
      <c r="J17" s="353" t="s">
        <v>17</v>
      </c>
      <c r="K17" s="361"/>
      <c r="L17" s="354">
        <f>SUM(L18:L24)</f>
        <v>201173</v>
      </c>
      <c r="M17" s="356">
        <f>SUM(M18:M24)</f>
        <v>189201</v>
      </c>
      <c r="N17" s="357">
        <f t="shared" ref="N17:N24" si="3">(L17-M17)/M17</f>
        <v>6.3276621159507607E-2</v>
      </c>
      <c r="O17" s="354">
        <f>SUM(O18:O24)</f>
        <v>765434</v>
      </c>
      <c r="P17" s="356">
        <f>SUM(P18:P24)</f>
        <v>758148</v>
      </c>
      <c r="Q17" s="355">
        <f t="shared" ref="Q17:Q24" si="4">(O17-P17)/P17</f>
        <v>9.6102607934070924E-3</v>
      </c>
      <c r="R17" s="357">
        <f t="shared" ref="R17:R24" si="5">O17/$O$66</f>
        <v>6.6882672783412783E-2</v>
      </c>
      <c r="S17" s="20"/>
    </row>
    <row r="18" spans="1:22" ht="14.1" customHeight="1" x14ac:dyDescent="0.2">
      <c r="A18" s="53"/>
      <c r="B18" s="363" t="s">
        <v>17</v>
      </c>
      <c r="C18" s="358">
        <f>[3]American!$FC$19</f>
        <v>1498</v>
      </c>
      <c r="D18" s="9">
        <f>[3]American!$EO$19</f>
        <v>1355</v>
      </c>
      <c r="E18" s="86">
        <f t="shared" si="0"/>
        <v>0.10553505535055351</v>
      </c>
      <c r="F18" s="9">
        <f>SUM([3]American!$EZ$19:$FC$19)</f>
        <v>5996</v>
      </c>
      <c r="G18" s="9">
        <f>SUM([3]American!$EL$19:$EO$19)</f>
        <v>5585</v>
      </c>
      <c r="H18" s="39">
        <f t="shared" si="1"/>
        <v>7.3589973142345569E-2</v>
      </c>
      <c r="I18" s="86">
        <f t="shared" si="2"/>
        <v>4.9673180955852506E-2</v>
      </c>
      <c r="J18" s="53"/>
      <c r="K18" s="362" t="s">
        <v>17</v>
      </c>
      <c r="L18" s="358">
        <f>[3]American!$FC$41</f>
        <v>175346</v>
      </c>
      <c r="M18" s="9">
        <f>[3]American!$EO$41</f>
        <v>164201</v>
      </c>
      <c r="N18" s="86">
        <f t="shared" si="3"/>
        <v>6.7874129877406347E-2</v>
      </c>
      <c r="O18" s="358">
        <f>SUM([3]American!$EZ$41:$FC$41)</f>
        <v>696999</v>
      </c>
      <c r="P18" s="9">
        <f>SUM([3]American!$EL$41:$EO$41)</f>
        <v>692736</v>
      </c>
      <c r="Q18" s="39">
        <f t="shared" si="4"/>
        <v>6.1538594789356986E-3</v>
      </c>
      <c r="R18" s="86">
        <f t="shared" si="5"/>
        <v>6.0902907432078962E-2</v>
      </c>
      <c r="S18" s="20"/>
    </row>
    <row r="19" spans="1:22" ht="14.1" customHeight="1" x14ac:dyDescent="0.2">
      <c r="A19" s="53"/>
      <c r="B19" s="436" t="s">
        <v>181</v>
      </c>
      <c r="C19" s="358">
        <f>'[3]American Eagle'!$FC$19</f>
        <v>16</v>
      </c>
      <c r="D19" s="9">
        <f>'[3]American Eagle'!$EO$19</f>
        <v>10</v>
      </c>
      <c r="E19" s="86">
        <f t="shared" si="0"/>
        <v>0.6</v>
      </c>
      <c r="F19" s="9">
        <f>SUM('[3]American Eagle'!$EZ$19:$FC$19)</f>
        <v>72</v>
      </c>
      <c r="G19" s="9">
        <f>SUM('[3]American Eagle'!$EL$19:$EO$19)</f>
        <v>72</v>
      </c>
      <c r="H19" s="39">
        <f t="shared" si="1"/>
        <v>0</v>
      </c>
      <c r="I19" s="86">
        <f t="shared" si="2"/>
        <v>5.9647582201824217E-4</v>
      </c>
      <c r="J19" s="53"/>
      <c r="K19" s="434" t="s">
        <v>181</v>
      </c>
      <c r="L19" s="358">
        <f>'[3]American Eagle'!$FC$41</f>
        <v>845</v>
      </c>
      <c r="M19" s="9">
        <f>'[3]American Eagle'!$EO$41</f>
        <v>482</v>
      </c>
      <c r="N19" s="86">
        <f t="shared" si="3"/>
        <v>0.75311203319502074</v>
      </c>
      <c r="O19" s="358">
        <f>SUM('[3]American Eagle'!$EZ$41:$FC$41)</f>
        <v>3503</v>
      </c>
      <c r="P19" s="9">
        <f>SUM('[3]American Eagle'!$EL$41:$EO$41)</f>
        <v>3518</v>
      </c>
      <c r="Q19" s="39">
        <f t="shared" si="4"/>
        <v>-4.2637862421830586E-3</v>
      </c>
      <c r="R19" s="86">
        <f t="shared" si="5"/>
        <v>3.0608779171070922E-4</v>
      </c>
      <c r="S19" s="20"/>
    </row>
    <row r="20" spans="1:22" ht="14.1" customHeight="1" x14ac:dyDescent="0.2">
      <c r="A20" s="53"/>
      <c r="B20" s="436" t="s">
        <v>52</v>
      </c>
      <c r="C20" s="358">
        <f>[3]Republic!$FC$19</f>
        <v>422</v>
      </c>
      <c r="D20" s="9">
        <f>[3]Republic!$EO$19</f>
        <v>430</v>
      </c>
      <c r="E20" s="86">
        <f t="shared" si="0"/>
        <v>-1.8604651162790697E-2</v>
      </c>
      <c r="F20" s="9">
        <f>SUM([3]Republic!$EZ$19:$FC$19)</f>
        <v>1210</v>
      </c>
      <c r="G20" s="9">
        <f>SUM([3]Republic!$EL$19:$EO$19)</f>
        <v>1072</v>
      </c>
      <c r="H20" s="39">
        <f t="shared" si="1"/>
        <v>0.1287313432835821</v>
      </c>
      <c r="I20" s="86">
        <f t="shared" si="2"/>
        <v>1.0024107564473238E-2</v>
      </c>
      <c r="J20" s="369"/>
      <c r="K20" s="364" t="s">
        <v>52</v>
      </c>
      <c r="L20" s="358">
        <f>[3]Republic!$FC$41</f>
        <v>22218</v>
      </c>
      <c r="M20" s="9">
        <f>[3]Republic!$EO$41</f>
        <v>24382</v>
      </c>
      <c r="N20" s="86">
        <f t="shared" si="3"/>
        <v>-8.8753998851611851E-2</v>
      </c>
      <c r="O20" s="358">
        <f>SUM([3]Republic!$EZ$41:$FC$41)</f>
        <v>56444</v>
      </c>
      <c r="P20" s="9">
        <f>SUM([3]Republic!$EL$41:$EO$41)</f>
        <v>57052</v>
      </c>
      <c r="Q20" s="39">
        <f t="shared" si="4"/>
        <v>-1.0656944541821495E-2</v>
      </c>
      <c r="R20" s="86">
        <f t="shared" si="5"/>
        <v>4.932006655814807E-3</v>
      </c>
      <c r="S20" s="20"/>
    </row>
    <row r="21" spans="1:22" ht="14.1" customHeight="1" x14ac:dyDescent="0.2">
      <c r="A21" s="53"/>
      <c r="B21" s="436" t="s">
        <v>210</v>
      </c>
      <c r="C21" s="358">
        <f>[3]PSA!$FC$19</f>
        <v>36</v>
      </c>
      <c r="D21" s="9">
        <f>[3]PSA!$EO$19</f>
        <v>0</v>
      </c>
      <c r="E21" s="86" t="e">
        <f t="shared" si="0"/>
        <v>#DIV/0!</v>
      </c>
      <c r="F21" s="9">
        <f>SUM([3]PSA!$EZ$19:$FC$19)</f>
        <v>154</v>
      </c>
      <c r="G21" s="9">
        <f>SUM([3]PSA!$EL$19:$EO$19)</f>
        <v>0</v>
      </c>
      <c r="H21" s="39" t="e">
        <f t="shared" ref="H21" si="6">(F21-G21)/G21</f>
        <v>#DIV/0!</v>
      </c>
      <c r="I21" s="86">
        <f t="shared" si="2"/>
        <v>1.2757955082056847E-3</v>
      </c>
      <c r="J21" s="369"/>
      <c r="K21" s="436" t="s">
        <v>210</v>
      </c>
      <c r="L21" s="358">
        <f>[3]PSA!$FC$41</f>
        <v>1675</v>
      </c>
      <c r="M21" s="9">
        <f>[3]PSA!$EO$41</f>
        <v>0</v>
      </c>
      <c r="N21" s="86" t="e">
        <f t="shared" si="3"/>
        <v>#DIV/0!</v>
      </c>
      <c r="O21" s="358">
        <f>SUM([3]PSA!$EZ$41:$FC$41)</f>
        <v>6646</v>
      </c>
      <c r="P21" s="9">
        <f>SUM([3]PSA!$EL$41:$EO$41)</f>
        <v>0</v>
      </c>
      <c r="Q21" s="39" t="e">
        <f t="shared" ref="Q21" si="7">(O21-P21)/P21</f>
        <v>#DIV/0!</v>
      </c>
      <c r="R21" s="86">
        <f t="shared" si="5"/>
        <v>5.8071923029100008E-4</v>
      </c>
      <c r="S21" s="20"/>
    </row>
    <row r="22" spans="1:22" ht="14.1" customHeight="1" x14ac:dyDescent="0.2">
      <c r="A22" s="53"/>
      <c r="B22" s="435" t="s">
        <v>100</v>
      </c>
      <c r="C22" s="358">
        <f>'[3]Sky West_AA'!$FC$19</f>
        <v>20</v>
      </c>
      <c r="D22" s="9">
        <f>'[3]Sky West_AA'!$EO$19</f>
        <v>0</v>
      </c>
      <c r="E22" s="86" t="e">
        <f>(C22-D22)/D22</f>
        <v>#DIV/0!</v>
      </c>
      <c r="F22" s="9">
        <f>SUM('[3]Sky West_AA'!$EZ$19:$FC$19)</f>
        <v>34</v>
      </c>
      <c r="G22" s="9">
        <f>SUM('[3]Sky West_AA'!$EL$19:$EO$19)</f>
        <v>0</v>
      </c>
      <c r="H22" s="39" t="e">
        <f>(F22-G22)/G22</f>
        <v>#DIV/0!</v>
      </c>
      <c r="I22" s="86">
        <f t="shared" si="2"/>
        <v>2.8166913817528102E-4</v>
      </c>
      <c r="J22" s="369"/>
      <c r="K22" s="435" t="s">
        <v>100</v>
      </c>
      <c r="L22" s="358">
        <f>'[3]Sky West_AA'!$FC$41</f>
        <v>1089</v>
      </c>
      <c r="M22" s="9">
        <f>'[3]Sky West_AA'!$EO$41</f>
        <v>0</v>
      </c>
      <c r="N22" s="86" t="e">
        <f>(L22-M22)/M22</f>
        <v>#DIV/0!</v>
      </c>
      <c r="O22" s="358">
        <f>SUM('[3]Sky West_AA'!$EZ$41:$FC$41)</f>
        <v>1752</v>
      </c>
      <c r="P22" s="9">
        <f>SUM('[3]Sky West_AA'!$EL$41:$EO$41)</f>
        <v>0</v>
      </c>
      <c r="Q22" s="39" t="e">
        <f>(O22-P22)/P22</f>
        <v>#DIV/0!</v>
      </c>
      <c r="R22" s="443">
        <f t="shared" si="5"/>
        <v>1.5308758523470241E-4</v>
      </c>
      <c r="S22" s="20"/>
    </row>
    <row r="23" spans="1:22" ht="14.1" customHeight="1" x14ac:dyDescent="0.2">
      <c r="A23" s="53"/>
      <c r="B23" s="436" t="s">
        <v>51</v>
      </c>
      <c r="C23" s="358">
        <f>[3]MESA!$FC$19</f>
        <v>0</v>
      </c>
      <c r="D23" s="9">
        <f>[3]MESA!$EO$19</f>
        <v>0</v>
      </c>
      <c r="E23" s="86" t="e">
        <f t="shared" si="0"/>
        <v>#DIV/0!</v>
      </c>
      <c r="F23" s="9">
        <f>SUM([3]MESA!$EZ$19:$FC$19)</f>
        <v>0</v>
      </c>
      <c r="G23" s="9">
        <f>SUM([3]MESA!$EL$19:$EO$19)</f>
        <v>14</v>
      </c>
      <c r="H23" s="39">
        <f t="shared" si="1"/>
        <v>-1</v>
      </c>
      <c r="I23" s="86">
        <f t="shared" si="2"/>
        <v>0</v>
      </c>
      <c r="J23" s="369"/>
      <c r="K23" s="434" t="s">
        <v>51</v>
      </c>
      <c r="L23" s="358">
        <f>[3]MESA!$FC$41</f>
        <v>0</v>
      </c>
      <c r="M23" s="9">
        <f>[3]MESA!$EO$41</f>
        <v>0</v>
      </c>
      <c r="N23" s="86" t="e">
        <f t="shared" si="3"/>
        <v>#DIV/0!</v>
      </c>
      <c r="O23" s="358">
        <f>SUM([3]MESA!$EZ$41:$FC$41)</f>
        <v>0</v>
      </c>
      <c r="P23" s="9">
        <f>SUM([3]MESA!$EL$41:$EO$41)</f>
        <v>1079</v>
      </c>
      <c r="Q23" s="39">
        <f t="shared" si="4"/>
        <v>-1</v>
      </c>
      <c r="R23" s="86">
        <f t="shared" si="5"/>
        <v>0</v>
      </c>
      <c r="S23" s="20"/>
    </row>
    <row r="24" spans="1:22" ht="14.1" customHeight="1" x14ac:dyDescent="0.2">
      <c r="A24" s="53"/>
      <c r="B24" s="436" t="s">
        <v>50</v>
      </c>
      <c r="C24" s="358">
        <f>'[3]Air Wisconsin'!$FC$19</f>
        <v>0</v>
      </c>
      <c r="D24" s="9">
        <f>'[3]Air Wisconsin'!$EO$19</f>
        <v>4</v>
      </c>
      <c r="E24" s="86">
        <f t="shared" si="0"/>
        <v>-1</v>
      </c>
      <c r="F24" s="9">
        <f>SUM('[3]Air Wisconsin'!$EZ$19:$FC$19)</f>
        <v>2</v>
      </c>
      <c r="G24" s="9">
        <f>SUM('[3]Air Wisconsin'!$EL$19:$EO$19)</f>
        <v>104</v>
      </c>
      <c r="H24" s="501">
        <f t="shared" si="1"/>
        <v>-0.98076923076923073</v>
      </c>
      <c r="I24" s="86">
        <f t="shared" si="2"/>
        <v>1.6568772833840063E-5</v>
      </c>
      <c r="J24" s="53"/>
      <c r="K24" s="437" t="s">
        <v>50</v>
      </c>
      <c r="L24" s="358">
        <f>'[3]Air Wisconsin'!$FC$41</f>
        <v>0</v>
      </c>
      <c r="M24" s="9">
        <f>'[3]Air Wisconsin'!$EO$41</f>
        <v>136</v>
      </c>
      <c r="N24" s="86">
        <f t="shared" si="3"/>
        <v>-1</v>
      </c>
      <c r="O24" s="358">
        <f>SUM('[3]Air Wisconsin'!$EZ$41:$FC$41)</f>
        <v>90</v>
      </c>
      <c r="P24" s="9">
        <f>SUM('[3]Air Wisconsin'!$EL$41:$EO$41)</f>
        <v>3763</v>
      </c>
      <c r="Q24" s="39">
        <f t="shared" si="4"/>
        <v>-0.97608291256975821</v>
      </c>
      <c r="R24" s="86">
        <f t="shared" si="5"/>
        <v>7.864088282604576E-6</v>
      </c>
      <c r="S24" s="20"/>
    </row>
    <row r="25" spans="1:22" ht="14.1" customHeight="1" x14ac:dyDescent="0.2">
      <c r="A25" s="53"/>
      <c r="B25" s="363"/>
      <c r="C25" s="358"/>
      <c r="D25" s="9"/>
      <c r="E25" s="86"/>
      <c r="F25" s="9"/>
      <c r="G25" s="9"/>
      <c r="H25" s="39"/>
      <c r="I25" s="86"/>
      <c r="J25" s="53"/>
      <c r="K25" s="363"/>
      <c r="L25" s="358"/>
      <c r="M25" s="9"/>
      <c r="N25" s="86"/>
      <c r="O25" s="358"/>
      <c r="P25" s="9"/>
      <c r="Q25" s="39"/>
      <c r="R25" s="86"/>
      <c r="S25" s="20"/>
      <c r="T25" s="9"/>
      <c r="U25" s="11"/>
      <c r="V25" s="11"/>
    </row>
    <row r="26" spans="1:22" ht="14.1" customHeight="1" x14ac:dyDescent="0.2">
      <c r="A26" s="353" t="s">
        <v>206</v>
      </c>
      <c r="B26" s="363"/>
      <c r="C26" s="354">
        <f>'[3]Boutique Air'!$FC$19</f>
        <v>146</v>
      </c>
      <c r="D26" s="356">
        <f>'[3]Boutique Air'!$EO$19</f>
        <v>0</v>
      </c>
      <c r="E26" s="357" t="e">
        <f>(C26-D26)/D26</f>
        <v>#DIV/0!</v>
      </c>
      <c r="F26" s="356">
        <f>SUM('[3]Boutique Air'!$EZ$19:$FC$19)</f>
        <v>608</v>
      </c>
      <c r="G26" s="356">
        <f>SUM('[3]Boutique Air'!$EL$19:$EO$19)</f>
        <v>0</v>
      </c>
      <c r="H26" s="355" t="e">
        <f>(F26-G26)/G26</f>
        <v>#DIV/0!</v>
      </c>
      <c r="I26" s="357">
        <f>F26/$F$66</f>
        <v>5.0369069414873784E-3</v>
      </c>
      <c r="J26" s="353" t="s">
        <v>206</v>
      </c>
      <c r="K26" s="363"/>
      <c r="L26" s="354">
        <f>'[3]Boutique Air'!$FC$41</f>
        <v>927</v>
      </c>
      <c r="M26" s="356">
        <f>'[3]Boutique Air'!$EO$41</f>
        <v>0</v>
      </c>
      <c r="N26" s="357" t="e">
        <f>(L26-M26)/M26</f>
        <v>#DIV/0!</v>
      </c>
      <c r="O26" s="354">
        <f>SUM('[3]Boutique Air'!$EZ$41:$FC$41)</f>
        <v>4049</v>
      </c>
      <c r="P26" s="356">
        <f>SUM('[3]Boutique Air'!$EL$41:$EO$41)</f>
        <v>0</v>
      </c>
      <c r="Q26" s="355" t="e">
        <f>(O26-P26)/P26</f>
        <v>#DIV/0!</v>
      </c>
      <c r="R26" s="357">
        <f>O26/$O$66</f>
        <v>3.5379659395851028E-4</v>
      </c>
      <c r="S26" s="20"/>
      <c r="T26" s="9"/>
      <c r="U26" s="11"/>
      <c r="V26" s="11"/>
    </row>
    <row r="27" spans="1:22" ht="14.1" customHeight="1" x14ac:dyDescent="0.2">
      <c r="A27" s="53"/>
      <c r="B27" s="363"/>
      <c r="C27" s="358"/>
      <c r="D27" s="9"/>
      <c r="E27" s="86"/>
      <c r="F27" s="9"/>
      <c r="G27" s="9"/>
      <c r="H27" s="39"/>
      <c r="I27" s="86"/>
      <c r="J27" s="53"/>
      <c r="K27" s="363"/>
      <c r="L27" s="358"/>
      <c r="M27" s="9"/>
      <c r="N27" s="86"/>
      <c r="O27" s="358"/>
      <c r="P27" s="9"/>
      <c r="Q27" s="39"/>
      <c r="R27" s="86"/>
      <c r="S27" s="20"/>
      <c r="T27" s="9"/>
      <c r="U27" s="11"/>
      <c r="V27" s="11"/>
    </row>
    <row r="28" spans="1:22" ht="14.1" customHeight="1" x14ac:dyDescent="0.2">
      <c r="A28" s="353" t="s">
        <v>167</v>
      </c>
      <c r="B28" s="363"/>
      <c r="C28" s="354">
        <f>[3]Condor!$FC$19</f>
        <v>0</v>
      </c>
      <c r="D28" s="356">
        <f>[3]Condor!$EO$19</f>
        <v>0</v>
      </c>
      <c r="E28" s="357" t="e">
        <f>(C28-D28)/D28</f>
        <v>#DIV/0!</v>
      </c>
      <c r="F28" s="356">
        <f>SUM([3]Condor!$EZ$19:$FC$19)</f>
        <v>0</v>
      </c>
      <c r="G28" s="356">
        <f>SUM([3]Condor!$EL$19:$EO$19)</f>
        <v>0</v>
      </c>
      <c r="H28" s="355" t="e">
        <f>(F28-G28)/G28</f>
        <v>#DIV/0!</v>
      </c>
      <c r="I28" s="357">
        <f>F28/$F$66</f>
        <v>0</v>
      </c>
      <c r="J28" s="353" t="s">
        <v>167</v>
      </c>
      <c r="K28" s="363"/>
      <c r="L28" s="354">
        <f>[3]Condor!$FC$41</f>
        <v>0</v>
      </c>
      <c r="M28" s="356">
        <f>[3]Condor!$EO$41</f>
        <v>0</v>
      </c>
      <c r="N28" s="357" t="e">
        <f>(L28-M28)/M28</f>
        <v>#DIV/0!</v>
      </c>
      <c r="O28" s="354">
        <f>SUM([3]Condor!$EZ$41:$FC$41)</f>
        <v>0</v>
      </c>
      <c r="P28" s="356">
        <f>SUM([3]Condor!$EL$41:$EO$41)</f>
        <v>0</v>
      </c>
      <c r="Q28" s="355" t="e">
        <f>(O28-P28)/P28</f>
        <v>#DIV/0!</v>
      </c>
      <c r="R28" s="357">
        <f>O28/$O$66</f>
        <v>0</v>
      </c>
      <c r="S28" s="20"/>
      <c r="T28" s="9"/>
      <c r="U28" s="11"/>
      <c r="V28" s="11"/>
    </row>
    <row r="29" spans="1:22" ht="14.1" customHeight="1" x14ac:dyDescent="0.2">
      <c r="A29" s="53"/>
      <c r="B29" s="363"/>
      <c r="C29" s="358"/>
      <c r="D29" s="9"/>
      <c r="E29" s="86"/>
      <c r="F29" s="9"/>
      <c r="G29" s="9"/>
      <c r="H29" s="39"/>
      <c r="I29" s="86"/>
      <c r="J29" s="53"/>
      <c r="K29" s="363"/>
      <c r="L29" s="358"/>
      <c r="M29" s="9"/>
      <c r="N29" s="86"/>
      <c r="O29" s="358"/>
      <c r="P29" s="9"/>
      <c r="Q29" s="39"/>
      <c r="R29" s="86"/>
      <c r="S29" s="20"/>
      <c r="T29" s="9"/>
      <c r="U29" s="11"/>
      <c r="V29" s="11"/>
    </row>
    <row r="30" spans="1:22" ht="14.1" customHeight="1" x14ac:dyDescent="0.2">
      <c r="A30" s="353" t="s">
        <v>18</v>
      </c>
      <c r="B30" s="366"/>
      <c r="C30" s="354">
        <f>SUM(C31:C37)</f>
        <v>22295</v>
      </c>
      <c r="D30" s="356">
        <f>SUM(D31:D37)</f>
        <v>22718</v>
      </c>
      <c r="E30" s="357">
        <f t="shared" ref="E30:E37" si="8">(C30-D30)/D30</f>
        <v>-1.8619596795492559E-2</v>
      </c>
      <c r="F30" s="359">
        <f>SUM(F31:F37)</f>
        <v>86457</v>
      </c>
      <c r="G30" s="359">
        <f>SUM(G31:G37)</f>
        <v>88526</v>
      </c>
      <c r="H30" s="355">
        <f>(F30-G30)/G30</f>
        <v>-2.3371664821634323E-2</v>
      </c>
      <c r="I30" s="357">
        <f t="shared" ref="I30:I37" si="9">F30/$F$66</f>
        <v>0.71624319644765511</v>
      </c>
      <c r="J30" s="353" t="s">
        <v>18</v>
      </c>
      <c r="K30" s="366"/>
      <c r="L30" s="354">
        <f>SUM(L31:L37)</f>
        <v>2093515</v>
      </c>
      <c r="M30" s="356">
        <f>SUM(M31:M37)</f>
        <v>2091175</v>
      </c>
      <c r="N30" s="357">
        <f t="shared" ref="N30:N37" si="10">(L30-M30)/M30</f>
        <v>1.1189881286836347E-3</v>
      </c>
      <c r="O30" s="354">
        <f>SUM(O31:O37)</f>
        <v>7924015</v>
      </c>
      <c r="P30" s="356">
        <f>SUM(P31:P37)</f>
        <v>8033106</v>
      </c>
      <c r="Q30" s="355">
        <f t="shared" ref="Q30:Q37" si="11">(O30-P30)/P30</f>
        <v>-1.3580176833219928E-2</v>
      </c>
      <c r="R30" s="357">
        <f t="shared" ref="R30:R37" si="12">O30/$O$66</f>
        <v>0.69239059458536556</v>
      </c>
      <c r="S30" s="420"/>
      <c r="U30" s="11"/>
      <c r="V30" s="11"/>
    </row>
    <row r="31" spans="1:22" ht="14.1" customHeight="1" x14ac:dyDescent="0.2">
      <c r="A31" s="53"/>
      <c r="B31" s="362" t="s">
        <v>18</v>
      </c>
      <c r="C31" s="358">
        <f>[3]Delta!$FC$19</f>
        <v>11530</v>
      </c>
      <c r="D31" s="9">
        <f>[3]Delta!$EO$19</f>
        <v>11033</v>
      </c>
      <c r="E31" s="86">
        <f t="shared" si="8"/>
        <v>4.5046678147376056E-2</v>
      </c>
      <c r="F31" s="9">
        <f>SUM([3]Delta!$EZ$19:$FC$19)</f>
        <v>42566</v>
      </c>
      <c r="G31" s="9">
        <f>SUM([3]Delta!$EL$19:$EO$19)</f>
        <v>42128</v>
      </c>
      <c r="H31" s="39">
        <f t="shared" ref="H31:H37" si="13">(F31-G31)/G31</f>
        <v>1.0396885681731865E-2</v>
      </c>
      <c r="I31" s="86">
        <f t="shared" si="9"/>
        <v>0.35263319222261802</v>
      </c>
      <c r="J31" s="53"/>
      <c r="K31" s="362" t="s">
        <v>18</v>
      </c>
      <c r="L31" s="358">
        <f>[3]Delta!$FC$41</f>
        <v>1559075</v>
      </c>
      <c r="M31" s="9">
        <f>[3]Delta!$EO$41</f>
        <v>1479591</v>
      </c>
      <c r="N31" s="86">
        <f t="shared" si="10"/>
        <v>5.3720251069383364E-2</v>
      </c>
      <c r="O31" s="358">
        <f>SUM([3]Delta!$EZ$41:$FC$41)</f>
        <v>5772228</v>
      </c>
      <c r="P31" s="9">
        <f>SUM([3]Delta!$EL$41:$EO$41)</f>
        <v>5706086</v>
      </c>
      <c r="Q31" s="39">
        <f t="shared" si="11"/>
        <v>1.1591483198816142E-2</v>
      </c>
      <c r="R31" s="86">
        <f t="shared" si="12"/>
        <v>0.50437011754802274</v>
      </c>
      <c r="S31" s="20"/>
      <c r="T31" s="9"/>
      <c r="U31" s="11"/>
      <c r="V31" s="11"/>
    </row>
    <row r="32" spans="1:22" ht="14.1" customHeight="1" x14ac:dyDescent="0.2">
      <c r="A32" s="53"/>
      <c r="B32" s="364" t="s">
        <v>120</v>
      </c>
      <c r="C32" s="358">
        <f>[3]Compass!$FC$19</f>
        <v>851</v>
      </c>
      <c r="D32" s="9">
        <f>[3]Compass!$EO$19</f>
        <v>1480</v>
      </c>
      <c r="E32" s="86">
        <f t="shared" si="8"/>
        <v>-0.42499999999999999</v>
      </c>
      <c r="F32" s="9">
        <f>SUM([3]Compass!$EZ$19:$FC$19)</f>
        <v>4852</v>
      </c>
      <c r="G32" s="9">
        <f>SUM([3]Compass!$EL$19:$EO$19)</f>
        <v>5433</v>
      </c>
      <c r="H32" s="39">
        <f t="shared" si="13"/>
        <v>-0.10693907601693356</v>
      </c>
      <c r="I32" s="86">
        <f t="shared" si="9"/>
        <v>4.0195842894895986E-2</v>
      </c>
      <c r="J32" s="53"/>
      <c r="K32" s="364" t="s">
        <v>120</v>
      </c>
      <c r="L32" s="358">
        <f>[3]Compass!$FC$41</f>
        <v>52010</v>
      </c>
      <c r="M32" s="9">
        <f>[3]Compass!$EO$41</f>
        <v>89450</v>
      </c>
      <c r="N32" s="86">
        <f t="shared" si="10"/>
        <v>-0.41855785354946895</v>
      </c>
      <c r="O32" s="358">
        <f>SUM([3]Compass!$EZ$41:$FC$41)</f>
        <v>276543</v>
      </c>
      <c r="P32" s="9">
        <f>SUM([3]Compass!$EL$41:$EO$41)</f>
        <v>321059</v>
      </c>
      <c r="Q32" s="39">
        <f t="shared" si="11"/>
        <v>-0.13865364309986639</v>
      </c>
      <c r="R32" s="86">
        <f t="shared" si="12"/>
        <v>2.4163984065959078E-2</v>
      </c>
      <c r="S32" s="9"/>
      <c r="T32" s="9"/>
      <c r="U32" s="11"/>
      <c r="V32" s="11"/>
    </row>
    <row r="33" spans="1:20" ht="14.1" customHeight="1" x14ac:dyDescent="0.2">
      <c r="A33" s="53"/>
      <c r="B33" s="363" t="s">
        <v>163</v>
      </c>
      <c r="C33" s="358">
        <f>[3]Pinnacle!$FC$19</f>
        <v>2461</v>
      </c>
      <c r="D33" s="9">
        <f>[3]Pinnacle!$EO$19</f>
        <v>3566</v>
      </c>
      <c r="E33" s="86">
        <f t="shared" si="8"/>
        <v>-0.30987100392596745</v>
      </c>
      <c r="F33" s="9">
        <f>SUM([3]Pinnacle!$EZ$19:$FC$19)</f>
        <v>12334</v>
      </c>
      <c r="G33" s="9">
        <f>SUM([3]Pinnacle!$EL$19:$EO$19)</f>
        <v>15281</v>
      </c>
      <c r="H33" s="39">
        <f t="shared" si="13"/>
        <v>-0.19285387081997252</v>
      </c>
      <c r="I33" s="86">
        <f t="shared" si="9"/>
        <v>0.10217962206629166</v>
      </c>
      <c r="J33" s="53"/>
      <c r="K33" s="363" t="s">
        <v>163</v>
      </c>
      <c r="L33" s="358">
        <f>[3]Pinnacle!$FC$41</f>
        <v>122227</v>
      </c>
      <c r="M33" s="9">
        <f>[3]Pinnacle!$EO$41</f>
        <v>204267</v>
      </c>
      <c r="N33" s="86">
        <f t="shared" si="10"/>
        <v>-0.40163119838250916</v>
      </c>
      <c r="O33" s="358">
        <f>SUM([3]Pinnacle!$EZ$41:$FC$41)</f>
        <v>607110</v>
      </c>
      <c r="P33" s="9">
        <f>SUM([3]Pinnacle!$EL$41:$EO$41)</f>
        <v>853391</v>
      </c>
      <c r="Q33" s="39">
        <f t="shared" si="11"/>
        <v>-0.28859104443332539</v>
      </c>
      <c r="R33" s="86">
        <f t="shared" si="12"/>
        <v>5.3048518191689598E-2</v>
      </c>
      <c r="S33" s="20"/>
      <c r="T33" s="11"/>
    </row>
    <row r="34" spans="1:20" ht="14.1" customHeight="1" x14ac:dyDescent="0.2">
      <c r="A34" s="53"/>
      <c r="B34" s="363" t="s">
        <v>159</v>
      </c>
      <c r="C34" s="358">
        <f>'[3]Go Jet'!$FC$19</f>
        <v>424</v>
      </c>
      <c r="D34" s="9">
        <f>'[3]Go Jet'!$EO$19</f>
        <v>0</v>
      </c>
      <c r="E34" s="86" t="e">
        <f t="shared" si="8"/>
        <v>#DIV/0!</v>
      </c>
      <c r="F34" s="9">
        <f>SUM('[3]Go Jet'!$EZ$19:$FC$19)</f>
        <v>2271</v>
      </c>
      <c r="G34" s="9">
        <f>SUM('[3]Go Jet'!$EL$19:$EO$19)</f>
        <v>0</v>
      </c>
      <c r="H34" s="39" t="e">
        <f>(F34-G34)/G34</f>
        <v>#DIV/0!</v>
      </c>
      <c r="I34" s="86">
        <f t="shared" si="9"/>
        <v>1.8813841552825391E-2</v>
      </c>
      <c r="J34" s="53"/>
      <c r="K34" s="362" t="s">
        <v>159</v>
      </c>
      <c r="L34" s="358">
        <f>'[3]Go Jet'!$FC$41</f>
        <v>23560</v>
      </c>
      <c r="M34" s="9">
        <f>'[3]Go Jet'!$EO$41</f>
        <v>0</v>
      </c>
      <c r="N34" s="86" t="e">
        <f t="shared" si="10"/>
        <v>#DIV/0!</v>
      </c>
      <c r="O34" s="358">
        <f>SUM('[3]Go Jet'!$EZ$41:$FC$41)</f>
        <v>122700</v>
      </c>
      <c r="P34" s="9">
        <f>SUM('[3]Go Jet'!$EL$41:$EO$41)</f>
        <v>0</v>
      </c>
      <c r="Q34" s="39" t="e">
        <f>(O34-P34)/P34</f>
        <v>#DIV/0!</v>
      </c>
      <c r="R34" s="86">
        <f t="shared" si="12"/>
        <v>1.0721373691950904E-2</v>
      </c>
      <c r="S34" s="331"/>
      <c r="T34" s="329"/>
    </row>
    <row r="35" spans="1:20" ht="14.1" customHeight="1" x14ac:dyDescent="0.2">
      <c r="A35" s="53"/>
      <c r="B35" s="363" t="s">
        <v>100</v>
      </c>
      <c r="C35" s="358">
        <f>'[3]Sky West'!$FC$19</f>
        <v>6054</v>
      </c>
      <c r="D35" s="9">
        <f>'[3]Sky West'!$EO$19</f>
        <v>6009</v>
      </c>
      <c r="E35" s="86">
        <f t="shared" si="8"/>
        <v>7.4887668497254116E-3</v>
      </c>
      <c r="F35" s="9">
        <f>SUM('[3]Sky West'!$EZ$19:$FC$19)</f>
        <v>21255</v>
      </c>
      <c r="G35" s="9">
        <f>SUM('[3]Sky West'!$EL$19:$EO$19)</f>
        <v>22422</v>
      </c>
      <c r="H35" s="39">
        <f t="shared" si="13"/>
        <v>-5.2047096601552045E-2</v>
      </c>
      <c r="I35" s="86">
        <f t="shared" si="9"/>
        <v>0.17608463329163526</v>
      </c>
      <c r="J35" s="53"/>
      <c r="K35" s="363" t="s">
        <v>100</v>
      </c>
      <c r="L35" s="358">
        <f>'[3]Sky West'!$FC$41</f>
        <v>280105</v>
      </c>
      <c r="M35" s="9">
        <f>'[3]Sky West'!$EO$41</f>
        <v>283352</v>
      </c>
      <c r="N35" s="86">
        <f t="shared" si="10"/>
        <v>-1.1459245037973969E-2</v>
      </c>
      <c r="O35" s="358">
        <f>SUM('[3]Sky West'!$EZ$41:$FC$41)</f>
        <v>966923</v>
      </c>
      <c r="P35" s="9">
        <f>SUM('[3]Sky West'!$EL$41:$EO$41)</f>
        <v>987728</v>
      </c>
      <c r="Q35" s="39">
        <f t="shared" si="11"/>
        <v>-2.1063491163559198E-2</v>
      </c>
      <c r="R35" s="86">
        <f t="shared" si="12"/>
        <v>8.4488531494231828E-2</v>
      </c>
      <c r="S35" s="20"/>
    </row>
    <row r="36" spans="1:20" ht="14.1" customHeight="1" x14ac:dyDescent="0.2">
      <c r="A36" s="53"/>
      <c r="B36" s="363" t="s">
        <v>134</v>
      </c>
      <c r="C36" s="358">
        <f>'[3]Shuttle America_Delta'!$FC$19</f>
        <v>4</v>
      </c>
      <c r="D36" s="9">
        <f>'[3]Shuttle America_Delta'!$EO$19</f>
        <v>18</v>
      </c>
      <c r="E36" s="86">
        <f t="shared" si="8"/>
        <v>-0.77777777777777779</v>
      </c>
      <c r="F36" s="9">
        <f>SUM('[3]Shuttle America_Delta'!$EZ$19:$FC$19)</f>
        <v>158</v>
      </c>
      <c r="G36" s="9">
        <f>SUM('[3]Shuttle America_Delta'!$EL$19:$EO$19)</f>
        <v>432</v>
      </c>
      <c r="H36" s="39">
        <f t="shared" si="13"/>
        <v>-0.6342592592592593</v>
      </c>
      <c r="I36" s="86">
        <f t="shared" si="9"/>
        <v>1.3089330538733649E-3</v>
      </c>
      <c r="J36" s="53"/>
      <c r="K36" s="363" t="s">
        <v>134</v>
      </c>
      <c r="L36" s="358">
        <f>'[3]Shuttle America_Delta'!$FC$41</f>
        <v>253</v>
      </c>
      <c r="M36" s="9">
        <f>'[3]Shuttle America_Delta'!$EO$41</f>
        <v>687</v>
      </c>
      <c r="N36" s="86">
        <f t="shared" si="10"/>
        <v>-0.63173216885007277</v>
      </c>
      <c r="O36" s="358">
        <f>SUM('[3]Shuttle America_Delta'!$EZ$41:$FC$41)</f>
        <v>8496</v>
      </c>
      <c r="P36" s="9">
        <f>SUM('[3]Shuttle America_Delta'!$EL$41:$EO$41)</f>
        <v>18897</v>
      </c>
      <c r="Q36" s="39">
        <f t="shared" si="11"/>
        <v>-0.550404826162883</v>
      </c>
      <c r="R36" s="86">
        <f t="shared" si="12"/>
        <v>7.4236993387787195E-4</v>
      </c>
      <c r="S36" s="20"/>
    </row>
    <row r="37" spans="1:20" ht="14.1" customHeight="1" x14ac:dyDescent="0.2">
      <c r="A37" s="53"/>
      <c r="B37" s="436" t="s">
        <v>182</v>
      </c>
      <c r="C37" s="358">
        <f>'[3]Atlantic Southeast'!$FC$19</f>
        <v>971</v>
      </c>
      <c r="D37" s="9">
        <f>'[3]Atlantic Southeast'!$EO$19</f>
        <v>612</v>
      </c>
      <c r="E37" s="86">
        <f t="shared" si="8"/>
        <v>0.58660130718954251</v>
      </c>
      <c r="F37" s="9">
        <f>SUM('[3]Atlantic Southeast'!$EZ$19:$FC$19)</f>
        <v>3021</v>
      </c>
      <c r="G37" s="9">
        <f>SUM('[3]Atlantic Southeast'!$EL$19:$EO$19)</f>
        <v>2830</v>
      </c>
      <c r="H37" s="39">
        <f t="shared" si="13"/>
        <v>6.7491166077738515E-2</v>
      </c>
      <c r="I37" s="86">
        <f t="shared" si="9"/>
        <v>2.5027131365515414E-2</v>
      </c>
      <c r="J37" s="53"/>
      <c r="K37" s="436" t="s">
        <v>182</v>
      </c>
      <c r="L37" s="358">
        <f>'[3]Atlantic Southeast'!$FC$41</f>
        <v>56285</v>
      </c>
      <c r="M37" s="9">
        <f>'[3]Atlantic Southeast'!$EO$41</f>
        <v>33828</v>
      </c>
      <c r="N37" s="86">
        <f t="shared" si="10"/>
        <v>0.66385834220172635</v>
      </c>
      <c r="O37" s="358">
        <f>SUM('[3]Atlantic Southeast'!$EZ$41:$FC$41)</f>
        <v>170015</v>
      </c>
      <c r="P37" s="9">
        <f>SUM('[3]Atlantic Southeast'!$EL$41:$EO$41)</f>
        <v>145945</v>
      </c>
      <c r="Q37" s="39">
        <f t="shared" si="11"/>
        <v>0.16492514303333447</v>
      </c>
      <c r="R37" s="86">
        <f t="shared" si="12"/>
        <v>1.4855699659633521E-2</v>
      </c>
      <c r="S37" s="328"/>
    </row>
    <row r="38" spans="1:20" ht="14.1" customHeight="1" x14ac:dyDescent="0.2">
      <c r="A38" s="53"/>
      <c r="B38" s="367"/>
      <c r="C38" s="358"/>
      <c r="D38" s="9"/>
      <c r="E38" s="86"/>
      <c r="F38" s="9"/>
      <c r="G38" s="9"/>
      <c r="H38" s="39"/>
      <c r="I38" s="86"/>
      <c r="J38" s="53"/>
      <c r="K38" s="367"/>
      <c r="L38" s="358"/>
      <c r="M38" s="9"/>
      <c r="N38" s="86"/>
      <c r="O38" s="358"/>
      <c r="P38" s="9"/>
      <c r="Q38" s="39"/>
      <c r="R38" s="86"/>
      <c r="S38" s="328"/>
    </row>
    <row r="39" spans="1:20" s="7" customFormat="1" ht="14.1" customHeight="1" x14ac:dyDescent="0.2">
      <c r="A39" s="353" t="s">
        <v>47</v>
      </c>
      <c r="B39" s="368"/>
      <c r="C39" s="354">
        <f>[3]Frontier!$FC$19</f>
        <v>175</v>
      </c>
      <c r="D39" s="356">
        <f>[3]Frontier!$EO$19</f>
        <v>190</v>
      </c>
      <c r="E39" s="357">
        <f>(C39-D39)/D39</f>
        <v>-7.8947368421052627E-2</v>
      </c>
      <c r="F39" s="356">
        <f>SUM([3]Frontier!$EZ$19:$FC$19)</f>
        <v>685</v>
      </c>
      <c r="G39" s="356">
        <f>SUM([3]Frontier!$EL$19:$EO$19)</f>
        <v>682</v>
      </c>
      <c r="H39" s="355">
        <f>(F39-G39)/G39</f>
        <v>4.3988269794721412E-3</v>
      </c>
      <c r="I39" s="357">
        <f>F39/$F$66</f>
        <v>5.6748046955902211E-3</v>
      </c>
      <c r="J39" s="353" t="s">
        <v>47</v>
      </c>
      <c r="K39" s="368"/>
      <c r="L39" s="354">
        <f>[3]Frontier!$FC$41</f>
        <v>27963</v>
      </c>
      <c r="M39" s="356">
        <f>[3]Frontier!$EO$41</f>
        <v>26953</v>
      </c>
      <c r="N39" s="357">
        <f>(L39-M39)/M39</f>
        <v>3.7472637554261119E-2</v>
      </c>
      <c r="O39" s="354">
        <f>SUM([3]Frontier!$EZ$41:$FC$41)</f>
        <v>115873</v>
      </c>
      <c r="P39" s="356">
        <f>SUM([3]Frontier!$EL$41:$EO$41)</f>
        <v>98793</v>
      </c>
      <c r="Q39" s="355">
        <f>(O39-P39)/P39</f>
        <v>0.17288674298786352</v>
      </c>
      <c r="R39" s="357">
        <f>O39/$O$66</f>
        <v>1.0124838906336E-2</v>
      </c>
      <c r="S39" s="330"/>
      <c r="T39"/>
    </row>
    <row r="40" spans="1:20" s="7" customFormat="1" ht="14.1" customHeight="1" x14ac:dyDescent="0.2">
      <c r="A40" s="353"/>
      <c r="B40" s="368"/>
      <c r="C40" s="354"/>
      <c r="D40" s="356"/>
      <c r="E40" s="357"/>
      <c r="F40" s="356"/>
      <c r="G40" s="356"/>
      <c r="H40" s="355"/>
      <c r="I40" s="357"/>
      <c r="J40" s="353"/>
      <c r="K40" s="368"/>
      <c r="L40" s="358"/>
      <c r="M40" s="9"/>
      <c r="N40" s="86"/>
      <c r="O40" s="358"/>
      <c r="P40" s="9"/>
      <c r="Q40" s="39"/>
      <c r="R40" s="86"/>
      <c r="S40" s="330"/>
    </row>
    <row r="41" spans="1:20" s="7" customFormat="1" ht="14.1" customHeight="1" x14ac:dyDescent="0.2">
      <c r="A41" s="353" t="s">
        <v>158</v>
      </c>
      <c r="B41" s="368"/>
      <c r="C41" s="354">
        <f>'[3]Great Lakes'!$FC$19</f>
        <v>0</v>
      </c>
      <c r="D41" s="356">
        <f>'[3]Great Lakes'!$EO$19</f>
        <v>118</v>
      </c>
      <c r="E41" s="357">
        <f>(C41-D41)/D41</f>
        <v>-1</v>
      </c>
      <c r="F41" s="356">
        <f>SUM('[3]Great Lakes'!$EZ$19:$FC$19)</f>
        <v>0</v>
      </c>
      <c r="G41" s="356">
        <f>SUM('[3]Great Lakes'!$EL$19:$EO$19)</f>
        <v>503</v>
      </c>
      <c r="H41" s="355">
        <f>(F41-G41)/G41</f>
        <v>-1</v>
      </c>
      <c r="I41" s="357">
        <f>F41/$F$66</f>
        <v>0</v>
      </c>
      <c r="J41" s="353" t="s">
        <v>158</v>
      </c>
      <c r="K41" s="368"/>
      <c r="L41" s="354">
        <f>'[3]Great Lakes'!$FC$41</f>
        <v>0</v>
      </c>
      <c r="M41" s="356">
        <f>'[3]Great Lakes'!$EO$41</f>
        <v>322</v>
      </c>
      <c r="N41" s="357">
        <f>(L41-M41)/M41</f>
        <v>-1</v>
      </c>
      <c r="O41" s="354">
        <f>SUM('[3]Great Lakes'!$EZ$41:$FC$41)</f>
        <v>0</v>
      </c>
      <c r="P41" s="356">
        <f>SUM('[3]Great Lakes'!$EL$41:$EO$41)</f>
        <v>1404</v>
      </c>
      <c r="Q41" s="355">
        <f>(O41-P41)/P41</f>
        <v>-1</v>
      </c>
      <c r="R41" s="357">
        <f>O41/$O$66</f>
        <v>0</v>
      </c>
      <c r="S41" s="330"/>
    </row>
    <row r="42" spans="1:20" s="7" customFormat="1" ht="14.1" customHeight="1" x14ac:dyDescent="0.2">
      <c r="A42" s="353"/>
      <c r="B42" s="368"/>
      <c r="C42" s="354"/>
      <c r="D42" s="356"/>
      <c r="E42" s="357"/>
      <c r="F42" s="356"/>
      <c r="G42" s="356"/>
      <c r="H42" s="355"/>
      <c r="I42" s="357"/>
      <c r="J42" s="353"/>
      <c r="K42" s="368"/>
      <c r="L42" s="358"/>
      <c r="M42" s="9"/>
      <c r="N42" s="86"/>
      <c r="O42" s="358"/>
      <c r="P42" s="9"/>
      <c r="Q42" s="39"/>
      <c r="R42" s="86"/>
      <c r="S42" s="330"/>
    </row>
    <row r="43" spans="1:20" s="7" customFormat="1" ht="14.1" customHeight="1" x14ac:dyDescent="0.2">
      <c r="A43" s="353" t="s">
        <v>48</v>
      </c>
      <c r="B43" s="368"/>
      <c r="C43" s="354">
        <f>[3]Icelandair!$FC$19</f>
        <v>44</v>
      </c>
      <c r="D43" s="356">
        <f>[3]Icelandair!$EO$19</f>
        <v>6</v>
      </c>
      <c r="E43" s="357">
        <f>(C43-D43)/D43</f>
        <v>6.333333333333333</v>
      </c>
      <c r="F43" s="356">
        <f>SUM([3]Icelandair!$EZ$19:$FC$19)</f>
        <v>142</v>
      </c>
      <c r="G43" s="356">
        <f>SUM([3]Icelandair!$EL$19:$EO$19)</f>
        <v>18</v>
      </c>
      <c r="H43" s="355">
        <f>(F43-G43)/G43</f>
        <v>6.8888888888888893</v>
      </c>
      <c r="I43" s="357">
        <f>F43/$F$66</f>
        <v>1.1763828712026444E-3</v>
      </c>
      <c r="J43" s="353" t="s">
        <v>48</v>
      </c>
      <c r="K43" s="368"/>
      <c r="L43" s="354">
        <f>[3]Icelandair!$FC$41</f>
        <v>5997</v>
      </c>
      <c r="M43" s="356">
        <f>[3]Icelandair!$EO$41</f>
        <v>729</v>
      </c>
      <c r="N43" s="357">
        <f>(L43-M43)/M43</f>
        <v>7.2263374485596712</v>
      </c>
      <c r="O43" s="354">
        <f>SUM([3]Icelandair!$EZ$41:$FC$41)</f>
        <v>19756</v>
      </c>
      <c r="P43" s="356">
        <f>SUM([3]Icelandair!$EL$41:$EO$41)</f>
        <v>2202</v>
      </c>
      <c r="Q43" s="355">
        <f>(O43-P43)/P43</f>
        <v>7.9718437783832883</v>
      </c>
      <c r="R43" s="357">
        <f>O43/$O$66</f>
        <v>1.7262547567903999E-3</v>
      </c>
      <c r="S43" s="20"/>
    </row>
    <row r="44" spans="1:20" s="7" customFormat="1" ht="14.1" customHeight="1" x14ac:dyDescent="0.2">
      <c r="A44" s="353"/>
      <c r="B44" s="368"/>
      <c r="C44" s="354"/>
      <c r="D44" s="356"/>
      <c r="E44" s="357"/>
      <c r="F44" s="356"/>
      <c r="G44" s="356"/>
      <c r="H44" s="355"/>
      <c r="I44" s="357"/>
      <c r="J44" s="353"/>
      <c r="K44" s="368"/>
      <c r="L44" s="358"/>
      <c r="M44" s="9"/>
      <c r="N44" s="86"/>
      <c r="O44" s="358"/>
      <c r="P44" s="9"/>
      <c r="Q44" s="39"/>
      <c r="R44" s="86"/>
      <c r="S44" s="20"/>
    </row>
    <row r="45" spans="1:20" s="7" customFormat="1" ht="14.1" customHeight="1" x14ac:dyDescent="0.2">
      <c r="A45" s="353" t="s">
        <v>222</v>
      </c>
      <c r="B45" s="368"/>
      <c r="C45" s="354">
        <f>[3]KLM!$FC$19</f>
        <v>26</v>
      </c>
      <c r="D45" s="356">
        <f>[3]KLM!$EO$19</f>
        <v>0</v>
      </c>
      <c r="E45" s="357" t="e">
        <f>(C45-D45)/D45</f>
        <v>#DIV/0!</v>
      </c>
      <c r="F45" s="356">
        <f>SUM([3]KLM!$EZ$19:$FC$19)</f>
        <v>30</v>
      </c>
      <c r="G45" s="356">
        <f>SUM([3]KLM!$EL$19:$EO$19)</f>
        <v>0</v>
      </c>
      <c r="H45" s="355" t="e">
        <f>(F45-G45)/G45</f>
        <v>#DIV/0!</v>
      </c>
      <c r="I45" s="357">
        <f>F45/$F$66</f>
        <v>2.4853159250760095E-4</v>
      </c>
      <c r="J45" s="353" t="s">
        <v>222</v>
      </c>
      <c r="K45" s="368"/>
      <c r="L45" s="354">
        <f>[3]KLM!$FC$41</f>
        <v>6040</v>
      </c>
      <c r="M45" s="356">
        <f>[3]KLM!$EO$41</f>
        <v>0</v>
      </c>
      <c r="N45" s="357" t="e">
        <f>(L45-M45)/M45</f>
        <v>#DIV/0!</v>
      </c>
      <c r="O45" s="354">
        <f>SUM([3]KLM!$EZ$41:$FC$41)</f>
        <v>6800</v>
      </c>
      <c r="P45" s="356">
        <f>SUM([3]KLM!$EL$41:$EO$41)</f>
        <v>0</v>
      </c>
      <c r="Q45" s="355" t="e">
        <f>(O45-P45)/P45</f>
        <v>#DIV/0!</v>
      </c>
      <c r="R45" s="357">
        <f>O45/$O$66</f>
        <v>5.9417555913012345E-4</v>
      </c>
      <c r="S45" s="20"/>
    </row>
    <row r="46" spans="1:20" s="7" customFormat="1" ht="14.1" customHeight="1" x14ac:dyDescent="0.2">
      <c r="A46" s="353"/>
      <c r="B46" s="368"/>
      <c r="C46" s="354"/>
      <c r="D46" s="356"/>
      <c r="E46" s="357"/>
      <c r="F46" s="356"/>
      <c r="G46" s="356"/>
      <c r="H46" s="355"/>
      <c r="I46" s="357"/>
      <c r="J46" s="353"/>
      <c r="K46" s="368"/>
      <c r="L46" s="358"/>
      <c r="M46" s="9"/>
      <c r="N46" s="86"/>
      <c r="O46" s="358"/>
      <c r="P46" s="9"/>
      <c r="Q46" s="39"/>
      <c r="R46" s="86"/>
      <c r="S46" s="20"/>
    </row>
    <row r="47" spans="1:20" ht="14.1" customHeight="1" x14ac:dyDescent="0.2">
      <c r="A47" s="365" t="s">
        <v>132</v>
      </c>
      <c r="B47" s="55"/>
      <c r="C47" s="354">
        <f>SUM(C48:C48)</f>
        <v>1595</v>
      </c>
      <c r="D47" s="356">
        <f>SUM(D48:D48)</f>
        <v>1391</v>
      </c>
      <c r="E47" s="357">
        <f>(C47-D47)/D47</f>
        <v>0.14665708123652049</v>
      </c>
      <c r="F47" s="354">
        <f>SUM(F48:F48)</f>
        <v>5989</v>
      </c>
      <c r="G47" s="356">
        <f>SUM(G48:G48)</f>
        <v>5301</v>
      </c>
      <c r="H47" s="355">
        <f>(F47-G47)/G47</f>
        <v>0.12978683267308055</v>
      </c>
      <c r="I47" s="357">
        <f>F47/$F$66</f>
        <v>4.9615190250934062E-2</v>
      </c>
      <c r="J47" s="353" t="s">
        <v>132</v>
      </c>
      <c r="K47" s="55"/>
      <c r="L47" s="354">
        <f>SUM(L48:L48)</f>
        <v>183819</v>
      </c>
      <c r="M47" s="356">
        <f>SUM(M48:M48)</f>
        <v>171693</v>
      </c>
      <c r="N47" s="357">
        <f>(L47-M47)/M47</f>
        <v>7.0626059303524308E-2</v>
      </c>
      <c r="O47" s="354">
        <f>SUM(O48:O48)</f>
        <v>675000</v>
      </c>
      <c r="P47" s="356">
        <f>SUM(P48:P48)</f>
        <v>628220</v>
      </c>
      <c r="Q47" s="355">
        <f>(O47-P47)/P47</f>
        <v>7.4464359619241666E-2</v>
      </c>
      <c r="R47" s="357">
        <f>O47/$O$66</f>
        <v>5.8980662119534316E-2</v>
      </c>
      <c r="S47" s="20"/>
    </row>
    <row r="48" spans="1:20" ht="14.1" customHeight="1" x14ac:dyDescent="0.2">
      <c r="A48" s="365"/>
      <c r="B48" s="55" t="s">
        <v>132</v>
      </c>
      <c r="C48" s="430">
        <f>[3]Southwest!$FC$19</f>
        <v>1595</v>
      </c>
      <c r="D48" s="296">
        <f>[3]Southwest!$EO$19</f>
        <v>1391</v>
      </c>
      <c r="E48" s="432">
        <f>(C48-D48)/D48</f>
        <v>0.14665708123652049</v>
      </c>
      <c r="F48" s="296">
        <f>SUM([3]Southwest!$EZ$19:$FC$19)</f>
        <v>5989</v>
      </c>
      <c r="G48" s="296">
        <f>SUM([3]Southwest!$EL$19:$EO$19)</f>
        <v>5301</v>
      </c>
      <c r="H48" s="431">
        <f>(F48-G48)/G48</f>
        <v>0.12978683267308055</v>
      </c>
      <c r="I48" s="432">
        <f>F48/$F$66</f>
        <v>4.9615190250934062E-2</v>
      </c>
      <c r="J48" s="353"/>
      <c r="K48" s="55" t="s">
        <v>132</v>
      </c>
      <c r="L48" s="430">
        <f>[3]Southwest!$FC$41</f>
        <v>183819</v>
      </c>
      <c r="M48" s="296">
        <f>[3]Southwest!$EO$41</f>
        <v>171693</v>
      </c>
      <c r="N48" s="432">
        <f>(L48-M48)/M48</f>
        <v>7.0626059303524308E-2</v>
      </c>
      <c r="O48" s="430">
        <f>SUM([3]Southwest!$EZ$41:$FC$41)</f>
        <v>675000</v>
      </c>
      <c r="P48" s="296">
        <f>SUM([3]Southwest!$EL$41:$EO$41)</f>
        <v>628220</v>
      </c>
      <c r="Q48" s="431">
        <f>(O48-P48)/P48</f>
        <v>7.4464359619241666E-2</v>
      </c>
      <c r="R48" s="432">
        <f>O48/$O$66</f>
        <v>5.8980662119534316E-2</v>
      </c>
      <c r="S48" s="20"/>
    </row>
    <row r="49" spans="1:20" ht="14.1" customHeight="1" x14ac:dyDescent="0.2">
      <c r="A49" s="353"/>
      <c r="B49" s="55"/>
      <c r="C49" s="354"/>
      <c r="D49" s="356"/>
      <c r="E49" s="357"/>
      <c r="F49" s="356"/>
      <c r="G49" s="356"/>
      <c r="H49" s="355"/>
      <c r="I49" s="357"/>
      <c r="J49" s="353"/>
      <c r="K49" s="55"/>
      <c r="L49" s="358"/>
      <c r="M49" s="9"/>
      <c r="N49" s="86"/>
      <c r="O49" s="358"/>
      <c r="P49" s="9"/>
      <c r="Q49" s="39"/>
      <c r="R49" s="86"/>
      <c r="S49" s="20"/>
      <c r="T49" s="7"/>
    </row>
    <row r="50" spans="1:20" ht="14.1" customHeight="1" x14ac:dyDescent="0.2">
      <c r="A50" s="353" t="s">
        <v>160</v>
      </c>
      <c r="B50" s="55"/>
      <c r="C50" s="354">
        <f>[3]Spirit!$FC$19</f>
        <v>820</v>
      </c>
      <c r="D50" s="356">
        <f>[3]Spirit!$EO$19</f>
        <v>692</v>
      </c>
      <c r="E50" s="357">
        <f>(C50-D50)/D50</f>
        <v>0.18497109826589594</v>
      </c>
      <c r="F50" s="356">
        <f>SUM([3]Spirit!$EZ$19:$FC$19)</f>
        <v>3171</v>
      </c>
      <c r="G50" s="356">
        <f>SUM([3]Spirit!$EL$19:$EO$19)</f>
        <v>2664</v>
      </c>
      <c r="H50" s="355">
        <f>(F50-G50)/G50</f>
        <v>0.19031531531531531</v>
      </c>
      <c r="I50" s="357">
        <f>F50/$F$66</f>
        <v>2.6269789328053416E-2</v>
      </c>
      <c r="J50" s="353" t="s">
        <v>160</v>
      </c>
      <c r="K50" s="55"/>
      <c r="L50" s="354">
        <f>[3]Spirit!$FC$41</f>
        <v>104626</v>
      </c>
      <c r="M50" s="356">
        <f>[3]Spirit!$EO$41</f>
        <v>88050</v>
      </c>
      <c r="N50" s="357">
        <f>(L50-M50)/M50</f>
        <v>0.18825667234525836</v>
      </c>
      <c r="O50" s="354">
        <f>SUM([3]Spirit!$EZ$41:$FC$41)</f>
        <v>428348</v>
      </c>
      <c r="P50" s="356">
        <f>SUM([3]Spirit!$EL$41:$EO$41)</f>
        <v>387238</v>
      </c>
      <c r="Q50" s="355">
        <f>(O50-P50)/P50</f>
        <v>0.10616210185983814</v>
      </c>
      <c r="R50" s="357">
        <f>O50/$O$66</f>
        <v>3.742851652974561E-2</v>
      </c>
      <c r="S50" s="20"/>
      <c r="T50" s="7"/>
    </row>
    <row r="51" spans="1:20" ht="14.1" customHeight="1" x14ac:dyDescent="0.2">
      <c r="A51" s="353"/>
      <c r="B51" s="55"/>
      <c r="C51" s="354"/>
      <c r="D51" s="356"/>
      <c r="E51" s="357"/>
      <c r="F51" s="356"/>
      <c r="G51" s="356"/>
      <c r="H51" s="355"/>
      <c r="I51" s="357"/>
      <c r="J51" s="353"/>
      <c r="K51" s="55"/>
      <c r="L51" s="358"/>
      <c r="M51" s="9"/>
      <c r="N51" s="86"/>
      <c r="O51" s="358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53" t="s">
        <v>49</v>
      </c>
      <c r="B52" s="368"/>
      <c r="C52" s="354">
        <f>'[3]Sun Country'!$FC$19</f>
        <v>1894</v>
      </c>
      <c r="D52" s="356">
        <f>'[3]Sun Country'!$EO$19</f>
        <v>1657</v>
      </c>
      <c r="E52" s="357">
        <f>(C52-D52)/D52</f>
        <v>0.14302957151478576</v>
      </c>
      <c r="F52" s="356">
        <f>SUM('[3]Sun Country'!$EZ$19:$FC$19)</f>
        <v>7903</v>
      </c>
      <c r="G52" s="356">
        <f>SUM('[3]Sun Country'!$EL$19:$EO$19)</f>
        <v>6976</v>
      </c>
      <c r="H52" s="355">
        <f>(F52-G52)/G52</f>
        <v>0.13288417431192662</v>
      </c>
      <c r="I52" s="357">
        <f>F52/$F$66</f>
        <v>6.5471505852918999E-2</v>
      </c>
      <c r="J52" s="353" t="s">
        <v>49</v>
      </c>
      <c r="K52" s="368"/>
      <c r="L52" s="354">
        <f>'[3]Sun Country'!$FC$41</f>
        <v>212576</v>
      </c>
      <c r="M52" s="356">
        <f>'[3]Sun Country'!$EO$41</f>
        <v>186445</v>
      </c>
      <c r="N52" s="357">
        <f>(L52-M52)/M52</f>
        <v>0.14015393279519428</v>
      </c>
      <c r="O52" s="354">
        <f>SUM('[3]Sun Country'!$EZ$41:$FC$41)</f>
        <v>898800</v>
      </c>
      <c r="P52" s="356">
        <f>SUM('[3]Sun Country'!$EL$41:$EO$41)</f>
        <v>790386</v>
      </c>
      <c r="Q52" s="355">
        <f>(O52-P52)/P52</f>
        <v>0.13716589109624919</v>
      </c>
      <c r="R52" s="357">
        <f>O52/$O$66</f>
        <v>7.8536028315611031E-2</v>
      </c>
      <c r="S52" s="20"/>
    </row>
    <row r="53" spans="1:20" s="7" customFormat="1" ht="14.1" customHeight="1" x14ac:dyDescent="0.2">
      <c r="A53" s="353"/>
      <c r="B53" s="368"/>
      <c r="C53" s="354"/>
      <c r="D53" s="356"/>
      <c r="E53" s="357"/>
      <c r="F53" s="356"/>
      <c r="G53" s="356"/>
      <c r="H53" s="355"/>
      <c r="I53" s="357"/>
      <c r="J53" s="353"/>
      <c r="K53" s="368"/>
      <c r="L53" s="358"/>
      <c r="M53" s="9"/>
      <c r="N53" s="86"/>
      <c r="O53" s="358"/>
      <c r="P53" s="9"/>
      <c r="Q53" s="39"/>
      <c r="R53" s="86"/>
      <c r="S53" s="20"/>
    </row>
    <row r="54" spans="1:20" s="7" customFormat="1" ht="14.1" customHeight="1" x14ac:dyDescent="0.2">
      <c r="A54" s="353" t="s">
        <v>19</v>
      </c>
      <c r="B54" s="361"/>
      <c r="C54" s="354">
        <f>SUM(C55:C61)</f>
        <v>1546</v>
      </c>
      <c r="D54" s="356">
        <f>SUM(D55:D61)</f>
        <v>1598</v>
      </c>
      <c r="E54" s="357">
        <f t="shared" ref="E54:E61" si="14">(C54-D54)/D54</f>
        <v>-3.2540675844806008E-2</v>
      </c>
      <c r="F54" s="356">
        <f>SUM(F55:F61)</f>
        <v>5990</v>
      </c>
      <c r="G54" s="356">
        <f>SUM(G55:G61)</f>
        <v>6140</v>
      </c>
      <c r="H54" s="355">
        <f t="shared" ref="H54:H61" si="15">(F54-G54)/G54</f>
        <v>-2.4429967426710098E-2</v>
      </c>
      <c r="I54" s="357">
        <f t="shared" ref="I54:I61" si="16">F54/$F$66</f>
        <v>4.9623474637350985E-2</v>
      </c>
      <c r="J54" s="353" t="s">
        <v>19</v>
      </c>
      <c r="K54" s="361"/>
      <c r="L54" s="354">
        <f>SUM(L55:L61)</f>
        <v>128497</v>
      </c>
      <c r="M54" s="356">
        <f>SUM(M55:M61)</f>
        <v>128091</v>
      </c>
      <c r="N54" s="357">
        <f t="shared" ref="N54:N61" si="17">(L54-M54)/M54</f>
        <v>3.1696215971457791E-3</v>
      </c>
      <c r="O54" s="354">
        <f>SUM(O55:O61)</f>
        <v>504953</v>
      </c>
      <c r="P54" s="356">
        <f>SUM(P55:P61)</f>
        <v>484897</v>
      </c>
      <c r="Q54" s="355">
        <f t="shared" ref="Q54:Q61" si="18">(O54-P54)/P54</f>
        <v>4.1361361278787041E-2</v>
      </c>
      <c r="R54" s="357">
        <f t="shared" ref="R54:R61" si="19">O54/$O$66</f>
        <v>4.4122166339622536E-2</v>
      </c>
      <c r="S54" s="20"/>
      <c r="T54"/>
    </row>
    <row r="55" spans="1:20" s="7" customFormat="1" ht="14.1" customHeight="1" x14ac:dyDescent="0.2">
      <c r="A55" s="369"/>
      <c r="B55" s="434" t="s">
        <v>19</v>
      </c>
      <c r="C55" s="358">
        <f>[3]United!$FC$19</f>
        <v>624</v>
      </c>
      <c r="D55" s="9">
        <f>[3]United!$EO$19+[3]Continental!$EO$19</f>
        <v>632</v>
      </c>
      <c r="E55" s="86">
        <f t="shared" si="14"/>
        <v>-1.2658227848101266E-2</v>
      </c>
      <c r="F55" s="9">
        <f>SUM([3]United!$EZ$19:$FC$19)</f>
        <v>2446</v>
      </c>
      <c r="G55" s="9">
        <f>SUM([3]United!$EL$19:$EO$19)+SUM([3]Continental!$EL$19:$EO$19)</f>
        <v>2014</v>
      </c>
      <c r="H55" s="39">
        <f t="shared" si="15"/>
        <v>0.21449851042701093</v>
      </c>
      <c r="I55" s="86">
        <f t="shared" si="16"/>
        <v>2.0263609175786394E-2</v>
      </c>
      <c r="J55" s="369"/>
      <c r="K55" s="434" t="s">
        <v>19</v>
      </c>
      <c r="L55" s="358">
        <f>[3]United!$FC$41</f>
        <v>74061</v>
      </c>
      <c r="M55" s="9">
        <f>[3]United!$EO$41+[3]Continental!$EO$41</f>
        <v>72332</v>
      </c>
      <c r="N55" s="86">
        <f t="shared" si="17"/>
        <v>2.3903666427030915E-2</v>
      </c>
      <c r="O55" s="358">
        <f>SUM([3]United!$EZ$41:$FC$41)</f>
        <v>291176</v>
      </c>
      <c r="P55" s="9">
        <f>SUM([3]United!$EL$41:$EO$41)+SUM([3]Continental!$EL$41:$EO$41)</f>
        <v>237561</v>
      </c>
      <c r="Q55" s="39">
        <f t="shared" si="18"/>
        <v>0.22568940187993822</v>
      </c>
      <c r="R55" s="86">
        <f t="shared" si="19"/>
        <v>2.5442597441951889E-2</v>
      </c>
      <c r="S55" s="20"/>
    </row>
    <row r="56" spans="1:20" s="7" customFormat="1" ht="14.1" customHeight="1" x14ac:dyDescent="0.2">
      <c r="A56" s="369"/>
      <c r="B56" s="436" t="s">
        <v>182</v>
      </c>
      <c r="C56" s="358">
        <f>'[3]Continental Express'!$FC$19</f>
        <v>20</v>
      </c>
      <c r="D56" s="9">
        <f>'[3]Continental Express'!$EO$19</f>
        <v>44</v>
      </c>
      <c r="E56" s="86">
        <f t="shared" si="14"/>
        <v>-0.54545454545454541</v>
      </c>
      <c r="F56" s="9">
        <f>SUM('[3]Continental Express'!$EZ$19:$FC$19)</f>
        <v>112</v>
      </c>
      <c r="G56" s="9">
        <f>SUM('[3]Continental Express'!$EL$19:$EO$19)</f>
        <v>1054</v>
      </c>
      <c r="H56" s="39">
        <f t="shared" si="15"/>
        <v>-0.89373814041745736</v>
      </c>
      <c r="I56" s="86">
        <f t="shared" si="16"/>
        <v>9.2785127869504343E-4</v>
      </c>
      <c r="J56" s="53"/>
      <c r="K56" s="434" t="s">
        <v>182</v>
      </c>
      <c r="L56" s="358">
        <f>'[3]Continental Express'!$FC$41</f>
        <v>850</v>
      </c>
      <c r="M56" s="9">
        <f>'[3]Continental Express'!$EO$41</f>
        <v>1989</v>
      </c>
      <c r="N56" s="86">
        <f t="shared" si="17"/>
        <v>-0.57264957264957261</v>
      </c>
      <c r="O56" s="358">
        <f>SUM('[3]Continental Express'!$EZ$41:$FC$41)</f>
        <v>4493</v>
      </c>
      <c r="P56" s="9">
        <f>SUM('[3]Continental Express'!$EL$41:$EO$41)</f>
        <v>70562</v>
      </c>
      <c r="Q56" s="39">
        <f t="shared" si="18"/>
        <v>-0.93632550097786349</v>
      </c>
      <c r="R56" s="86">
        <f t="shared" si="19"/>
        <v>3.9259276281935953E-4</v>
      </c>
      <c r="S56" s="20"/>
    </row>
    <row r="57" spans="1:20" s="7" customFormat="1" ht="14.1" customHeight="1" x14ac:dyDescent="0.2">
      <c r="A57" s="369"/>
      <c r="B57" s="363" t="s">
        <v>159</v>
      </c>
      <c r="C57" s="358">
        <f>'[3]Go Jet_UA'!$FC$19</f>
        <v>2</v>
      </c>
      <c r="D57" s="9">
        <f>'[3]Go Jet_UA'!$EO$19</f>
        <v>22</v>
      </c>
      <c r="E57" s="86">
        <f t="shared" si="14"/>
        <v>-0.90909090909090906</v>
      </c>
      <c r="F57" s="9">
        <f>SUM('[3]Go Jet_UA'!$EZ$19:$FC$19)</f>
        <v>76</v>
      </c>
      <c r="G57" s="9">
        <f>SUM('[3]Go Jet_UA'!$EL$19:$EO$19)</f>
        <v>152</v>
      </c>
      <c r="H57" s="39">
        <f t="shared" si="15"/>
        <v>-0.5</v>
      </c>
      <c r="I57" s="86">
        <f t="shared" si="16"/>
        <v>6.2961336768592229E-4</v>
      </c>
      <c r="J57" s="369"/>
      <c r="K57" s="362" t="s">
        <v>159</v>
      </c>
      <c r="L57" s="358">
        <f>'[3]Go Jet_UA'!$FC$41</f>
        <v>133</v>
      </c>
      <c r="M57" s="9">
        <f>'[3]Go Jet_UA'!$EO$41</f>
        <v>1154</v>
      </c>
      <c r="N57" s="86">
        <f t="shared" si="17"/>
        <v>-0.8847487001733102</v>
      </c>
      <c r="O57" s="358">
        <f>SUM('[3]Go Jet_UA'!$EZ$41:$FC$41)</f>
        <v>4885</v>
      </c>
      <c r="P57" s="9">
        <f>SUM('[3]Go Jet_UA'!$EL$41:$EO$41)</f>
        <v>9484</v>
      </c>
      <c r="Q57" s="39">
        <f t="shared" si="18"/>
        <v>-0.48492197385069591</v>
      </c>
      <c r="R57" s="86">
        <f t="shared" si="19"/>
        <v>4.2684523622803726E-4</v>
      </c>
      <c r="S57" s="20"/>
    </row>
    <row r="58" spans="1:20" s="7" customFormat="1" ht="14.1" customHeight="1" x14ac:dyDescent="0.2">
      <c r="A58" s="369"/>
      <c r="B58" s="363" t="s">
        <v>51</v>
      </c>
      <c r="C58" s="358">
        <f>[3]MESA_UA!$FC$19</f>
        <v>306</v>
      </c>
      <c r="D58" s="9">
        <f>[3]MESA_UA!$EO$19</f>
        <v>192</v>
      </c>
      <c r="E58" s="86">
        <f t="shared" si="14"/>
        <v>0.59375</v>
      </c>
      <c r="F58" s="9">
        <f>SUM([3]MESA_UA!$EZ$19:$FC$19)</f>
        <v>1254</v>
      </c>
      <c r="G58" s="9">
        <f>SUM([3]MESA_UA!$EL$19:$EO$19)</f>
        <v>796</v>
      </c>
      <c r="H58" s="39">
        <f>(F58-G58)/G58</f>
        <v>0.57537688442211055</v>
      </c>
      <c r="I58" s="86">
        <f t="shared" si="16"/>
        <v>1.0388620566817719E-2</v>
      </c>
      <c r="J58" s="369"/>
      <c r="K58" s="362" t="s">
        <v>51</v>
      </c>
      <c r="L58" s="358">
        <f>[3]MESA_UA!$FC$41</f>
        <v>17625</v>
      </c>
      <c r="M58" s="9">
        <f>[3]MESA_UA!$EO$41</f>
        <v>10339</v>
      </c>
      <c r="N58" s="86">
        <f t="shared" si="17"/>
        <v>0.70471032014701618</v>
      </c>
      <c r="O58" s="358">
        <f>SUM([3]MESA_UA!$EZ$41:$FC$41)</f>
        <v>74236</v>
      </c>
      <c r="P58" s="9">
        <f>SUM([3]MESA_UA!$EL$41:$EO$41)</f>
        <v>36630</v>
      </c>
      <c r="Q58" s="39">
        <f t="shared" si="18"/>
        <v>1.0266448266448267</v>
      </c>
      <c r="R58" s="86">
        <f t="shared" si="19"/>
        <v>6.4866495305270361E-3</v>
      </c>
      <c r="S58" s="20"/>
    </row>
    <row r="59" spans="1:20" s="7" customFormat="1" ht="14.1" customHeight="1" x14ac:dyDescent="0.2">
      <c r="A59" s="369"/>
      <c r="B59" s="436" t="s">
        <v>52</v>
      </c>
      <c r="C59" s="358">
        <f>[3]Republic_UA!$FC$19</f>
        <v>314</v>
      </c>
      <c r="D59" s="9">
        <f>[3]Republic_UA!$EO$19</f>
        <v>178</v>
      </c>
      <c r="E59" s="86">
        <f t="shared" si="14"/>
        <v>0.7640449438202247</v>
      </c>
      <c r="F59" s="9">
        <f>SUM([3]Republic_UA!$EZ$19:$FC$19)</f>
        <v>998</v>
      </c>
      <c r="G59" s="9">
        <f>SUM([3]Republic_UA!$EL$19:$EO$19)</f>
        <v>468</v>
      </c>
      <c r="H59" s="39">
        <f t="shared" ref="H59" si="20">(F59-G59)/G59</f>
        <v>1.1324786324786325</v>
      </c>
      <c r="I59" s="86">
        <f t="shared" si="16"/>
        <v>8.2678176440861909E-3</v>
      </c>
      <c r="J59" s="369"/>
      <c r="K59" s="436" t="s">
        <v>52</v>
      </c>
      <c r="L59" s="358">
        <f>[3]Republic_UA!$FC$41</f>
        <v>18279</v>
      </c>
      <c r="M59" s="9">
        <f>[3]Republic_UA!$EO$41</f>
        <v>10010</v>
      </c>
      <c r="N59" s="86">
        <f t="shared" si="17"/>
        <v>0.82607392607392605</v>
      </c>
      <c r="O59" s="358">
        <f>SUM([3]Republic_UA!$EZ$41:$FC$41)</f>
        <v>57037</v>
      </c>
      <c r="P59" s="9">
        <f>SUM([3]Republic_UA!$EL$41:$EO$41)</f>
        <v>27072</v>
      </c>
      <c r="Q59" s="39">
        <f t="shared" si="18"/>
        <v>1.1068631796690307</v>
      </c>
      <c r="R59" s="86">
        <f t="shared" si="19"/>
        <v>4.9838222597213024E-3</v>
      </c>
      <c r="S59" s="20"/>
    </row>
    <row r="60" spans="1:20" s="7" customFormat="1" ht="14.1" customHeight="1" x14ac:dyDescent="0.2">
      <c r="A60" s="369"/>
      <c r="B60" s="363" t="s">
        <v>100</v>
      </c>
      <c r="C60" s="358">
        <f>'[3]Sky West_UA'!$FC$19</f>
        <v>280</v>
      </c>
      <c r="D60" s="9">
        <f>'[3]Sky West_UA'!$EO$19+'[3]Sky West_CO'!$EO$19</f>
        <v>456</v>
      </c>
      <c r="E60" s="86">
        <f t="shared" si="14"/>
        <v>-0.38596491228070173</v>
      </c>
      <c r="F60" s="9">
        <f>SUM('[3]Sky West_UA'!$EZ$19:$FC$19)</f>
        <v>1080</v>
      </c>
      <c r="G60" s="9">
        <f>SUM('[3]Sky West_UA'!$EL$19:$EO$19)+SUM('[3]Sky West_CO'!$EL$19:$EO$19)</f>
        <v>1254</v>
      </c>
      <c r="H60" s="39">
        <f t="shared" si="15"/>
        <v>-0.13875598086124402</v>
      </c>
      <c r="I60" s="86">
        <f t="shared" si="16"/>
        <v>8.9471373302736339E-3</v>
      </c>
      <c r="J60" s="369"/>
      <c r="K60" s="362" t="s">
        <v>100</v>
      </c>
      <c r="L60" s="358">
        <f>'[3]Sky West_UA'!$FC$41</f>
        <v>17549</v>
      </c>
      <c r="M60" s="9">
        <f>'[3]Sky West_UA'!$EO$41+'[3]Sky West_CO'!$EO$41</f>
        <v>27967</v>
      </c>
      <c r="N60" s="86">
        <f t="shared" si="17"/>
        <v>-0.37251045875496119</v>
      </c>
      <c r="O60" s="358">
        <f>SUM('[3]Sky West_UA'!$EZ$41:$FC$41)</f>
        <v>71853</v>
      </c>
      <c r="P60" s="9">
        <f>SUM('[3]Sky West_UA'!$EL$41:$EO$41)+SUM('[3]Sky West_CO'!$EL$41:$EO$41)</f>
        <v>80373</v>
      </c>
      <c r="Q60" s="39">
        <f t="shared" si="18"/>
        <v>-0.10600574819902206</v>
      </c>
      <c r="R60" s="86">
        <f t="shared" si="19"/>
        <v>6.2784259485554059E-3</v>
      </c>
      <c r="S60" s="20"/>
    </row>
    <row r="61" spans="1:20" s="7" customFormat="1" ht="14.1" customHeight="1" x14ac:dyDescent="0.2">
      <c r="A61" s="369"/>
      <c r="B61" s="364" t="s">
        <v>134</v>
      </c>
      <c r="C61" s="358">
        <f>'[3]Shuttle America'!$FC$19</f>
        <v>0</v>
      </c>
      <c r="D61" s="9">
        <f>'[3]Shuttle America'!$EO$19</f>
        <v>74</v>
      </c>
      <c r="E61" s="86">
        <f t="shared" si="14"/>
        <v>-1</v>
      </c>
      <c r="F61" s="9">
        <f>SUM('[3]Shuttle America'!$EZ$19:$FC$19)</f>
        <v>24</v>
      </c>
      <c r="G61" s="9">
        <f>SUM('[3]Shuttle America'!$EL$19:$EO$19)</f>
        <v>402</v>
      </c>
      <c r="H61" s="39">
        <f t="shared" si="15"/>
        <v>-0.94029850746268662</v>
      </c>
      <c r="I61" s="86">
        <f t="shared" si="16"/>
        <v>1.9882527400608073E-4</v>
      </c>
      <c r="J61" s="369"/>
      <c r="K61" s="364" t="s">
        <v>134</v>
      </c>
      <c r="L61" s="358">
        <f>'[3]Shuttle America'!$FC$41</f>
        <v>0</v>
      </c>
      <c r="M61" s="9">
        <f>'[3]Shuttle America'!$EO$41</f>
        <v>4300</v>
      </c>
      <c r="N61" s="86">
        <f t="shared" si="17"/>
        <v>-1</v>
      </c>
      <c r="O61" s="358">
        <f>SUM('[3]Shuttle America'!$EZ$41:$FC$41)</f>
        <v>1273</v>
      </c>
      <c r="P61" s="9">
        <f>SUM('[3]Shuttle America'!$EL$41:$EO$41)</f>
        <v>23215</v>
      </c>
      <c r="Q61" s="39">
        <f t="shared" si="18"/>
        <v>-0.94516476416110273</v>
      </c>
      <c r="R61" s="86">
        <f t="shared" si="19"/>
        <v>1.1123315981950694E-4</v>
      </c>
      <c r="S61" s="20"/>
    </row>
    <row r="62" spans="1:20" s="7" customFormat="1" ht="14.1" customHeight="1" thickBot="1" x14ac:dyDescent="0.25">
      <c r="A62" s="439"/>
      <c r="B62" s="440"/>
      <c r="C62" s="370"/>
      <c r="D62" s="372"/>
      <c r="E62" s="373"/>
      <c r="F62" s="374"/>
      <c r="G62" s="374"/>
      <c r="H62" s="371"/>
      <c r="I62" s="373"/>
      <c r="J62" s="439"/>
      <c r="K62" s="440"/>
      <c r="L62" s="370"/>
      <c r="M62" s="374"/>
      <c r="N62" s="373"/>
      <c r="O62" s="370"/>
      <c r="P62" s="374"/>
      <c r="Q62" s="371"/>
      <c r="R62" s="487"/>
      <c r="S62" s="20"/>
    </row>
    <row r="63" spans="1:20" s="229" customFormat="1" ht="14.1" customHeight="1" thickBot="1" x14ac:dyDescent="0.25">
      <c r="B63" s="264"/>
      <c r="C63" s="356"/>
      <c r="D63" s="356"/>
      <c r="E63" s="355"/>
      <c r="F63" s="438"/>
      <c r="G63" s="356"/>
      <c r="H63" s="355"/>
      <c r="I63" s="355"/>
      <c r="J63" s="375"/>
      <c r="K63" s="264"/>
      <c r="L63" s="376"/>
      <c r="M63" s="377"/>
      <c r="N63" s="375"/>
      <c r="O63" s="230"/>
      <c r="P63" s="230"/>
      <c r="Q63" s="230"/>
      <c r="R63" s="506"/>
      <c r="S63" s="228"/>
      <c r="T63"/>
    </row>
    <row r="64" spans="1:20" ht="14.1" customHeight="1" x14ac:dyDescent="0.2">
      <c r="B64" s="378" t="s">
        <v>136</v>
      </c>
      <c r="C64" s="451">
        <f>+C66-C65</f>
        <v>18713</v>
      </c>
      <c r="D64" s="452">
        <f>+D66-D65</f>
        <v>17194</v>
      </c>
      <c r="E64" s="453">
        <f>(C64-D64)/D64</f>
        <v>8.8344771431894842E-2</v>
      </c>
      <c r="F64" s="451">
        <f t="shared" ref="F64:G64" si="21">+F66-F65</f>
        <v>70893</v>
      </c>
      <c r="G64" s="452">
        <f t="shared" si="21"/>
        <v>66381</v>
      </c>
      <c r="H64" s="458">
        <f>(F64-G64)/G64</f>
        <v>6.7971256835540284E-2</v>
      </c>
      <c r="I64" s="461">
        <f>F64/$F$66</f>
        <v>0.58730500625471171</v>
      </c>
      <c r="K64" s="378" t="s">
        <v>136</v>
      </c>
      <c r="L64" s="451">
        <f>+L66-L65</f>
        <v>2368846</v>
      </c>
      <c r="M64" s="452">
        <f>+M66-M65</f>
        <v>2206014</v>
      </c>
      <c r="N64" s="453">
        <f>(L64-M64)/M64</f>
        <v>7.3812768187327918E-2</v>
      </c>
      <c r="O64" s="451">
        <f t="shared" ref="O64:P64" si="22">+O66-O65</f>
        <v>8969227</v>
      </c>
      <c r="P64" s="452">
        <f t="shared" si="22"/>
        <v>8616059</v>
      </c>
      <c r="Q64" s="504">
        <f>(O64-P64)/P64</f>
        <v>4.0989505758955457E-2</v>
      </c>
      <c r="R64" s="510">
        <f>+O64/O66</f>
        <v>0.78371992171911764</v>
      </c>
    </row>
    <row r="65" spans="2:18" ht="14.1" customHeight="1" x14ac:dyDescent="0.2">
      <c r="B65" s="329" t="s">
        <v>137</v>
      </c>
      <c r="C65" s="454">
        <f>C61+C37+C35+C33+C32+C36+C19+C60+C57+C34+C56+C58+C24+C23+C20+C15+C7+C6+C59+C21+C22</f>
        <v>12411</v>
      </c>
      <c r="D65" s="379">
        <f>D61+D37+D35+D33+D32+D36+D19+D60+D57+D34+D56+D58+D24+D23+D20+D15+D7+D6+D59+D21+D22</f>
        <v>13327</v>
      </c>
      <c r="E65" s="380">
        <f>(C65-D65)/D65</f>
        <v>-6.8732648007803709E-2</v>
      </c>
      <c r="F65" s="454">
        <f>F61+F37+F35+F33+F32+F36+F19+F60+F57+F34+F56+F58+F24+F23+F20+F15+F7+F6+F59+F21+F22</f>
        <v>49816</v>
      </c>
      <c r="G65" s="379">
        <f>G61+G37+G35+G33+G32+G36+G19+G60+G57+G34+G56+G58+G24+G23+G20+G15+G7+G6+G59+G21+G22</f>
        <v>52600</v>
      </c>
      <c r="H65" s="459">
        <f>(F65-G65)/G65</f>
        <v>-5.2927756653992394E-2</v>
      </c>
      <c r="I65" s="429">
        <f>F65/$F$66</f>
        <v>0.41269499374528823</v>
      </c>
      <c r="K65" s="329" t="s">
        <v>137</v>
      </c>
      <c r="L65" s="454">
        <f>L61+L37+L35+L33+L32+L36+L19+L60+L57+L34+L56+L58+L24+L23+L20+L15+L7+L6+L59+L21+L22</f>
        <v>625681</v>
      </c>
      <c r="M65" s="379">
        <f>M61+M37+M35+M33+M32+M36+M19+M60+M57+M34+M56+M58+M24+M23+M20+M15+M7+M6+M59+M21+M22</f>
        <v>703256</v>
      </c>
      <c r="N65" s="380">
        <f>(L65-M65)/M65</f>
        <v>-0.11030833722001661</v>
      </c>
      <c r="O65" s="454">
        <f>O61+O37+O35+O33+O32+O36+O19+O60+O57+O34+O56+O58+O24+O23+O20+O15+O7+O6+O59+O21+O22</f>
        <v>2475202</v>
      </c>
      <c r="P65" s="379">
        <f>P61+P37+P35+P33+P32+P36+P19+P60+P57+P34+P56+P58+P24+P23+P20+P15+P7+P6+P59+P21+P22</f>
        <v>2674663</v>
      </c>
      <c r="Q65" s="502">
        <f>(O65-P65)/P65</f>
        <v>-7.457425477527449E-2</v>
      </c>
      <c r="R65" s="511">
        <f>+O65/O66</f>
        <v>0.21628007828088233</v>
      </c>
    </row>
    <row r="66" spans="2:18" ht="14.1" customHeight="1" thickBot="1" x14ac:dyDescent="0.25">
      <c r="B66" s="329" t="s">
        <v>138</v>
      </c>
      <c r="C66" s="455">
        <f>C54+C52+C47+C43+C39+C30+C17+C13+C4+C41+C50+C28+C26+C9+C45</f>
        <v>31124</v>
      </c>
      <c r="D66" s="455">
        <f>D54+D52+D47+D43+D39+D30+D17+D13+D4+D41+D50+D28+D26+D9+D45</f>
        <v>30521</v>
      </c>
      <c r="E66" s="457">
        <f>(C66-D66)/D66</f>
        <v>1.9756888699583895E-2</v>
      </c>
      <c r="F66" s="455">
        <f>F54+F52+F47+F43+F39+F30+F17+F13+F4+F41+F50+F28+F26+F9+F45</f>
        <v>120709</v>
      </c>
      <c r="G66" s="456">
        <f>G54+G52+G47+G43+G39+G30+G17+G13+G4+G41+G50+G28+G26+G9+G45</f>
        <v>118981</v>
      </c>
      <c r="H66" s="460">
        <f>(F66-G66)/G66</f>
        <v>1.45233272539313E-2</v>
      </c>
      <c r="I66" s="462">
        <f>+H66/H66</f>
        <v>1</v>
      </c>
      <c r="K66" s="329" t="s">
        <v>138</v>
      </c>
      <c r="L66" s="455">
        <f>L54+L52+L47+L43+L39+L30+L17+L13+L4+L41+L50+L28+L26+L9+L45</f>
        <v>2994527</v>
      </c>
      <c r="M66" s="456">
        <f>M54+M52+M47+M43+M39+M30+M17+M13+M4+M41+M50+M28+M26+M9+M45</f>
        <v>2909270</v>
      </c>
      <c r="N66" s="457">
        <f>(L66-M66)/M66</f>
        <v>2.9305289643106348E-2</v>
      </c>
      <c r="O66" s="455">
        <f>O54+O52+O47+O43+O39+O30+O17+O13+O4+O41+O50+O28+O26+O9+O45</f>
        <v>11444429</v>
      </c>
      <c r="P66" s="456">
        <f>P54+P52+P47+P43+P39+P30+P17+P13+P4+P41+P50+P28+P26+P9+P45</f>
        <v>11290722</v>
      </c>
      <c r="Q66" s="505">
        <f>(O66-P66)/P66</f>
        <v>1.361356696232535E-2</v>
      </c>
      <c r="R66" s="512">
        <f>+O66/O66</f>
        <v>1</v>
      </c>
    </row>
    <row r="67" spans="2:18" x14ac:dyDescent="0.2">
      <c r="B67" s="329"/>
      <c r="E67" s="37"/>
      <c r="F67" s="231"/>
      <c r="G67" s="5"/>
      <c r="H67" s="37"/>
      <c r="I67" s="37"/>
      <c r="K67" s="11"/>
      <c r="L67" s="4"/>
      <c r="M67" s="4"/>
      <c r="N67" s="227"/>
      <c r="O67" s="4"/>
      <c r="P67" s="7"/>
      <c r="Q67" s="7"/>
    </row>
    <row r="68" spans="2:18" x14ac:dyDescent="0.2">
      <c r="B68" s="264"/>
      <c r="E68" s="227"/>
      <c r="F68" s="4"/>
      <c r="G68" s="4"/>
      <c r="H68"/>
      <c r="I68"/>
      <c r="J68"/>
      <c r="K68"/>
      <c r="N68"/>
      <c r="O68" s="2"/>
      <c r="P68" s="2"/>
    </row>
    <row r="69" spans="2:18" x14ac:dyDescent="0.2">
      <c r="B69" s="329"/>
      <c r="E69" s="227"/>
      <c r="F69" s="4"/>
      <c r="G69" s="4"/>
      <c r="H69"/>
      <c r="I69"/>
      <c r="J69"/>
      <c r="K69"/>
      <c r="N69"/>
      <c r="O69" s="2"/>
      <c r="P69" s="2"/>
      <c r="R69" s="2"/>
    </row>
    <row r="70" spans="2:18" x14ac:dyDescent="0.2">
      <c r="B70" s="264"/>
      <c r="E70" s="227"/>
      <c r="F70" s="4"/>
      <c r="G70" s="4"/>
      <c r="H70"/>
      <c r="I70"/>
      <c r="J70"/>
      <c r="K70"/>
      <c r="N70"/>
      <c r="O70" s="2"/>
      <c r="P70" s="2"/>
    </row>
    <row r="71" spans="2:18" x14ac:dyDescent="0.2">
      <c r="D71" s="227"/>
      <c r="E71" s="227"/>
      <c r="F71" s="4"/>
      <c r="G71" s="7"/>
      <c r="H71"/>
      <c r="I71"/>
      <c r="J71"/>
      <c r="K71"/>
      <c r="L71"/>
      <c r="M71"/>
      <c r="N71"/>
      <c r="O71" s="130"/>
    </row>
    <row r="72" spans="2:18" x14ac:dyDescent="0.2">
      <c r="D72" s="227"/>
      <c r="E72" s="227"/>
      <c r="F72" s="4"/>
      <c r="G72" s="7"/>
      <c r="H72"/>
      <c r="I72"/>
      <c r="J72"/>
      <c r="K72"/>
      <c r="M72"/>
      <c r="N72"/>
    </row>
    <row r="73" spans="2:18" x14ac:dyDescent="0.2">
      <c r="D73" s="3"/>
      <c r="F73" s="4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E1190" s="37"/>
      <c r="F1190" s="231"/>
      <c r="G1190" s="5"/>
      <c r="H1190" s="37"/>
      <c r="I1190" s="37"/>
      <c r="K1190" s="11"/>
    </row>
    <row r="1191" spans="5:11" x14ac:dyDescent="0.2">
      <c r="E1191" s="37"/>
      <c r="F1191" s="231"/>
      <c r="G1191" s="5"/>
      <c r="H1191" s="37"/>
      <c r="I1191" s="37"/>
      <c r="K1191" s="11"/>
    </row>
    <row r="1192" spans="5:11" x14ac:dyDescent="0.2">
      <c r="E1192" s="37"/>
      <c r="F1192" s="231"/>
      <c r="G1192" s="5"/>
      <c r="H1192" s="37"/>
      <c r="I1192" s="37"/>
      <c r="K1192" s="11"/>
    </row>
    <row r="1193" spans="5:11" x14ac:dyDescent="0.2">
      <c r="E1193" s="37"/>
      <c r="F1193" s="231"/>
      <c r="G1193" s="5"/>
      <c r="H1193" s="37"/>
      <c r="I1193" s="37"/>
      <c r="K1193" s="11"/>
    </row>
    <row r="1194" spans="5:11" x14ac:dyDescent="0.2">
      <c r="E1194" s="37"/>
      <c r="F1194" s="231"/>
      <c r="G1194" s="5"/>
      <c r="H1194" s="37"/>
      <c r="I1194" s="37"/>
      <c r="K1194" s="11"/>
    </row>
    <row r="1195" spans="5:11" x14ac:dyDescent="0.2">
      <c r="E1195" s="37"/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  <row r="4705" spans="6:11" x14ac:dyDescent="0.2">
      <c r="F4705" s="231"/>
      <c r="G4705" s="5"/>
      <c r="H4705" s="37"/>
      <c r="I4705" s="37"/>
      <c r="K4705" s="11"/>
    </row>
    <row r="4706" spans="6:11" x14ac:dyDescent="0.2">
      <c r="F4706" s="231"/>
      <c r="G4706" s="5"/>
      <c r="H4706" s="37"/>
      <c r="I4706" s="37"/>
      <c r="K4706" s="11"/>
    </row>
    <row r="4707" spans="6:11" x14ac:dyDescent="0.2">
      <c r="F4707" s="231"/>
      <c r="G4707" s="5"/>
      <c r="H4707" s="37"/>
      <c r="I4707" s="37"/>
      <c r="K4707" s="11"/>
    </row>
    <row r="4708" spans="6:11" x14ac:dyDescent="0.2">
      <c r="F4708" s="231"/>
      <c r="G4708" s="5"/>
      <c r="H4708" s="37"/>
      <c r="I4708" s="37"/>
      <c r="K4708" s="11"/>
    </row>
    <row r="4709" spans="6:11" x14ac:dyDescent="0.2">
      <c r="F4709" s="231"/>
      <c r="G4709" s="5"/>
      <c r="H4709" s="37"/>
      <c r="I4709" s="37"/>
      <c r="K4709" s="11"/>
    </row>
    <row r="4710" spans="6:11" x14ac:dyDescent="0.2">
      <c r="F4710" s="231"/>
      <c r="G4710" s="5"/>
      <c r="H4710" s="37"/>
      <c r="I4710" s="37"/>
      <c r="K4710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1" fitToWidth="2" orientation="portrait" r:id="rId1"/>
  <headerFooter alignWithMargins="0">
    <oddHeader>&amp;L
Schedule 10
&amp;CMinneapolis-St. Paul International Airport
&amp;"Arial,Bold"&amp;A
April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H5" sqref="H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84">
        <v>42826</v>
      </c>
      <c r="B1" s="448" t="s">
        <v>17</v>
      </c>
      <c r="C1" s="448" t="s">
        <v>18</v>
      </c>
      <c r="D1" s="448" t="s">
        <v>19</v>
      </c>
      <c r="E1" s="448" t="s">
        <v>160</v>
      </c>
      <c r="F1" s="448" t="s">
        <v>167</v>
      </c>
      <c r="G1" s="448" t="s">
        <v>161</v>
      </c>
      <c r="H1" s="448" t="s">
        <v>222</v>
      </c>
      <c r="I1" s="448" t="s">
        <v>20</v>
      </c>
      <c r="J1" s="449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[3]American!$FC$22</f>
        <v>92373</v>
      </c>
      <c r="C4" s="21">
        <f>[3]Delta!$FC$22+[3]Delta!$FC$32</f>
        <v>796049</v>
      </c>
      <c r="D4" s="21">
        <f>[3]United!$FC$22</f>
        <v>38780</v>
      </c>
      <c r="E4" s="21">
        <f>[3]Spirit!$FC$22</f>
        <v>56296</v>
      </c>
      <c r="F4" s="21">
        <f>[3]Condor!$FC$22</f>
        <v>0</v>
      </c>
      <c r="G4" s="21">
        <f>'[3]Air France'!$FC$22</f>
        <v>0</v>
      </c>
      <c r="H4" s="21">
        <f>[3]KLM!$FC$22+[3]KLM!$FC$32</f>
        <v>3256</v>
      </c>
      <c r="I4" s="21">
        <f>'Other Major Airline Stats'!J5</f>
        <v>240415</v>
      </c>
      <c r="J4" s="281">
        <f>SUM(B4:I4)</f>
        <v>1227169</v>
      </c>
    </row>
    <row r="5" spans="1:19" x14ac:dyDescent="0.2">
      <c r="A5" s="62" t="s">
        <v>31</v>
      </c>
      <c r="B5" s="14">
        <f>[3]American!$FC$23</f>
        <v>82973</v>
      </c>
      <c r="C5" s="14">
        <f>[3]Delta!$FC$23+[3]Delta!$FC$33</f>
        <v>763026</v>
      </c>
      <c r="D5" s="14">
        <f>[3]United!$FC$23</f>
        <v>35281</v>
      </c>
      <c r="E5" s="14">
        <f>[3]Spirit!$FC$23</f>
        <v>48330</v>
      </c>
      <c r="F5" s="14">
        <f>[3]Condor!$FC$23</f>
        <v>0</v>
      </c>
      <c r="G5" s="14">
        <f>'[3]Air France'!$FC$23</f>
        <v>0</v>
      </c>
      <c r="H5" s="14">
        <f>[3]KLM!$FC$23+[3]KLM!$FC$33</f>
        <v>2784</v>
      </c>
      <c r="I5" s="14">
        <f>'Other Major Airline Stats'!J6</f>
        <v>209283</v>
      </c>
      <c r="J5" s="282">
        <f>SUM(B5:I5)</f>
        <v>1141677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175346</v>
      </c>
      <c r="C6" s="34">
        <f t="shared" si="0"/>
        <v>1559075</v>
      </c>
      <c r="D6" s="34">
        <f t="shared" si="0"/>
        <v>74061</v>
      </c>
      <c r="E6" s="34">
        <f t="shared" si="0"/>
        <v>104626</v>
      </c>
      <c r="F6" s="34">
        <f t="shared" ref="F6:H6" si="1">SUM(F4:F5)</f>
        <v>0</v>
      </c>
      <c r="G6" s="34">
        <f t="shared" si="1"/>
        <v>0</v>
      </c>
      <c r="H6" s="34">
        <f t="shared" si="1"/>
        <v>6040</v>
      </c>
      <c r="I6" s="34">
        <f t="shared" si="0"/>
        <v>449698</v>
      </c>
      <c r="J6" s="283">
        <f>SUM(B6:I6)</f>
        <v>2368846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[3]American!$FC$27</f>
        <v>3281</v>
      </c>
      <c r="C9" s="21">
        <f>[3]Delta!$FC$27+[3]Delta!$FC$37</f>
        <v>29476</v>
      </c>
      <c r="D9" s="21">
        <f>[3]United!$FC$27</f>
        <v>1251</v>
      </c>
      <c r="E9" s="21">
        <f>[3]Spirit!$FC$27</f>
        <v>454</v>
      </c>
      <c r="F9" s="21">
        <f>[3]Condor!$FC$27</f>
        <v>0</v>
      </c>
      <c r="G9" s="21">
        <f>'[3]Air France'!$FC$27</f>
        <v>0</v>
      </c>
      <c r="H9" s="21">
        <f>[3]KLM!$FC$27+[3]KLM!$FC$37</f>
        <v>13</v>
      </c>
      <c r="I9" s="21">
        <f>'Other Major Airline Stats'!J10</f>
        <v>3959</v>
      </c>
      <c r="J9" s="281">
        <f>SUM(B9:I9)</f>
        <v>38434</v>
      </c>
    </row>
    <row r="10" spans="1:19" x14ac:dyDescent="0.2">
      <c r="A10" s="62" t="s">
        <v>33</v>
      </c>
      <c r="B10" s="14">
        <f>[3]American!$FC$28</f>
        <v>3462</v>
      </c>
      <c r="C10" s="14">
        <f>[3]Delta!$FC$28+[3]Delta!$FC$38</f>
        <v>28748</v>
      </c>
      <c r="D10" s="14">
        <f>[3]United!$FC$28</f>
        <v>1398</v>
      </c>
      <c r="E10" s="14">
        <f>[3]Spirit!$FC$28</f>
        <v>459</v>
      </c>
      <c r="F10" s="14">
        <f>[3]Condor!$FC$28</f>
        <v>0</v>
      </c>
      <c r="G10" s="14">
        <f>'[3]Air France'!$FC$28</f>
        <v>0</v>
      </c>
      <c r="H10" s="14">
        <f>[3]KLM!$FC$28+[3]KLM!$FC$38</f>
        <v>21</v>
      </c>
      <c r="I10" s="14">
        <f>'Other Major Airline Stats'!J11</f>
        <v>4159</v>
      </c>
      <c r="J10" s="282">
        <f>SUM(B10:I10)</f>
        <v>38247</v>
      </c>
    </row>
    <row r="11" spans="1:19" ht="15.75" thickBot="1" x14ac:dyDescent="0.3">
      <c r="A11" s="63" t="s">
        <v>34</v>
      </c>
      <c r="B11" s="284">
        <f t="shared" ref="B11:I11" si="2">SUM(B9:B10)</f>
        <v>6743</v>
      </c>
      <c r="C11" s="284">
        <f t="shared" si="2"/>
        <v>58224</v>
      </c>
      <c r="D11" s="284">
        <f t="shared" si="2"/>
        <v>2649</v>
      </c>
      <c r="E11" s="284">
        <f t="shared" si="2"/>
        <v>913</v>
      </c>
      <c r="F11" s="284">
        <f t="shared" ref="F11:H11" si="3">SUM(F9:F10)</f>
        <v>0</v>
      </c>
      <c r="G11" s="284">
        <f t="shared" si="3"/>
        <v>0</v>
      </c>
      <c r="H11" s="284">
        <f t="shared" si="3"/>
        <v>34</v>
      </c>
      <c r="I11" s="284">
        <f t="shared" si="2"/>
        <v>8118</v>
      </c>
      <c r="J11" s="285">
        <f>SUM(B11:I11)</f>
        <v>76681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[3]American!$FC$4</f>
        <v>748</v>
      </c>
      <c r="C15" s="21">
        <f>[3]Delta!$FC$4+[3]Delta!$FC$15</f>
        <v>5757</v>
      </c>
      <c r="D15" s="21">
        <f>[3]United!$FC$4</f>
        <v>312</v>
      </c>
      <c r="E15" s="21">
        <f>[3]Spirit!$FC$4</f>
        <v>410</v>
      </c>
      <c r="F15" s="21">
        <f>[3]Condor!$FC$4</f>
        <v>0</v>
      </c>
      <c r="G15" s="21">
        <f>'[3]Air France'!$FC$4</f>
        <v>0</v>
      </c>
      <c r="H15" s="21">
        <f>[3]KLM!$FC$4+[3]KLM!$FC$15</f>
        <v>13</v>
      </c>
      <c r="I15" s="21">
        <f>'Other Major Airline Stats'!J16</f>
        <v>2055</v>
      </c>
      <c r="J15" s="27">
        <f>SUM(B15:I15)</f>
        <v>9295</v>
      </c>
    </row>
    <row r="16" spans="1:19" x14ac:dyDescent="0.2">
      <c r="A16" s="62" t="s">
        <v>23</v>
      </c>
      <c r="B16" s="14">
        <f>[3]American!$FC$5</f>
        <v>750</v>
      </c>
      <c r="C16" s="14">
        <f>[3]Delta!$FC$5+[3]Delta!$FC$16</f>
        <v>5752</v>
      </c>
      <c r="D16" s="14">
        <f>[3]United!$FC$5</f>
        <v>312</v>
      </c>
      <c r="E16" s="14">
        <f>[3]Spirit!$FC$5</f>
        <v>410</v>
      </c>
      <c r="F16" s="14">
        <f>[3]Condor!$FC$5</f>
        <v>0</v>
      </c>
      <c r="G16" s="14">
        <f>'[3]Air France'!$FC$5</f>
        <v>0</v>
      </c>
      <c r="H16" s="14">
        <f>[3]KLM!$FC$5+[3]KLM!$FC$16</f>
        <v>13</v>
      </c>
      <c r="I16" s="14">
        <f>'Other Major Airline Stats'!J17</f>
        <v>2056</v>
      </c>
      <c r="J16" s="33">
        <f>SUM(B16:I16)</f>
        <v>9293</v>
      </c>
    </row>
    <row r="17" spans="1:10" x14ac:dyDescent="0.2">
      <c r="A17" s="62" t="s">
        <v>24</v>
      </c>
      <c r="B17" s="288">
        <f t="shared" ref="B17:I17" si="4">SUM(B15:B16)</f>
        <v>1498</v>
      </c>
      <c r="C17" s="286">
        <f t="shared" si="4"/>
        <v>11509</v>
      </c>
      <c r="D17" s="286">
        <f t="shared" si="4"/>
        <v>624</v>
      </c>
      <c r="E17" s="286">
        <f t="shared" si="4"/>
        <v>820</v>
      </c>
      <c r="F17" s="286">
        <f t="shared" ref="F17:H17" si="5">SUM(F15:F16)</f>
        <v>0</v>
      </c>
      <c r="G17" s="286">
        <f t="shared" si="5"/>
        <v>0</v>
      </c>
      <c r="H17" s="286">
        <f t="shared" si="5"/>
        <v>26</v>
      </c>
      <c r="I17" s="286">
        <f t="shared" si="4"/>
        <v>4111</v>
      </c>
      <c r="J17" s="287">
        <f>SUM(B17:I17)</f>
        <v>18588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[3]American!$FC$8</f>
        <v>0</v>
      </c>
      <c r="C19" s="21">
        <f>[3]Delta!$FC$8</f>
        <v>5</v>
      </c>
      <c r="D19" s="21">
        <f>[3]United!$FC$8</f>
        <v>0</v>
      </c>
      <c r="E19" s="21">
        <f>[3]Spirit!$FC$8</f>
        <v>0</v>
      </c>
      <c r="F19" s="21">
        <f>[3]Condor!$FC$8</f>
        <v>0</v>
      </c>
      <c r="G19" s="21">
        <f>'[3]Air France'!$FC$8</f>
        <v>0</v>
      </c>
      <c r="H19" s="21">
        <f>[3]KLM!$FC$8</f>
        <v>0</v>
      </c>
      <c r="I19" s="21">
        <f>'Other Major Airline Stats'!J20</f>
        <v>52</v>
      </c>
      <c r="J19" s="27">
        <f>SUM(B19:I19)</f>
        <v>57</v>
      </c>
    </row>
    <row r="20" spans="1:10" x14ac:dyDescent="0.2">
      <c r="A20" s="62" t="s">
        <v>26</v>
      </c>
      <c r="B20" s="14">
        <f>[3]American!$FC$9</f>
        <v>0</v>
      </c>
      <c r="C20" s="14">
        <f>[3]Delta!$FC$9</f>
        <v>16</v>
      </c>
      <c r="D20" s="14">
        <f>[3]United!$FC$9</f>
        <v>0</v>
      </c>
      <c r="E20" s="14">
        <f>[3]Spirit!$FC$9</f>
        <v>0</v>
      </c>
      <c r="F20" s="14">
        <f>[3]Condor!$FC$9</f>
        <v>0</v>
      </c>
      <c r="G20" s="14">
        <f>'[3]Air France'!$FC$9</f>
        <v>0</v>
      </c>
      <c r="H20" s="14">
        <f>[3]KLM!$FC$9</f>
        <v>0</v>
      </c>
      <c r="I20" s="14">
        <f>'Other Major Airline Stats'!J21</f>
        <v>52</v>
      </c>
      <c r="J20" s="33">
        <f>SUM(B20:I20)</f>
        <v>68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21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104</v>
      </c>
      <c r="J21" s="176">
        <f>SUM(B21:I21)</f>
        <v>125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1498</v>
      </c>
      <c r="C23" s="28">
        <f t="shared" si="8"/>
        <v>11530</v>
      </c>
      <c r="D23" s="28">
        <f t="shared" si="8"/>
        <v>624</v>
      </c>
      <c r="E23" s="28">
        <f>E17+E21</f>
        <v>820</v>
      </c>
      <c r="F23" s="28">
        <f t="shared" ref="F23:H23" si="9">F17+F21</f>
        <v>0</v>
      </c>
      <c r="G23" s="28">
        <f t="shared" si="9"/>
        <v>0</v>
      </c>
      <c r="H23" s="28">
        <f t="shared" si="9"/>
        <v>26</v>
      </c>
      <c r="I23" s="28">
        <f t="shared" si="8"/>
        <v>4215</v>
      </c>
      <c r="J23" s="29">
        <f>SUM(B23:I23)</f>
        <v>18713</v>
      </c>
    </row>
    <row r="25" spans="1:10" ht="13.5" thickBot="1" x14ac:dyDescent="0.25">
      <c r="B25" s="419"/>
      <c r="C25" s="419"/>
      <c r="D25" s="419"/>
      <c r="E25" s="419"/>
      <c r="F25" s="419"/>
      <c r="G25" s="419"/>
      <c r="H25" s="419"/>
      <c r="I25" s="419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[3]American!$FC$47</f>
        <v>42775</v>
      </c>
      <c r="C28" s="21">
        <f>[3]Delta!$FC$47</f>
        <v>4726226</v>
      </c>
      <c r="D28" s="21">
        <f>[3]United!$FC$47</f>
        <v>57575</v>
      </c>
      <c r="E28" s="21">
        <f>[3]Spirit!$FC$47</f>
        <v>0</v>
      </c>
      <c r="F28" s="21">
        <f>[3]Condor!$FC$47</f>
        <v>0</v>
      </c>
      <c r="G28" s="21">
        <f>'[3]Air France'!$FC$47</f>
        <v>0</v>
      </c>
      <c r="H28" s="21">
        <f>[3]KLM!$FC$47</f>
        <v>105481</v>
      </c>
      <c r="I28" s="21">
        <f>'Other Major Airline Stats'!J28</f>
        <v>410718</v>
      </c>
      <c r="J28" s="27">
        <f>SUM(B28:I28)</f>
        <v>5342775</v>
      </c>
    </row>
    <row r="29" spans="1:10" x14ac:dyDescent="0.2">
      <c r="A29" s="62" t="s">
        <v>38</v>
      </c>
      <c r="B29" s="14">
        <f>[3]American!$FC$48</f>
        <v>92558</v>
      </c>
      <c r="C29" s="14">
        <f>[3]Delta!$FC$48</f>
        <v>1464401</v>
      </c>
      <c r="D29" s="14">
        <f>[3]United!$FC$48</f>
        <v>129188</v>
      </c>
      <c r="E29" s="14">
        <f>[3]Spirit!$FC$48</f>
        <v>0</v>
      </c>
      <c r="F29" s="14">
        <f>[3]Condor!$FC$48</f>
        <v>0</v>
      </c>
      <c r="G29" s="14">
        <f>'[3]Air France'!$FC$48</f>
        <v>0</v>
      </c>
      <c r="H29" s="14">
        <f>[3]KLM!$FC$48</f>
        <v>0</v>
      </c>
      <c r="I29" s="14">
        <f>'Other Major Airline Stats'!J29</f>
        <v>646753</v>
      </c>
      <c r="J29" s="33">
        <f>SUM(B29:I29)</f>
        <v>2332900</v>
      </c>
    </row>
    <row r="30" spans="1:10" x14ac:dyDescent="0.2">
      <c r="A30" s="66" t="s">
        <v>39</v>
      </c>
      <c r="B30" s="288">
        <f t="shared" ref="B30:I30" si="10">SUM(B28:B29)</f>
        <v>135333</v>
      </c>
      <c r="C30" s="288">
        <f t="shared" si="10"/>
        <v>6190627</v>
      </c>
      <c r="D30" s="288">
        <f t="shared" si="10"/>
        <v>186763</v>
      </c>
      <c r="E30" s="288">
        <f t="shared" si="10"/>
        <v>0</v>
      </c>
      <c r="F30" s="288">
        <f t="shared" ref="F30:H30" si="11">SUM(F28:F29)</f>
        <v>0</v>
      </c>
      <c r="G30" s="288">
        <f t="shared" si="11"/>
        <v>0</v>
      </c>
      <c r="H30" s="288">
        <f t="shared" si="11"/>
        <v>105481</v>
      </c>
      <c r="I30" s="288">
        <f t="shared" si="10"/>
        <v>1057471</v>
      </c>
      <c r="J30" s="27">
        <f>SUM(B30:I30)</f>
        <v>7675675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[3]American!$FC$52</f>
        <v>13113</v>
      </c>
      <c r="C33" s="21">
        <f>[3]Delta!$FC$52</f>
        <v>2800802</v>
      </c>
      <c r="D33" s="21">
        <f>[3]United!$FC$52</f>
        <v>34973</v>
      </c>
      <c r="E33" s="21">
        <f>[3]Spirit!$FC$52</f>
        <v>0</v>
      </c>
      <c r="F33" s="21">
        <f>[3]Condor!$FC$52</f>
        <v>0</v>
      </c>
      <c r="G33" s="21">
        <f>'[3]Air France'!$FC$52</f>
        <v>0</v>
      </c>
      <c r="H33" s="21">
        <f>[3]KLM!$FC$52</f>
        <v>40455</v>
      </c>
      <c r="I33" s="21">
        <f>'Other Major Airline Stats'!J33</f>
        <v>222060</v>
      </c>
      <c r="J33" s="27">
        <f t="shared" si="12"/>
        <v>3111403</v>
      </c>
    </row>
    <row r="34" spans="1:10" x14ac:dyDescent="0.2">
      <c r="A34" s="62" t="s">
        <v>38</v>
      </c>
      <c r="B34" s="14">
        <f>[3]American!$FC$53</f>
        <v>118167</v>
      </c>
      <c r="C34" s="14">
        <f>[3]Delta!$FC$53</f>
        <v>1676567</v>
      </c>
      <c r="D34" s="14">
        <f>[3]United!$FC$53</f>
        <v>155362</v>
      </c>
      <c r="E34" s="14">
        <f>[3]Spirit!$FC$53</f>
        <v>0</v>
      </c>
      <c r="F34" s="14">
        <f>[3]Condor!$FC$53</f>
        <v>0</v>
      </c>
      <c r="G34" s="14">
        <f>'[3]Air France'!$FC$53</f>
        <v>0</v>
      </c>
      <c r="H34" s="14">
        <f>[3]KLM!$FC$53</f>
        <v>0</v>
      </c>
      <c r="I34" s="14">
        <f>'Other Major Airline Stats'!J34</f>
        <v>324185</v>
      </c>
      <c r="J34" s="33">
        <f t="shared" si="12"/>
        <v>2274281</v>
      </c>
    </row>
    <row r="35" spans="1:10" x14ac:dyDescent="0.2">
      <c r="A35" s="66" t="s">
        <v>41</v>
      </c>
      <c r="B35" s="288">
        <f t="shared" ref="B35:I35" si="13">SUM(B33:B34)</f>
        <v>131280</v>
      </c>
      <c r="C35" s="288">
        <f t="shared" si="13"/>
        <v>4477369</v>
      </c>
      <c r="D35" s="288">
        <f t="shared" si="13"/>
        <v>190335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0</v>
      </c>
      <c r="H35" s="288">
        <f t="shared" si="14"/>
        <v>40455</v>
      </c>
      <c r="I35" s="288">
        <f t="shared" si="13"/>
        <v>546245</v>
      </c>
      <c r="J35" s="27">
        <f t="shared" si="12"/>
        <v>5385684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[3]American!$FC$57</f>
        <v>0</v>
      </c>
      <c r="C38" s="21">
        <f>[3]Delta!$FC$57</f>
        <v>0</v>
      </c>
      <c r="D38" s="21">
        <f>[3]United!$FC$57</f>
        <v>0</v>
      </c>
      <c r="E38" s="21">
        <f>[3]Spirit!$FC$57</f>
        <v>0</v>
      </c>
      <c r="F38" s="21">
        <f>[3]Condor!$FC$57</f>
        <v>0</v>
      </c>
      <c r="G38" s="21">
        <f>'[3]Air France'!$FC$57</f>
        <v>0</v>
      </c>
      <c r="H38" s="21">
        <f>[3]KLM!$FC$57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[3]American!$FC$58</f>
        <v>0</v>
      </c>
      <c r="C39" s="14">
        <f>[3]Delta!$FC$58</f>
        <v>0</v>
      </c>
      <c r="D39" s="14">
        <f>[3]United!$FC$58</f>
        <v>0</v>
      </c>
      <c r="E39" s="14">
        <f>[3]Spirit!$FC$58</f>
        <v>0</v>
      </c>
      <c r="F39" s="14">
        <f>[3]Condor!$FC$58</f>
        <v>0</v>
      </c>
      <c r="G39" s="14">
        <f>'[3]Air France'!$FC$58</f>
        <v>0</v>
      </c>
      <c r="H39" s="14">
        <f>[3]KLM!$FC$58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55888</v>
      </c>
      <c r="C43" s="21">
        <f t="shared" si="17"/>
        <v>7527028</v>
      </c>
      <c r="D43" s="21">
        <f t="shared" si="17"/>
        <v>92548</v>
      </c>
      <c r="E43" s="21">
        <f>E28+E33+E38</f>
        <v>0</v>
      </c>
      <c r="F43" s="21">
        <f t="shared" ref="F43:H43" si="18">F28+F33+F38</f>
        <v>0</v>
      </c>
      <c r="G43" s="21">
        <f t="shared" si="18"/>
        <v>0</v>
      </c>
      <c r="H43" s="21">
        <f t="shared" si="18"/>
        <v>145936</v>
      </c>
      <c r="I43" s="21">
        <f t="shared" si="17"/>
        <v>632778</v>
      </c>
      <c r="J43" s="27">
        <f>SUM(B43:I43)</f>
        <v>8454178</v>
      </c>
    </row>
    <row r="44" spans="1:10" x14ac:dyDescent="0.2">
      <c r="A44" s="62" t="s">
        <v>38</v>
      </c>
      <c r="B44" s="14">
        <f t="shared" si="17"/>
        <v>210725</v>
      </c>
      <c r="C44" s="14">
        <f t="shared" si="17"/>
        <v>3140968</v>
      </c>
      <c r="D44" s="14">
        <f t="shared" si="17"/>
        <v>284550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970938</v>
      </c>
      <c r="J44" s="27">
        <f>SUM(B44:I44)</f>
        <v>4607181</v>
      </c>
    </row>
    <row r="45" spans="1:10" ht="15.75" thickBot="1" x14ac:dyDescent="0.3">
      <c r="A45" s="63" t="s">
        <v>46</v>
      </c>
      <c r="B45" s="289">
        <f t="shared" ref="B45:I45" si="20">SUM(B43:B44)</f>
        <v>266613</v>
      </c>
      <c r="C45" s="289">
        <f t="shared" si="20"/>
        <v>10667996</v>
      </c>
      <c r="D45" s="289">
        <f t="shared" si="20"/>
        <v>377098</v>
      </c>
      <c r="E45" s="289">
        <f t="shared" si="20"/>
        <v>0</v>
      </c>
      <c r="F45" s="289">
        <f t="shared" ref="F45:H45" si="21">SUM(F43:F44)</f>
        <v>0</v>
      </c>
      <c r="G45" s="289">
        <f t="shared" si="21"/>
        <v>0</v>
      </c>
      <c r="H45" s="289">
        <f t="shared" si="21"/>
        <v>145936</v>
      </c>
      <c r="I45" s="289">
        <f t="shared" si="20"/>
        <v>1603716</v>
      </c>
      <c r="J45" s="290">
        <f>SUM(B45:I45)</f>
        <v>13061359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81" t="s">
        <v>124</v>
      </c>
      <c r="C47" s="319">
        <f>[3]Delta!$FC$70+[3]Delta!$FC$73</f>
        <v>354044</v>
      </c>
      <c r="D47" s="306"/>
      <c r="E47" s="306"/>
      <c r="F47" s="306"/>
      <c r="G47" s="306"/>
      <c r="H47" s="306"/>
      <c r="I47" s="306"/>
      <c r="J47" s="307">
        <f>SUM(B47:I47)</f>
        <v>354044</v>
      </c>
    </row>
    <row r="48" spans="1:10" hidden="1" x14ac:dyDescent="0.2">
      <c r="A48" s="382" t="s">
        <v>125</v>
      </c>
      <c r="C48" s="319">
        <f>[3]Delta!$FC$71+[3]Delta!$FC$74</f>
        <v>408982</v>
      </c>
      <c r="D48" s="306"/>
      <c r="E48" s="306"/>
      <c r="F48" s="306"/>
      <c r="G48" s="306"/>
      <c r="H48" s="306"/>
      <c r="I48" s="306"/>
      <c r="J48" s="307">
        <f>SUM(B48:I48)</f>
        <v>408982</v>
      </c>
    </row>
    <row r="49" spans="1:10" hidden="1" x14ac:dyDescent="0.2">
      <c r="A49" s="383" t="s">
        <v>126</v>
      </c>
      <c r="C49" s="320">
        <f>SUM(C47:C48)</f>
        <v>763026</v>
      </c>
      <c r="J49" s="307">
        <f>SUM(B49:I49)</f>
        <v>763026</v>
      </c>
    </row>
    <row r="50" spans="1:10" x14ac:dyDescent="0.2">
      <c r="A50" s="381" t="s">
        <v>124</v>
      </c>
      <c r="B50" s="393"/>
      <c r="C50" s="322">
        <f>[3]Delta!$FC$70+[3]Delta!$FC$73</f>
        <v>354044</v>
      </c>
      <c r="D50" s="393"/>
      <c r="E50" s="322">
        <f>[3]Spirit!$FC$70+[3]Spirit!$FC$73</f>
        <v>0</v>
      </c>
      <c r="F50" s="393"/>
      <c r="G50" s="393"/>
      <c r="H50" s="393"/>
      <c r="I50" s="321">
        <f>'Other Major Airline Stats'!J48</f>
        <v>179196</v>
      </c>
      <c r="J50" s="310">
        <f>SUM(B50:I50)</f>
        <v>533240</v>
      </c>
    </row>
    <row r="51" spans="1:10" x14ac:dyDescent="0.2">
      <c r="A51" s="395" t="s">
        <v>125</v>
      </c>
      <c r="B51" s="393"/>
      <c r="C51" s="322">
        <f>[3]Delta!$FC$71+[3]Delta!$FC$74</f>
        <v>408982</v>
      </c>
      <c r="D51" s="393"/>
      <c r="E51" s="322">
        <f>[3]Spirit!$FC$71+[3]Spirit!$FC$74</f>
        <v>0</v>
      </c>
      <c r="F51" s="393"/>
      <c r="G51" s="393"/>
      <c r="H51" s="393"/>
      <c r="I51" s="321">
        <f>+'Other Major Airline Stats'!J49</f>
        <v>4282</v>
      </c>
      <c r="J51" s="310">
        <f>SUM(B51:I51)</f>
        <v>413264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0" zoomScaleNormal="100" workbookViewId="0">
      <selection activeCell="G48" sqref="G48:H4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4">
        <v>42826</v>
      </c>
      <c r="B2" s="447" t="s">
        <v>47</v>
      </c>
      <c r="C2" s="447" t="s">
        <v>158</v>
      </c>
      <c r="D2" s="446" t="s">
        <v>205</v>
      </c>
      <c r="E2" s="446" t="s">
        <v>206</v>
      </c>
      <c r="F2" s="447" t="s">
        <v>48</v>
      </c>
      <c r="G2" s="446" t="s">
        <v>132</v>
      </c>
      <c r="H2" s="446" t="s">
        <v>49</v>
      </c>
      <c r="I2" s="446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[3]Frontier!$FC$22</f>
        <v>14316</v>
      </c>
      <c r="C5" s="146">
        <f>'[3]Great Lakes'!$FC$22</f>
        <v>0</v>
      </c>
      <c r="D5" s="118">
        <f>'[3]Air Choice One'!$FC$22</f>
        <v>420</v>
      </c>
      <c r="E5" s="118">
        <f>'[3]Boutique Air'!$FC$22</f>
        <v>473</v>
      </c>
      <c r="F5" s="146">
        <f>[3]Icelandair!$FC$32</f>
        <v>3054</v>
      </c>
      <c r="G5" s="118">
        <f>[3]Southwest!$FC$22</f>
        <v>95943</v>
      </c>
      <c r="H5" s="118">
        <f>'[3]Sun Country'!$FC$22+'[3]Sun Country'!$FC$32</f>
        <v>116974</v>
      </c>
      <c r="I5" s="118">
        <f>[3]Alaska!$FC$22</f>
        <v>9235</v>
      </c>
      <c r="J5" s="147">
        <f>SUM(B5:I5)</f>
        <v>240415</v>
      </c>
      <c r="M5" s="130"/>
    </row>
    <row r="6" spans="1:13" x14ac:dyDescent="0.2">
      <c r="A6" s="62" t="s">
        <v>31</v>
      </c>
      <c r="B6" s="146">
        <f>[3]Frontier!$FC$23</f>
        <v>13647</v>
      </c>
      <c r="C6" s="146">
        <f>'[3]Great Lakes'!$FC$23</f>
        <v>0</v>
      </c>
      <c r="D6" s="118">
        <f>'[3]Air Choice One'!$FC$23</f>
        <v>358</v>
      </c>
      <c r="E6" s="118">
        <f>'[3]Boutique Air'!$FC$23</f>
        <v>454</v>
      </c>
      <c r="F6" s="146">
        <f>[3]Icelandair!$FC$33</f>
        <v>2943</v>
      </c>
      <c r="G6" s="118">
        <f>[3]Southwest!$FC$23</f>
        <v>87876</v>
      </c>
      <c r="H6" s="118">
        <f>'[3]Sun Country'!$FC$23+'[3]Sun Country'!$FC$33</f>
        <v>95602</v>
      </c>
      <c r="I6" s="118">
        <f>[3]Alaska!$FC$23</f>
        <v>8403</v>
      </c>
      <c r="J6" s="147">
        <f>SUM(B6:I6)</f>
        <v>209283</v>
      </c>
    </row>
    <row r="7" spans="1:13" ht="15" x14ac:dyDescent="0.25">
      <c r="A7" s="60" t="s">
        <v>7</v>
      </c>
      <c r="B7" s="155">
        <f t="shared" ref="B7:I7" si="0">SUM(B5:B6)</f>
        <v>27963</v>
      </c>
      <c r="C7" s="155">
        <f t="shared" si="0"/>
        <v>0</v>
      </c>
      <c r="D7" s="155">
        <f t="shared" ref="D7:E7" si="1">SUM(D5:D6)</f>
        <v>778</v>
      </c>
      <c r="E7" s="155">
        <f t="shared" si="1"/>
        <v>927</v>
      </c>
      <c r="F7" s="155">
        <f t="shared" si="0"/>
        <v>5997</v>
      </c>
      <c r="G7" s="155">
        <f t="shared" si="0"/>
        <v>183819</v>
      </c>
      <c r="H7" s="155">
        <f>SUM(H5:H6)</f>
        <v>212576</v>
      </c>
      <c r="I7" s="155">
        <f t="shared" si="0"/>
        <v>17638</v>
      </c>
      <c r="J7" s="156">
        <f>SUM(B7:I7)</f>
        <v>449698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[3]Frontier!$FC$27</f>
        <v>151</v>
      </c>
      <c r="C10" s="154">
        <f>'[3]Great Lakes'!$FC$27</f>
        <v>0</v>
      </c>
      <c r="D10" s="154">
        <f>'[3]Air Choice One'!$FC$27</f>
        <v>0</v>
      </c>
      <c r="E10" s="154">
        <f>'[3]Boutique Air'!$FC$27</f>
        <v>0</v>
      </c>
      <c r="F10" s="154">
        <f>[3]Icelandair!$FC$37</f>
        <v>45</v>
      </c>
      <c r="G10" s="154">
        <f>[3]Southwest!$FC$27</f>
        <v>1437</v>
      </c>
      <c r="H10" s="154">
        <f>'[3]Sun Country'!$FC$27+'[3]Sun Country'!$FC$37</f>
        <v>2047</v>
      </c>
      <c r="I10" s="154">
        <f>[3]Alaska!$FC$27</f>
        <v>279</v>
      </c>
      <c r="J10" s="147">
        <f>SUM(B10:I10)</f>
        <v>3959</v>
      </c>
    </row>
    <row r="11" spans="1:13" x14ac:dyDescent="0.2">
      <c r="A11" s="62" t="s">
        <v>33</v>
      </c>
      <c r="B11" s="157">
        <f>[3]Frontier!$FC$28</f>
        <v>154</v>
      </c>
      <c r="C11" s="157">
        <f>'[3]Great Lakes'!$FC$28</f>
        <v>0</v>
      </c>
      <c r="D11" s="157">
        <f>'[3]Air Choice One'!$FC$28</f>
        <v>0</v>
      </c>
      <c r="E11" s="157">
        <f>'[3]Boutique Air'!$FC$28</f>
        <v>0</v>
      </c>
      <c r="F11" s="157">
        <f>[3]Icelandair!$FC$38</f>
        <v>58</v>
      </c>
      <c r="G11" s="157">
        <f>[3]Southwest!$FC$28</f>
        <v>1600</v>
      </c>
      <c r="H11" s="157">
        <f>'[3]Sun Country'!$FC$28+'[3]Sun Country'!$FC$38</f>
        <v>2019</v>
      </c>
      <c r="I11" s="157">
        <f>[3]Alaska!$FC$28</f>
        <v>328</v>
      </c>
      <c r="J11" s="147">
        <f>SUM(B11:I11)</f>
        <v>4159</v>
      </c>
    </row>
    <row r="12" spans="1:13" ht="15.75" thickBot="1" x14ac:dyDescent="0.3">
      <c r="A12" s="63" t="s">
        <v>34</v>
      </c>
      <c r="B12" s="150">
        <f t="shared" ref="B12:I12" si="2">SUM(B10:B11)</f>
        <v>305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103</v>
      </c>
      <c r="G12" s="150">
        <f t="shared" si="2"/>
        <v>3037</v>
      </c>
      <c r="H12" s="150">
        <f>SUM(H10:H11)</f>
        <v>4066</v>
      </c>
      <c r="I12" s="150">
        <f t="shared" si="2"/>
        <v>607</v>
      </c>
      <c r="J12" s="158">
        <f>SUM(B12:I12)</f>
        <v>8118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[3]Frontier!$FC$4</f>
        <v>87</v>
      </c>
      <c r="C16" s="146">
        <f>'[3]Great Lakes'!$FC$4</f>
        <v>0</v>
      </c>
      <c r="D16" s="106">
        <f>'[3]Air Choice One'!$FC$4</f>
        <v>120</v>
      </c>
      <c r="E16" s="106">
        <f>'[3]Boutique Air'!$FC$4</f>
        <v>73</v>
      </c>
      <c r="F16" s="146">
        <f>[3]Icelandair!$FC$15</f>
        <v>22</v>
      </c>
      <c r="G16" s="106">
        <f>[3]Southwest!$FC$4</f>
        <v>797</v>
      </c>
      <c r="H16" s="118">
        <f>'[3]Sun Country'!$FC$4+'[3]Sun Country'!$FC$15</f>
        <v>895</v>
      </c>
      <c r="I16" s="118">
        <f>[3]Alaska!$FC$4</f>
        <v>61</v>
      </c>
      <c r="J16" s="147">
        <f>SUM(B16:I16)</f>
        <v>2055</v>
      </c>
    </row>
    <row r="17" spans="1:257" x14ac:dyDescent="0.2">
      <c r="A17" s="62" t="s">
        <v>23</v>
      </c>
      <c r="B17" s="146">
        <f>[3]Frontier!$FC$5</f>
        <v>88</v>
      </c>
      <c r="C17" s="146">
        <f>'[3]Great Lakes'!$FC$5</f>
        <v>0</v>
      </c>
      <c r="D17" s="106">
        <f>'[3]Air Choice One'!$FC$5</f>
        <v>120</v>
      </c>
      <c r="E17" s="106">
        <f>'[3]Boutique Air'!$FC$5</f>
        <v>73</v>
      </c>
      <c r="F17" s="146">
        <f>[3]Icelandair!$FC$16</f>
        <v>22</v>
      </c>
      <c r="G17" s="106">
        <f>[3]Southwest!$FC$5</f>
        <v>798</v>
      </c>
      <c r="H17" s="118">
        <f>'[3]Sun Country'!$FC$5+'[3]Sun Country'!$FC$16</f>
        <v>895</v>
      </c>
      <c r="I17" s="118">
        <f>[3]Alaska!$FC$5</f>
        <v>60</v>
      </c>
      <c r="J17" s="147">
        <f>SUM(B17:I17)</f>
        <v>2056</v>
      </c>
    </row>
    <row r="18" spans="1:257" x14ac:dyDescent="0.2">
      <c r="A18" s="66" t="s">
        <v>24</v>
      </c>
      <c r="B18" s="148">
        <f t="shared" ref="B18:I18" si="4">SUM(B16:B17)</f>
        <v>175</v>
      </c>
      <c r="C18" s="148">
        <f t="shared" si="4"/>
        <v>0</v>
      </c>
      <c r="D18" s="148">
        <f t="shared" ref="D18:E18" si="5">SUM(D16:D17)</f>
        <v>240</v>
      </c>
      <c r="E18" s="148">
        <f t="shared" si="5"/>
        <v>146</v>
      </c>
      <c r="F18" s="148">
        <f t="shared" si="4"/>
        <v>44</v>
      </c>
      <c r="G18" s="148">
        <f t="shared" si="4"/>
        <v>1595</v>
      </c>
      <c r="H18" s="148">
        <f t="shared" si="4"/>
        <v>1790</v>
      </c>
      <c r="I18" s="148">
        <f t="shared" si="4"/>
        <v>121</v>
      </c>
      <c r="J18" s="149">
        <f>SUM(B18:I18)</f>
        <v>4111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[3]Frontier!$FC$8</f>
        <v>0</v>
      </c>
      <c r="C20" s="146">
        <f>'[3]Great Lakes'!$FC$8</f>
        <v>0</v>
      </c>
      <c r="D20" s="118">
        <f>'[3]Air Choice One'!$FC$8</f>
        <v>0</v>
      </c>
      <c r="E20" s="118">
        <f>'[3]Boutique Air'!$FC$8</f>
        <v>0</v>
      </c>
      <c r="F20" s="146">
        <f>[3]Icelandair!$FC$8</f>
        <v>0</v>
      </c>
      <c r="G20" s="118">
        <f>[3]Southwest!$FC$8</f>
        <v>0</v>
      </c>
      <c r="H20" s="118">
        <f>'[3]Sun Country'!$FC$8</f>
        <v>52</v>
      </c>
      <c r="I20" s="118">
        <f>[3]Alaska!$FC$8</f>
        <v>0</v>
      </c>
      <c r="J20" s="147">
        <f>SUM(B20:I20)</f>
        <v>52</v>
      </c>
    </row>
    <row r="21" spans="1:257" x14ac:dyDescent="0.2">
      <c r="A21" s="62" t="s">
        <v>26</v>
      </c>
      <c r="B21" s="146">
        <f>[3]Frontier!$FC$9</f>
        <v>0</v>
      </c>
      <c r="C21" s="146">
        <f>'[3]Great Lakes'!$FC$9</f>
        <v>0</v>
      </c>
      <c r="D21" s="118">
        <f>'[3]Air Choice One'!$FC$9</f>
        <v>0</v>
      </c>
      <c r="E21" s="118">
        <f>'[3]Boutique Air'!$FC$9</f>
        <v>0</v>
      </c>
      <c r="F21" s="146">
        <f>[3]Icelandair!$FC$9</f>
        <v>0</v>
      </c>
      <c r="G21" s="118">
        <f>[3]Southwest!$FC$9</f>
        <v>0</v>
      </c>
      <c r="H21" s="118">
        <f>'[3]Sun Country'!$FC$9</f>
        <v>52</v>
      </c>
      <c r="I21" s="118">
        <f>[3]Alaska!$FC$9</f>
        <v>0</v>
      </c>
      <c r="J21" s="147">
        <f>SUM(B21:I21)</f>
        <v>52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104</v>
      </c>
      <c r="I22" s="148">
        <f t="shared" si="6"/>
        <v>0</v>
      </c>
      <c r="J22" s="149">
        <f>SUM(B22:I22)</f>
        <v>104</v>
      </c>
    </row>
    <row r="23" spans="1:257" ht="15.75" thickBot="1" x14ac:dyDescent="0.3">
      <c r="A23" s="63" t="s">
        <v>28</v>
      </c>
      <c r="B23" s="150">
        <f t="shared" ref="B23:I23" si="8">B22+B18</f>
        <v>175</v>
      </c>
      <c r="C23" s="150">
        <f t="shared" si="8"/>
        <v>0</v>
      </c>
      <c r="D23" s="150">
        <f t="shared" ref="D23:E23" si="9">D22+D18</f>
        <v>240</v>
      </c>
      <c r="E23" s="150">
        <f t="shared" si="9"/>
        <v>146</v>
      </c>
      <c r="F23" s="150">
        <f t="shared" si="8"/>
        <v>44</v>
      </c>
      <c r="G23" s="150">
        <f t="shared" si="8"/>
        <v>1595</v>
      </c>
      <c r="H23" s="150">
        <f t="shared" si="8"/>
        <v>1894</v>
      </c>
      <c r="I23" s="150">
        <f t="shared" si="8"/>
        <v>121</v>
      </c>
      <c r="J23" s="151">
        <f>SUM(B23:I23)</f>
        <v>4215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9"/>
      <c r="C25" s="419"/>
      <c r="D25" s="419"/>
      <c r="E25" s="419"/>
      <c r="F25" s="419"/>
      <c r="G25" s="419"/>
      <c r="H25" s="419"/>
      <c r="I25" s="419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[3]Frontier!$FC$47</f>
        <v>0</v>
      </c>
      <c r="C28" s="146">
        <f>'[3]Great Lakes'!$FC$47</f>
        <v>0</v>
      </c>
      <c r="D28" s="118">
        <f>'[3]Air Choice One'!$FC$47</f>
        <v>0</v>
      </c>
      <c r="E28" s="118">
        <f>'[3]Boutique Air'!$FC$47</f>
        <v>0</v>
      </c>
      <c r="F28" s="146">
        <f>[3]Icelandair!$FC$47</f>
        <v>44292</v>
      </c>
      <c r="G28" s="118">
        <f>[3]Southwest!$FC$47</f>
        <v>203437</v>
      </c>
      <c r="H28" s="118">
        <f>'[3]Sun Country'!$FC$47</f>
        <v>137309</v>
      </c>
      <c r="I28" s="118">
        <f>[3]Alaska!$FC$47</f>
        <v>25680</v>
      </c>
      <c r="J28" s="147">
        <f>SUM(B28:I28)</f>
        <v>410718</v>
      </c>
    </row>
    <row r="29" spans="1:257" x14ac:dyDescent="0.2">
      <c r="A29" s="62" t="s">
        <v>38</v>
      </c>
      <c r="B29" s="146">
        <f>[3]Frontier!$FC$48</f>
        <v>0</v>
      </c>
      <c r="C29" s="146">
        <f>'[3]Great Lakes'!$FC$48</f>
        <v>0</v>
      </c>
      <c r="D29" s="118">
        <f>'[3]Air Choice One'!$FC$48</f>
        <v>0</v>
      </c>
      <c r="E29" s="118">
        <f>'[3]Boutique Air'!$FC$48</f>
        <v>0</v>
      </c>
      <c r="F29" s="146">
        <f>[3]Icelandair!$FC$48</f>
        <v>0</v>
      </c>
      <c r="G29" s="118">
        <f>[3]Southwest!$FC$48</f>
        <v>0</v>
      </c>
      <c r="H29" s="118">
        <f>'[3]Sun Country'!$FC$48</f>
        <v>596316</v>
      </c>
      <c r="I29" s="118">
        <f>[3]Alaska!$FC$48</f>
        <v>50437</v>
      </c>
      <c r="J29" s="147">
        <f>SUM(B29:I29)</f>
        <v>646753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44292</v>
      </c>
      <c r="G30" s="162">
        <f t="shared" si="10"/>
        <v>203437</v>
      </c>
      <c r="H30" s="162">
        <f t="shared" si="10"/>
        <v>733625</v>
      </c>
      <c r="I30" s="162">
        <f t="shared" si="10"/>
        <v>76117</v>
      </c>
      <c r="J30" s="165">
        <f>SUM(B30:I30)</f>
        <v>1057471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[3]Frontier!$FC$52</f>
        <v>0</v>
      </c>
      <c r="C33" s="146">
        <f>'[3]Great Lakes'!$FC$52</f>
        <v>0</v>
      </c>
      <c r="D33" s="118">
        <f>'[3]Air Choice One'!$FC$52</f>
        <v>0</v>
      </c>
      <c r="E33" s="118">
        <f>'[3]Boutique Air'!$FC$52</f>
        <v>0</v>
      </c>
      <c r="F33" s="146">
        <f>[3]Icelandair!$FC$52</f>
        <v>0</v>
      </c>
      <c r="G33" s="118">
        <f>[3]Southwest!$FC$52</f>
        <v>104100</v>
      </c>
      <c r="H33" s="118">
        <f>'[3]Sun Country'!$FC$52</f>
        <v>111425</v>
      </c>
      <c r="I33" s="118">
        <f>[3]Alaska!$FC$52</f>
        <v>6535</v>
      </c>
      <c r="J33" s="147">
        <f>SUM(B33:I33)</f>
        <v>222060</v>
      </c>
    </row>
    <row r="34" spans="1:10" x14ac:dyDescent="0.2">
      <c r="A34" s="62" t="s">
        <v>38</v>
      </c>
      <c r="B34" s="146">
        <f>[3]Frontier!$FC$53</f>
        <v>0</v>
      </c>
      <c r="C34" s="146">
        <f>'[3]Great Lakes'!$FC$53</f>
        <v>0</v>
      </c>
      <c r="D34" s="118">
        <f>'[3]Air Choice One'!$FC$53</f>
        <v>0</v>
      </c>
      <c r="E34" s="118">
        <f>'[3]Boutique Air'!$FC$53</f>
        <v>0</v>
      </c>
      <c r="F34" s="146">
        <f>[3]Icelandair!$FC$53</f>
        <v>0</v>
      </c>
      <c r="G34" s="118">
        <f>[3]Southwest!$FC$53</f>
        <v>0</v>
      </c>
      <c r="H34" s="118">
        <f>'[3]Sun Country'!$FC$53</f>
        <v>305831</v>
      </c>
      <c r="I34" s="118">
        <f>[3]Alaska!$FC$53</f>
        <v>18354</v>
      </c>
      <c r="J34" s="163">
        <f>SUM(B34:I34)</f>
        <v>324185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104100</v>
      </c>
      <c r="H35" s="164">
        <f t="shared" si="12"/>
        <v>417256</v>
      </c>
      <c r="I35" s="164">
        <f t="shared" si="12"/>
        <v>24889</v>
      </c>
      <c r="J35" s="165">
        <f>SUM(B35:I35)</f>
        <v>546245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[3]Frontier!$FC$57</f>
        <v>0</v>
      </c>
      <c r="C38" s="154">
        <f>'[3]Great Lakes'!$FC$57</f>
        <v>0</v>
      </c>
      <c r="D38" s="154">
        <f>'[3]Air Choice One'!$FC$57</f>
        <v>0</v>
      </c>
      <c r="E38" s="154">
        <f>'[3]Boutique Air'!$FC$57</f>
        <v>0</v>
      </c>
      <c r="F38" s="154">
        <f>[3]Icelandair!$FC$57</f>
        <v>0</v>
      </c>
      <c r="G38" s="154">
        <f>[3]Southwest!$FC$57</f>
        <v>0</v>
      </c>
      <c r="H38" s="154">
        <f>'[3]Sun Country'!$FC$57</f>
        <v>0</v>
      </c>
      <c r="I38" s="154">
        <f>[3]Alaska!$FC$57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[3]Frontier!$FC$58</f>
        <v>0</v>
      </c>
      <c r="C39" s="157">
        <f>'[3]Great Lakes'!$FC$58</f>
        <v>0</v>
      </c>
      <c r="D39" s="157">
        <f>'[3]Air Choice One'!$FC$58</f>
        <v>0</v>
      </c>
      <c r="E39" s="157">
        <f>'[3]Boutique Air'!$FC$58</f>
        <v>0</v>
      </c>
      <c r="F39" s="157">
        <f>[3]Icelandair!$FC$58</f>
        <v>0</v>
      </c>
      <c r="G39" s="157">
        <f>[3]Southwest!$FC$58</f>
        <v>0</v>
      </c>
      <c r="H39" s="157">
        <f>'[3]Sun Country'!$FC$58</f>
        <v>0</v>
      </c>
      <c r="I39" s="157">
        <f>[3]Alaska!$FC$58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44292</v>
      </c>
      <c r="G43" s="154">
        <f t="shared" si="16"/>
        <v>307537</v>
      </c>
      <c r="H43" s="154">
        <f t="shared" si="16"/>
        <v>248734</v>
      </c>
      <c r="I43" s="154">
        <f t="shared" si="16"/>
        <v>32215</v>
      </c>
      <c r="J43" s="147">
        <f>SUM(B43:I43)</f>
        <v>632778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902147</v>
      </c>
      <c r="I44" s="157">
        <f t="shared" si="18"/>
        <v>68791</v>
      </c>
      <c r="J44" s="147">
        <f>SUM(B44:I44)</f>
        <v>970938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44292</v>
      </c>
      <c r="G45" s="167">
        <f t="shared" si="20"/>
        <v>307537</v>
      </c>
      <c r="H45" s="167">
        <f t="shared" si="20"/>
        <v>1150881</v>
      </c>
      <c r="I45" s="167">
        <f t="shared" si="20"/>
        <v>101006</v>
      </c>
      <c r="J45" s="168">
        <f>SUM(B45:I45)</f>
        <v>1603716</v>
      </c>
    </row>
    <row r="48" spans="1:10" x14ac:dyDescent="0.2">
      <c r="A48" s="381" t="s">
        <v>124</v>
      </c>
      <c r="B48" s="393"/>
      <c r="C48" s="393"/>
      <c r="D48" s="393"/>
      <c r="E48" s="393"/>
      <c r="G48" s="322">
        <f>[3]Southwest!$FC$70+[3]Southwest!$FC$73</f>
        <v>86088</v>
      </c>
      <c r="H48" s="322">
        <f>'[3]Sun Country'!$FC$70+'[3]Sun Country'!$FC$73</f>
        <v>93108</v>
      </c>
      <c r="I48" s="393"/>
      <c r="J48" s="310">
        <f>SUM(B48:I48)</f>
        <v>179196</v>
      </c>
    </row>
    <row r="49" spans="1:10" x14ac:dyDescent="0.2">
      <c r="A49" s="395" t="s">
        <v>125</v>
      </c>
      <c r="B49" s="393"/>
      <c r="C49" s="393"/>
      <c r="D49" s="393"/>
      <c r="E49" s="393"/>
      <c r="G49" s="322">
        <f>[3]Southwest!$FC$71+[3]Southwest!$FC$74</f>
        <v>1788</v>
      </c>
      <c r="H49" s="322">
        <f>'[3]Sun Country'!$FC$71+'[3]Sun Country'!$FC$74</f>
        <v>2494</v>
      </c>
      <c r="I49" s="393"/>
      <c r="J49" s="310">
        <f>SUM(B49:I49)</f>
        <v>4282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April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G10" sqref="G1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91"/>
    </row>
    <row r="2" spans="1:13" s="7" customFormat="1" ht="51.75" thickBot="1" x14ac:dyDescent="0.25">
      <c r="A2" s="384">
        <v>42826</v>
      </c>
      <c r="B2" s="445" t="s">
        <v>162</v>
      </c>
      <c r="C2" s="445" t="s">
        <v>165</v>
      </c>
      <c r="D2" s="445" t="s">
        <v>184</v>
      </c>
      <c r="E2" s="445" t="s">
        <v>183</v>
      </c>
      <c r="F2" s="445" t="s">
        <v>185</v>
      </c>
      <c r="G2" s="445" t="s">
        <v>221</v>
      </c>
      <c r="H2" s="445" t="s">
        <v>189</v>
      </c>
      <c r="I2" s="445" t="s">
        <v>207</v>
      </c>
      <c r="J2" s="445" t="s">
        <v>208</v>
      </c>
      <c r="K2" s="445" t="s">
        <v>188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[3]Pinnacle!$FC$22+[3]Pinnacle!$FC$32</f>
        <v>62061</v>
      </c>
      <c r="C5" s="132">
        <f>[3]MESA_UA!$FC$22</f>
        <v>9356</v>
      </c>
      <c r="D5" s="130">
        <f>'[3]Sky West'!$FC$22+'[3]Sky West'!$FC$32</f>
        <v>140867</v>
      </c>
      <c r="E5" s="130">
        <f>'[3]Sky West_UA'!$FC$22</f>
        <v>9003</v>
      </c>
      <c r="F5" s="130">
        <f>'[3]Sky West_AS'!$FC$22</f>
        <v>2093</v>
      </c>
      <c r="G5" s="130">
        <f>'[3]Sky West_AA'!$FC$22</f>
        <v>566</v>
      </c>
      <c r="H5" s="130">
        <f>[3]Republic!$FC$22</f>
        <v>11561</v>
      </c>
      <c r="I5" s="130">
        <f>[3]Republic_UA!$FC$22</f>
        <v>9540</v>
      </c>
      <c r="J5" s="130">
        <f>'[3]Air Georgian'!$FC$32</f>
        <v>3709</v>
      </c>
      <c r="K5" s="130">
        <f>'[3]American Eagle'!$FC$22</f>
        <v>429</v>
      </c>
      <c r="L5" s="130">
        <f>'Other Regional'!L5</f>
        <v>68077</v>
      </c>
      <c r="M5" s="110">
        <f>SUM(B5:L5)</f>
        <v>317262</v>
      </c>
    </row>
    <row r="6" spans="1:13" s="10" customFormat="1" x14ac:dyDescent="0.2">
      <c r="A6" s="62" t="s">
        <v>31</v>
      </c>
      <c r="B6" s="131">
        <f>[3]Pinnacle!$FC$23+[3]Pinnacle!$FC$33</f>
        <v>60166</v>
      </c>
      <c r="C6" s="132">
        <f>[3]MESA_UA!$FC$23</f>
        <v>8269</v>
      </c>
      <c r="D6" s="130">
        <f>'[3]Sky West'!$FC$23+'[3]Sky West'!$FC$33</f>
        <v>139238</v>
      </c>
      <c r="E6" s="130">
        <f>'[3]Sky West_UA'!$FC$23</f>
        <v>8546</v>
      </c>
      <c r="F6" s="130">
        <f>'[3]Sky West_AS'!$FC$23</f>
        <v>1980</v>
      </c>
      <c r="G6" s="130">
        <f>'[3]Sky West_AA'!$FC$23</f>
        <v>523</v>
      </c>
      <c r="H6" s="130">
        <f>[3]Republic!$FC$23</f>
        <v>10657</v>
      </c>
      <c r="I6" s="130">
        <f>[3]Republic_UA!$FC$23</f>
        <v>8739</v>
      </c>
      <c r="J6" s="130">
        <f>'[3]Air Georgian'!$FC$33</f>
        <v>3196</v>
      </c>
      <c r="K6" s="130">
        <f>'[3]American Eagle'!$FC$23</f>
        <v>416</v>
      </c>
      <c r="L6" s="130">
        <f>'Other Regional'!L6</f>
        <v>66689</v>
      </c>
      <c r="M6" s="115">
        <f>SUM(B6:L6)</f>
        <v>308419</v>
      </c>
    </row>
    <row r="7" spans="1:13" ht="15" thickBot="1" x14ac:dyDescent="0.25">
      <c r="A7" s="73" t="s">
        <v>7</v>
      </c>
      <c r="B7" s="133">
        <f>SUM(B5:B6)</f>
        <v>122227</v>
      </c>
      <c r="C7" s="133">
        <f t="shared" ref="C7:L7" si="0">SUM(C5:C6)</f>
        <v>17625</v>
      </c>
      <c r="D7" s="133">
        <f t="shared" si="0"/>
        <v>280105</v>
      </c>
      <c r="E7" s="133">
        <f t="shared" si="0"/>
        <v>17549</v>
      </c>
      <c r="F7" s="133">
        <f t="shared" ref="F7:G7" si="1">SUM(F5:F6)</f>
        <v>4073</v>
      </c>
      <c r="G7" s="133">
        <f t="shared" si="1"/>
        <v>1089</v>
      </c>
      <c r="H7" s="133">
        <f t="shared" si="0"/>
        <v>22218</v>
      </c>
      <c r="I7" s="133">
        <f t="shared" si="0"/>
        <v>18279</v>
      </c>
      <c r="J7" s="133">
        <f t="shared" si="0"/>
        <v>6905</v>
      </c>
      <c r="K7" s="133">
        <f t="shared" si="0"/>
        <v>845</v>
      </c>
      <c r="L7" s="133">
        <f t="shared" si="0"/>
        <v>134766</v>
      </c>
      <c r="M7" s="134">
        <f>SUM(B7:L7)</f>
        <v>625681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[3]Pinnacle!$FC$27+[3]Pinnacle!$FC$37</f>
        <v>2280</v>
      </c>
      <c r="C10" s="132">
        <f>[3]MESA_UA!$FC$27</f>
        <v>412</v>
      </c>
      <c r="D10" s="130">
        <f>'[3]Sky West'!$FC$27+'[3]Sky West'!$FC$37</f>
        <v>5577</v>
      </c>
      <c r="E10" s="130">
        <f>'[3]Sky West_UA'!$FC$27</f>
        <v>204</v>
      </c>
      <c r="F10" s="130">
        <f>'[3]Sky West_AS'!$FC$27</f>
        <v>74</v>
      </c>
      <c r="G10" s="130">
        <f>'[3]Sky West_AA'!$FC$27</f>
        <v>32</v>
      </c>
      <c r="H10" s="130">
        <f>[3]Republic!$FC$27</f>
        <v>442</v>
      </c>
      <c r="I10" s="130">
        <f>[3]Republic_UA!$FC$27</f>
        <v>412</v>
      </c>
      <c r="J10" s="130">
        <f>'[3]Air Georgian'!$FC$37</f>
        <v>0</v>
      </c>
      <c r="K10" s="130">
        <f>'[3]American Eagle'!$FC$27</f>
        <v>21</v>
      </c>
      <c r="L10" s="130">
        <f>'Other Regional'!L10</f>
        <v>2526</v>
      </c>
      <c r="M10" s="110">
        <f>SUM(B10:L10)</f>
        <v>11980</v>
      </c>
    </row>
    <row r="11" spans="1:13" x14ac:dyDescent="0.2">
      <c r="A11" s="62" t="s">
        <v>33</v>
      </c>
      <c r="B11" s="131">
        <f>[3]Pinnacle!$FC$28+[3]Pinnacle!$FC$38</f>
        <v>2469</v>
      </c>
      <c r="C11" s="132">
        <f>[3]MESA_UA!$FC$28</f>
        <v>417</v>
      </c>
      <c r="D11" s="130">
        <f>'[3]Sky West'!$FC$28+'[3]Sky West'!$FC$38</f>
        <v>5159</v>
      </c>
      <c r="E11" s="130">
        <f>'[3]Sky West_UA'!$FC$28</f>
        <v>222</v>
      </c>
      <c r="F11" s="130">
        <f>'[3]Sky West_AS'!$FC$28</f>
        <v>81</v>
      </c>
      <c r="G11" s="130">
        <f>'[3]Sky West_AA'!$FC$28</f>
        <v>30</v>
      </c>
      <c r="H11" s="130">
        <f>[3]Republic!$FC$28</f>
        <v>488</v>
      </c>
      <c r="I11" s="130">
        <f>[3]Republic_UA!$FC$28</f>
        <v>451</v>
      </c>
      <c r="J11" s="130">
        <f>'[3]Air Georgian'!$FC$38</f>
        <v>0</v>
      </c>
      <c r="K11" s="130">
        <f>'[3]American Eagle'!$FC$28</f>
        <v>28</v>
      </c>
      <c r="L11" s="130">
        <f>'Other Regional'!L11</f>
        <v>2231</v>
      </c>
      <c r="M11" s="115">
        <f>SUM(B11:L11)</f>
        <v>11576</v>
      </c>
    </row>
    <row r="12" spans="1:13" ht="15" thickBot="1" x14ac:dyDescent="0.25">
      <c r="A12" s="74" t="s">
        <v>34</v>
      </c>
      <c r="B12" s="136">
        <f t="shared" ref="B12:L12" si="2">SUM(B10:B11)</f>
        <v>4749</v>
      </c>
      <c r="C12" s="136">
        <f t="shared" si="2"/>
        <v>829</v>
      </c>
      <c r="D12" s="136">
        <f t="shared" si="2"/>
        <v>10736</v>
      </c>
      <c r="E12" s="136">
        <f t="shared" si="2"/>
        <v>426</v>
      </c>
      <c r="F12" s="136">
        <f t="shared" ref="F12:G12" si="3">SUM(F10:F11)</f>
        <v>155</v>
      </c>
      <c r="G12" s="136">
        <f t="shared" si="3"/>
        <v>62</v>
      </c>
      <c r="H12" s="136">
        <f t="shared" si="2"/>
        <v>930</v>
      </c>
      <c r="I12" s="136">
        <f t="shared" si="2"/>
        <v>863</v>
      </c>
      <c r="J12" s="136">
        <f t="shared" si="2"/>
        <v>0</v>
      </c>
      <c r="K12" s="136">
        <f t="shared" si="2"/>
        <v>49</v>
      </c>
      <c r="L12" s="136">
        <f t="shared" si="2"/>
        <v>4757</v>
      </c>
      <c r="M12" s="137">
        <f>SUM(B12:L12)</f>
        <v>23556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[3]Pinnacle!$FC$4+[3]Pinnacle!$FC$15</f>
        <v>1230</v>
      </c>
      <c r="C15" s="108">
        <f>[3]MESA_UA!$FC$4</f>
        <v>153</v>
      </c>
      <c r="D15" s="106">
        <f>'[3]Sky West'!$FC$4+'[3]Sky West'!$FC$15</f>
        <v>3027</v>
      </c>
      <c r="E15" s="106">
        <f>'[3]Sky West_UA'!$FC$4</f>
        <v>140</v>
      </c>
      <c r="F15" s="106">
        <f>'[3]Sky West_AS'!$FC$4</f>
        <v>30</v>
      </c>
      <c r="G15" s="106">
        <f>'[3]Sky West_AA'!$FC$4</f>
        <v>10</v>
      </c>
      <c r="H15" s="109">
        <f>[3]Republic!$FC$4</f>
        <v>211</v>
      </c>
      <c r="I15" s="471">
        <f>[3]Republic_UA!$FC$4</f>
        <v>157</v>
      </c>
      <c r="J15" s="471">
        <f>'[3]Air Georgian'!$FC$15</f>
        <v>85</v>
      </c>
      <c r="K15" s="109">
        <f>'[3]American Eagle'!$FC$4</f>
        <v>8</v>
      </c>
      <c r="L15" s="107">
        <f>'Other Regional'!L15</f>
        <v>1156</v>
      </c>
      <c r="M15" s="110">
        <f t="shared" ref="M15:M21" si="5">SUM(B15:L15)</f>
        <v>6207</v>
      </c>
    </row>
    <row r="16" spans="1:13" x14ac:dyDescent="0.2">
      <c r="A16" s="62" t="s">
        <v>54</v>
      </c>
      <c r="B16" s="14">
        <f>[3]Pinnacle!$FC$5+[3]Pinnacle!$FC$16</f>
        <v>1230</v>
      </c>
      <c r="C16" s="113">
        <f>[3]MESA_UA!$FC$5</f>
        <v>153</v>
      </c>
      <c r="D16" s="111">
        <f>'[3]Sky West'!$FC$5+'[3]Sky West'!$FC$16</f>
        <v>3026</v>
      </c>
      <c r="E16" s="111">
        <f>'[3]Sky West_UA'!$FC$5</f>
        <v>140</v>
      </c>
      <c r="F16" s="111">
        <f>'[3]Sky West_AS'!$FC$5</f>
        <v>30</v>
      </c>
      <c r="G16" s="111">
        <f>'[3]Sky West_AA'!$FC$5</f>
        <v>10</v>
      </c>
      <c r="H16" s="114">
        <f>[3]Republic!$FC$5</f>
        <v>211</v>
      </c>
      <c r="I16" s="297">
        <f>[3]Republic_UA!$FC$5</f>
        <v>157</v>
      </c>
      <c r="J16" s="297">
        <f>'[3]Air Georgian'!$FC$16</f>
        <v>85</v>
      </c>
      <c r="K16" s="114">
        <f>'[3]American Eagle'!$FC$5</f>
        <v>8</v>
      </c>
      <c r="L16" s="112">
        <f>'Other Regional'!L16</f>
        <v>1149</v>
      </c>
      <c r="M16" s="115">
        <f t="shared" si="5"/>
        <v>6199</v>
      </c>
    </row>
    <row r="17" spans="1:13" x14ac:dyDescent="0.2">
      <c r="A17" s="71" t="s">
        <v>55</v>
      </c>
      <c r="B17" s="116">
        <f t="shared" ref="B17:K17" si="6">SUM(B15:B16)</f>
        <v>2460</v>
      </c>
      <c r="C17" s="116">
        <f t="shared" si="6"/>
        <v>306</v>
      </c>
      <c r="D17" s="116">
        <f t="shared" si="6"/>
        <v>6053</v>
      </c>
      <c r="E17" s="116">
        <f t="shared" si="6"/>
        <v>280</v>
      </c>
      <c r="F17" s="116">
        <f t="shared" ref="F17:G17" si="7">SUM(F15:F16)</f>
        <v>60</v>
      </c>
      <c r="G17" s="116">
        <f t="shared" si="7"/>
        <v>20</v>
      </c>
      <c r="H17" s="116">
        <f t="shared" si="6"/>
        <v>422</v>
      </c>
      <c r="I17" s="116">
        <f t="shared" ref="I17:J17" si="8">SUM(I15:I16)</f>
        <v>314</v>
      </c>
      <c r="J17" s="116">
        <f t="shared" si="8"/>
        <v>170</v>
      </c>
      <c r="K17" s="116">
        <f t="shared" si="6"/>
        <v>16</v>
      </c>
      <c r="L17" s="116">
        <f>SUM(L15:L16)</f>
        <v>2305</v>
      </c>
      <c r="M17" s="117">
        <f t="shared" si="5"/>
        <v>12406</v>
      </c>
    </row>
    <row r="18" spans="1:13" x14ac:dyDescent="0.2">
      <c r="A18" s="62" t="s">
        <v>56</v>
      </c>
      <c r="B18" s="118">
        <f>[3]Pinnacle!$FC$8</f>
        <v>0</v>
      </c>
      <c r="C18" s="119">
        <f>[3]MESA_UA!$FC$8</f>
        <v>0</v>
      </c>
      <c r="D18" s="118">
        <f>'[3]Sky West'!$FC$8</f>
        <v>0</v>
      </c>
      <c r="E18" s="118">
        <f>'[3]Sky West_UA'!$FC$8</f>
        <v>0</v>
      </c>
      <c r="F18" s="118">
        <f>'[3]Sky West_AS'!$FC$8</f>
        <v>0</v>
      </c>
      <c r="G18" s="118">
        <f>'[3]Sky West_AA'!$FC$8</f>
        <v>0</v>
      </c>
      <c r="H18" s="118">
        <f>[3]Republic!$FC$8</f>
        <v>0</v>
      </c>
      <c r="I18" s="118">
        <f>[3]Republic_UA!$FC$8</f>
        <v>0</v>
      </c>
      <c r="J18" s="118">
        <f>'[3]Air Georgian'!$FC$8</f>
        <v>0</v>
      </c>
      <c r="K18" s="118">
        <f>'[3]American Eagle'!$FC$8</f>
        <v>0</v>
      </c>
      <c r="L18" s="118">
        <f>'Other Regional'!L18</f>
        <v>0</v>
      </c>
      <c r="M18" s="110">
        <f t="shared" si="5"/>
        <v>0</v>
      </c>
    </row>
    <row r="19" spans="1:13" x14ac:dyDescent="0.2">
      <c r="A19" s="62" t="s">
        <v>57</v>
      </c>
      <c r="B19" s="120">
        <f>[3]Pinnacle!$FC$9</f>
        <v>1</v>
      </c>
      <c r="C19" s="121">
        <f>[3]MESA_UA!$FC$9</f>
        <v>0</v>
      </c>
      <c r="D19" s="120">
        <f>'[3]Sky West'!$FC$9</f>
        <v>1</v>
      </c>
      <c r="E19" s="120">
        <f>'[3]Sky West_UA'!$FC$9</f>
        <v>0</v>
      </c>
      <c r="F19" s="120">
        <f>'[3]Sky West_AS'!$FC$9</f>
        <v>0</v>
      </c>
      <c r="G19" s="120">
        <f>'[3]Sky West_AA'!$FC$9</f>
        <v>0</v>
      </c>
      <c r="H19" s="120">
        <f>[3]Republic!$FC$9</f>
        <v>0</v>
      </c>
      <c r="I19" s="120">
        <f>[3]Republic_UA!$FC$9</f>
        <v>0</v>
      </c>
      <c r="J19" s="120">
        <f>'[3]Air Georgian'!$FC$9</f>
        <v>0</v>
      </c>
      <c r="K19" s="120">
        <f>'[3]American Eagle'!$FC$9</f>
        <v>0</v>
      </c>
      <c r="L19" s="120">
        <f>'Other Regional'!L19</f>
        <v>3</v>
      </c>
      <c r="M19" s="115">
        <f t="shared" si="5"/>
        <v>5</v>
      </c>
    </row>
    <row r="20" spans="1:13" x14ac:dyDescent="0.2">
      <c r="A20" s="71" t="s">
        <v>58</v>
      </c>
      <c r="B20" s="116">
        <f t="shared" ref="B20:L20" si="9">SUM(B18:B19)</f>
        <v>1</v>
      </c>
      <c r="C20" s="116">
        <f t="shared" si="9"/>
        <v>0</v>
      </c>
      <c r="D20" s="116">
        <f t="shared" si="9"/>
        <v>1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3</v>
      </c>
      <c r="M20" s="117">
        <f t="shared" si="5"/>
        <v>5</v>
      </c>
    </row>
    <row r="21" spans="1:13" ht="15.75" thickBot="1" x14ac:dyDescent="0.3">
      <c r="A21" s="72" t="s">
        <v>28</v>
      </c>
      <c r="B21" s="122">
        <f t="shared" ref="B21:K21" si="11">SUM(B20,B17)</f>
        <v>2461</v>
      </c>
      <c r="C21" s="122">
        <f t="shared" si="11"/>
        <v>306</v>
      </c>
      <c r="D21" s="122">
        <f t="shared" si="11"/>
        <v>6054</v>
      </c>
      <c r="E21" s="122">
        <f t="shared" si="11"/>
        <v>280</v>
      </c>
      <c r="F21" s="122">
        <f t="shared" ref="F21:G21" si="12">SUM(F20,F17)</f>
        <v>60</v>
      </c>
      <c r="G21" s="122">
        <f t="shared" si="12"/>
        <v>20</v>
      </c>
      <c r="H21" s="122">
        <f t="shared" si="11"/>
        <v>422</v>
      </c>
      <c r="I21" s="122">
        <f t="shared" si="11"/>
        <v>314</v>
      </c>
      <c r="J21" s="122">
        <f t="shared" si="11"/>
        <v>170</v>
      </c>
      <c r="K21" s="122">
        <f t="shared" si="11"/>
        <v>16</v>
      </c>
      <c r="L21" s="122">
        <f>SUM(L20,L17)</f>
        <v>2308</v>
      </c>
      <c r="M21" s="123">
        <f t="shared" si="5"/>
        <v>12411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[3]Pinnacle!$FC$47</f>
        <v>0</v>
      </c>
      <c r="C25" s="132">
        <f>[3]MESA_UA!$FC$47</f>
        <v>0</v>
      </c>
      <c r="D25" s="130">
        <f>'[3]Sky West'!$FC$47</f>
        <v>0</v>
      </c>
      <c r="E25" s="130">
        <f>'[3]Sky West_UA'!$FC$47</f>
        <v>0</v>
      </c>
      <c r="F25" s="130">
        <f>'[3]Sky West_AS'!$FC$47</f>
        <v>1405</v>
      </c>
      <c r="G25" s="130">
        <f>'[3]Sky West_AA'!$FC$47</f>
        <v>0</v>
      </c>
      <c r="H25" s="130">
        <f>[3]Republic!$FC$47</f>
        <v>0</v>
      </c>
      <c r="I25" s="130">
        <f>[3]Republic_UA!$FC$47</f>
        <v>0</v>
      </c>
      <c r="J25" s="130">
        <f>'[3]Air Georgian'!$FC$47</f>
        <v>0</v>
      </c>
      <c r="K25" s="130">
        <f>'[3]American Eagle'!$FC$47</f>
        <v>2</v>
      </c>
      <c r="L25" s="130">
        <f>'Other Regional'!L25</f>
        <v>0</v>
      </c>
      <c r="M25" s="110">
        <f>SUM(B25:L25)</f>
        <v>1407</v>
      </c>
    </row>
    <row r="26" spans="1:13" x14ac:dyDescent="0.2">
      <c r="A26" s="75" t="s">
        <v>38</v>
      </c>
      <c r="B26" s="130">
        <f>[3]Pinnacle!$FC$48</f>
        <v>0</v>
      </c>
      <c r="C26" s="132">
        <f>[3]MESA_UA!$FC$48</f>
        <v>0</v>
      </c>
      <c r="D26" s="130">
        <f>'[3]Sky West'!$FC$48</f>
        <v>0</v>
      </c>
      <c r="E26" s="130">
        <f>'[3]Sky West_UA'!$FC$48</f>
        <v>0</v>
      </c>
      <c r="F26" s="130">
        <f>'[3]Sky West_AS'!$FC$48</f>
        <v>3154</v>
      </c>
      <c r="G26" s="130">
        <f>'[3]Sky West_AA'!$FC$48</f>
        <v>0</v>
      </c>
      <c r="H26" s="130">
        <f>[3]Republic!$FC$48</f>
        <v>0</v>
      </c>
      <c r="I26" s="130">
        <f>[3]Republic_UA!$FC$48</f>
        <v>0</v>
      </c>
      <c r="J26" s="130">
        <f>'[3]Air Georgian'!$FC$48</f>
        <v>0</v>
      </c>
      <c r="K26" s="130">
        <f>'[3]American Eagle'!$FC$48</f>
        <v>0</v>
      </c>
      <c r="L26" s="130">
        <f>'Other Regional'!L26</f>
        <v>0</v>
      </c>
      <c r="M26" s="110">
        <f>SUM(B26:L26)</f>
        <v>3154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4559</v>
      </c>
      <c r="G27" s="133">
        <f t="shared" si="14"/>
        <v>0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2</v>
      </c>
      <c r="L27" s="133">
        <f t="shared" si="13"/>
        <v>0</v>
      </c>
      <c r="M27" s="134">
        <f>SUM(B27:L27)</f>
        <v>4561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[3]Pinnacle!$FC$52</f>
        <v>0</v>
      </c>
      <c r="C30" s="132">
        <f>[3]MESA_UA!$FC$52</f>
        <v>0</v>
      </c>
      <c r="D30" s="130">
        <f>'[3]Sky West'!$FC$52</f>
        <v>0</v>
      </c>
      <c r="E30" s="130">
        <f>'[3]Sky West_UA'!$FC$52</f>
        <v>0</v>
      </c>
      <c r="F30" s="130">
        <f>'[3]Sky West_AS'!$FC$52</f>
        <v>0</v>
      </c>
      <c r="G30" s="130">
        <f>'[3]Sky West_AA'!$FC$52</f>
        <v>0</v>
      </c>
      <c r="H30" s="130">
        <f>[3]Republic!$FC$52</f>
        <v>0</v>
      </c>
      <c r="I30" s="130">
        <f>[3]Republic_UA!$FC$52</f>
        <v>0</v>
      </c>
      <c r="J30" s="130">
        <f>'[3]Air Georgian'!$FC$52</f>
        <v>0</v>
      </c>
      <c r="K30" s="130">
        <f>'[3]American Eagle'!$FC$52</f>
        <v>0</v>
      </c>
      <c r="L30" s="130">
        <f>'Other Regional'!L30</f>
        <v>0</v>
      </c>
      <c r="M30" s="110">
        <f t="shared" ref="M30:M37" si="15">SUM(B30:L30)</f>
        <v>0</v>
      </c>
    </row>
    <row r="31" spans="1:13" x14ac:dyDescent="0.2">
      <c r="A31" s="75" t="s">
        <v>60</v>
      </c>
      <c r="B31" s="130">
        <f>[3]Pinnacle!$FC$53</f>
        <v>0</v>
      </c>
      <c r="C31" s="132">
        <f>[3]MESA_UA!$FC$53</f>
        <v>0</v>
      </c>
      <c r="D31" s="130">
        <f>'[3]Sky West'!$FC$53</f>
        <v>0</v>
      </c>
      <c r="E31" s="130">
        <f>'[3]Sky West_UA'!$FC$53</f>
        <v>0</v>
      </c>
      <c r="F31" s="130">
        <f>'[3]Sky West_AS'!$FC$53</f>
        <v>641</v>
      </c>
      <c r="G31" s="130">
        <f>'[3]Sky West_AA'!$FC$53</f>
        <v>0</v>
      </c>
      <c r="H31" s="130">
        <f>[3]Republic!$FC$53</f>
        <v>0</v>
      </c>
      <c r="I31" s="130">
        <f>[3]Republic_UA!$FC$53</f>
        <v>0</v>
      </c>
      <c r="J31" s="130">
        <f>'[3]Air Georgian'!$FC$53</f>
        <v>0</v>
      </c>
      <c r="K31" s="130">
        <f>'[3]American Eagle'!$FC$53</f>
        <v>0</v>
      </c>
      <c r="L31" s="130">
        <f>'Other Regional'!L31</f>
        <v>0</v>
      </c>
      <c r="M31" s="110">
        <f t="shared" si="15"/>
        <v>641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641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0</v>
      </c>
      <c r="M32" s="134">
        <f t="shared" si="15"/>
        <v>641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[3]Pinnacle!$FC$57</f>
        <v>0</v>
      </c>
      <c r="C35" s="132">
        <f>[3]MESA_UA!$FC$57</f>
        <v>0</v>
      </c>
      <c r="D35" s="130">
        <f>'[3]Sky West'!$FC$57</f>
        <v>0</v>
      </c>
      <c r="E35" s="130">
        <f>'[3]Sky West_UA'!$FC$57</f>
        <v>0</v>
      </c>
      <c r="F35" s="130">
        <f>'[3]Sky West_AS'!$FC$57</f>
        <v>0</v>
      </c>
      <c r="G35" s="130">
        <f>'[3]Sky West_AA'!$FC$57</f>
        <v>0</v>
      </c>
      <c r="H35" s="130">
        <f>[3]Republic!$FC$57</f>
        <v>0</v>
      </c>
      <c r="I35" s="130">
        <f>[3]Republic!$FC$57</f>
        <v>0</v>
      </c>
      <c r="J35" s="130">
        <f>[3]Republic!$FC$57</f>
        <v>0</v>
      </c>
      <c r="K35" s="130">
        <f>'[3]American Eagle'!$FC$57</f>
        <v>0</v>
      </c>
      <c r="L35" s="130">
        <f>'Other Regional'!L35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[3]Pinnacle!$FC$58</f>
        <v>0</v>
      </c>
      <c r="C36" s="132">
        <f>[3]MESA_UA!$FC$58</f>
        <v>0</v>
      </c>
      <c r="D36" s="130">
        <f>'[3]Sky West'!$FC$58</f>
        <v>0</v>
      </c>
      <c r="E36" s="130">
        <f>'[3]Sky West_UA'!$FC$58</f>
        <v>0</v>
      </c>
      <c r="F36" s="130">
        <f>'[3]Sky West_AS'!$FC$58</f>
        <v>0</v>
      </c>
      <c r="G36" s="130">
        <f>'[3]Sky West_AA'!$FC$58</f>
        <v>0</v>
      </c>
      <c r="H36" s="130">
        <f>[3]Republic!$FC$58</f>
        <v>0</v>
      </c>
      <c r="I36" s="130">
        <f>[3]Republic!$FC$58</f>
        <v>0</v>
      </c>
      <c r="J36" s="130">
        <f>[3]Republic!$FC$58</f>
        <v>0</v>
      </c>
      <c r="K36" s="130">
        <f>'[3]American Eagle'!$FC$58</f>
        <v>0</v>
      </c>
      <c r="L36" s="130">
        <f>'Other Regional'!L36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1405</v>
      </c>
      <c r="G40" s="130">
        <f t="shared" ref="G40" si="22">SUM(G35,G30,G25)</f>
        <v>0</v>
      </c>
      <c r="H40" s="130">
        <f t="shared" si="20"/>
        <v>0</v>
      </c>
      <c r="I40" s="130">
        <f t="shared" si="20"/>
        <v>0</v>
      </c>
      <c r="J40" s="130">
        <f t="shared" si="20"/>
        <v>0</v>
      </c>
      <c r="K40" s="130">
        <f>SUM(K35,K30,K25)</f>
        <v>2</v>
      </c>
      <c r="L40" s="130">
        <f>L35+L30+L25</f>
        <v>0</v>
      </c>
      <c r="M40" s="110">
        <f>SUM(B40:L40)</f>
        <v>1407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3795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3795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5200</v>
      </c>
      <c r="G42" s="136">
        <f t="shared" ref="G42" si="24">SUM(G37,G32,G27)</f>
        <v>0</v>
      </c>
      <c r="H42" s="136">
        <f t="shared" si="20"/>
        <v>0</v>
      </c>
      <c r="I42" s="136">
        <f t="shared" si="20"/>
        <v>0</v>
      </c>
      <c r="J42" s="136">
        <f t="shared" si="20"/>
        <v>0</v>
      </c>
      <c r="K42" s="136">
        <f>SUM(K37,K32,K27)</f>
        <v>2</v>
      </c>
      <c r="L42" s="136">
        <f>SUM(L37,L32,L27)</f>
        <v>0</v>
      </c>
      <c r="M42" s="137">
        <f>SUM(B42:L42)</f>
        <v>5202</v>
      </c>
    </row>
    <row r="44" spans="1:13" x14ac:dyDescent="0.2">
      <c r="A44" s="381" t="s">
        <v>124</v>
      </c>
      <c r="B44" s="321">
        <f>[3]Pinnacle!$FC$70+[3]Pinnacle!$FC$73</f>
        <v>19615</v>
      </c>
      <c r="D44" s="322">
        <f>'[3]Sky West'!$FC$70+'[3]Sky West'!$FC$73</f>
        <v>40379</v>
      </c>
      <c r="E44" s="5"/>
      <c r="F44" s="5"/>
      <c r="G44" s="5"/>
      <c r="L44" s="322">
        <f>+'Other Regional'!L46</f>
        <v>28920</v>
      </c>
      <c r="M44" s="310">
        <f>SUM(B44:L44)</f>
        <v>88914</v>
      </c>
    </row>
    <row r="45" spans="1:13" x14ac:dyDescent="0.2">
      <c r="A45" s="395" t="s">
        <v>125</v>
      </c>
      <c r="B45" s="321">
        <f>[3]Pinnacle!$FC$71+[3]Pinnacle!$FC$74</f>
        <v>40551</v>
      </c>
      <c r="D45" s="322">
        <f>'[3]Sky West'!$FC$71+'[3]Sky West'!$FC$74</f>
        <v>98859</v>
      </c>
      <c r="E45" s="5"/>
      <c r="F45" s="5"/>
      <c r="G45" s="5"/>
      <c r="L45" s="322">
        <f>+'Other Regional'!L47</f>
        <v>36481</v>
      </c>
      <c r="M45" s="310">
        <f>SUM(B45:L45)</f>
        <v>175891</v>
      </c>
    </row>
    <row r="46" spans="1:13" x14ac:dyDescent="0.2">
      <c r="A46" s="312" t="s">
        <v>126</v>
      </c>
      <c r="B46" s="313">
        <f>SUM(B44:B45)</f>
        <v>60166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April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H23" sqref="H2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1"/>
    </row>
    <row r="2" spans="1:12" s="7" customFormat="1" ht="55.5" customHeight="1" thickBot="1" x14ac:dyDescent="0.25">
      <c r="A2" s="384">
        <v>42826</v>
      </c>
      <c r="B2" s="445" t="s">
        <v>187</v>
      </c>
      <c r="C2" s="445" t="s">
        <v>186</v>
      </c>
      <c r="D2" s="445" t="s">
        <v>209</v>
      </c>
      <c r="E2" s="445" t="s">
        <v>169</v>
      </c>
      <c r="F2" s="445" t="s">
        <v>192</v>
      </c>
      <c r="G2" s="445" t="s">
        <v>191</v>
      </c>
      <c r="H2" s="445" t="s">
        <v>164</v>
      </c>
      <c r="I2" s="445" t="s">
        <v>168</v>
      </c>
      <c r="J2" s="445" t="s">
        <v>193</v>
      </c>
      <c r="K2" s="445" t="s">
        <v>190</v>
      </c>
      <c r="L2" s="291" t="s">
        <v>21</v>
      </c>
    </row>
    <row r="3" spans="1:12" ht="15.75" thickTop="1" x14ac:dyDescent="0.25">
      <c r="A3" s="279" t="s">
        <v>3</v>
      </c>
      <c r="B3" s="407"/>
      <c r="C3" s="407"/>
      <c r="D3" s="407"/>
      <c r="E3" s="407"/>
      <c r="F3" s="408"/>
      <c r="G3" s="408"/>
      <c r="H3" s="408"/>
      <c r="I3" s="408"/>
      <c r="J3" s="408"/>
      <c r="K3" s="407"/>
      <c r="L3" s="127"/>
    </row>
    <row r="4" spans="1:12" x14ac:dyDescent="0.2">
      <c r="A4" s="62" t="s">
        <v>29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30</v>
      </c>
      <c r="B5" s="131">
        <f>'[3]Shuttle America'!$FC$22</f>
        <v>0</v>
      </c>
      <c r="C5" s="131">
        <f>'[3]Shuttle America_Delta'!$FC$22</f>
        <v>139</v>
      </c>
      <c r="D5" s="472">
        <f>[3]PSA!$FC$22</f>
        <v>882</v>
      </c>
      <c r="E5" s="21">
        <f>[3]Compass!$FC$22+[3]Compass!$FC$32</f>
        <v>26105</v>
      </c>
      <c r="F5" s="131">
        <f>'[3]Atlantic Southeast'!$FC$22+'[3]Atlantic Southeast'!$FC$32</f>
        <v>28464</v>
      </c>
      <c r="G5" s="131">
        <f>'[3]Continental Express'!$FC$22</f>
        <v>423</v>
      </c>
      <c r="H5" s="130">
        <f>'[3]Go Jet_UA'!$FC$22</f>
        <v>65</v>
      </c>
      <c r="I5" s="21">
        <f>'[3]Go Jet'!$FC$22+'[3]Go Jet'!$FC$32</f>
        <v>11999</v>
      </c>
      <c r="J5" s="132">
        <f>'[3]Air Wisconsin'!$FC$22</f>
        <v>0</v>
      </c>
      <c r="K5" s="130">
        <f>[3]MESA!$FC$22</f>
        <v>0</v>
      </c>
      <c r="L5" s="110">
        <f>SUM(B5:K5)</f>
        <v>68077</v>
      </c>
    </row>
    <row r="6" spans="1:12" s="10" customFormat="1" x14ac:dyDescent="0.2">
      <c r="A6" s="62" t="s">
        <v>31</v>
      </c>
      <c r="B6" s="131">
        <f>'[3]Shuttle America'!$FC$23</f>
        <v>0</v>
      </c>
      <c r="C6" s="131">
        <f>'[3]Shuttle America_Delta'!$FC$23</f>
        <v>114</v>
      </c>
      <c r="D6" s="472">
        <f>[3]PSA!$FC$23</f>
        <v>793</v>
      </c>
      <c r="E6" s="14">
        <f>[3]Compass!$FC$23+[3]Compass!$FC$33</f>
        <v>25905</v>
      </c>
      <c r="F6" s="131">
        <f>'[3]Atlantic Southeast'!$FC$23+'[3]Atlantic Southeast'!$FC$33</f>
        <v>27821</v>
      </c>
      <c r="G6" s="131">
        <f>'[3]Continental Express'!$FC$23</f>
        <v>427</v>
      </c>
      <c r="H6" s="130">
        <f>'[3]Go Jet_UA'!$FC$23</f>
        <v>68</v>
      </c>
      <c r="I6" s="14">
        <f>'[3]Go Jet'!$FC$23+'[3]Go Jet'!$FC$33</f>
        <v>11561</v>
      </c>
      <c r="J6" s="132">
        <f>'[3]Air Wisconsin'!$FC$23</f>
        <v>0</v>
      </c>
      <c r="K6" s="130">
        <f>[3]MESA!$FC$23</f>
        <v>0</v>
      </c>
      <c r="L6" s="115">
        <f>SUM(B6:K6)</f>
        <v>66689</v>
      </c>
    </row>
    <row r="7" spans="1:12" ht="15" thickBot="1" x14ac:dyDescent="0.25">
      <c r="A7" s="73" t="s">
        <v>7</v>
      </c>
      <c r="B7" s="133">
        <f t="shared" ref="B7:K7" si="0">SUM(B5:B6)</f>
        <v>0</v>
      </c>
      <c r="C7" s="133">
        <f t="shared" si="0"/>
        <v>253</v>
      </c>
      <c r="D7" s="133">
        <f t="shared" si="0"/>
        <v>1675</v>
      </c>
      <c r="E7" s="133">
        <f>SUM(E5:E6)</f>
        <v>52010</v>
      </c>
      <c r="F7" s="133">
        <f t="shared" si="0"/>
        <v>56285</v>
      </c>
      <c r="G7" s="133">
        <f t="shared" si="0"/>
        <v>850</v>
      </c>
      <c r="H7" s="133">
        <f t="shared" si="0"/>
        <v>133</v>
      </c>
      <c r="I7" s="133">
        <f>SUM(I5:I6)</f>
        <v>23560</v>
      </c>
      <c r="J7" s="133">
        <f t="shared" si="0"/>
        <v>0</v>
      </c>
      <c r="K7" s="133">
        <f t="shared" si="0"/>
        <v>0</v>
      </c>
      <c r="L7" s="134">
        <f>SUM(B7:K7)</f>
        <v>134766</v>
      </c>
    </row>
    <row r="8" spans="1:12" ht="13.5" thickTop="1" x14ac:dyDescent="0.2">
      <c r="A8" s="62"/>
      <c r="B8" s="131"/>
      <c r="C8" s="131"/>
      <c r="D8" s="472"/>
      <c r="E8" s="344"/>
      <c r="F8" s="131"/>
      <c r="G8" s="131"/>
      <c r="H8" s="130"/>
      <c r="I8" s="344"/>
      <c r="J8" s="132"/>
      <c r="K8" s="130"/>
      <c r="L8" s="135"/>
    </row>
    <row r="9" spans="1:12" s="10" customFormat="1" x14ac:dyDescent="0.2">
      <c r="A9" s="62" t="s">
        <v>32</v>
      </c>
      <c r="B9" s="131"/>
      <c r="C9" s="131"/>
      <c r="D9" s="472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30</v>
      </c>
      <c r="B10" s="131">
        <f>'[3]Shuttle America'!$FC$27</f>
        <v>0</v>
      </c>
      <c r="C10" s="131">
        <f>'[3]Shuttle America_Delta'!$FC$27</f>
        <v>6</v>
      </c>
      <c r="D10" s="472">
        <f>[3]PSA!$FC$27</f>
        <v>36</v>
      </c>
      <c r="E10" s="21">
        <f>[3]Compass!$FC$27+[3]Compass!$FC$37</f>
        <v>1095</v>
      </c>
      <c r="F10" s="21">
        <f>'[3]Atlantic Southeast'!$FC$27+'[3]Atlantic Southeast'!$FC$37</f>
        <v>912</v>
      </c>
      <c r="G10" s="131">
        <f>'[3]Continental Express'!$FC$27</f>
        <v>15</v>
      </c>
      <c r="H10" s="130">
        <f>'[3]Go Jet_UA'!$FC$27</f>
        <v>1</v>
      </c>
      <c r="I10" s="21">
        <f>'[3]Go Jet'!$FC$27+'[3]Go Jet'!$FC$37</f>
        <v>461</v>
      </c>
      <c r="J10" s="132">
        <f>'[3]Air Wisconsin'!$FC$27</f>
        <v>0</v>
      </c>
      <c r="K10" s="130">
        <f>[3]MESA!$FC$27</f>
        <v>0</v>
      </c>
      <c r="L10" s="110">
        <f>SUM(B10:K10)</f>
        <v>2526</v>
      </c>
    </row>
    <row r="11" spans="1:12" x14ac:dyDescent="0.2">
      <c r="A11" s="62" t="s">
        <v>33</v>
      </c>
      <c r="B11" s="131">
        <f>'[3]Shuttle America'!$FC$28</f>
        <v>0</v>
      </c>
      <c r="C11" s="131">
        <f>'[3]Shuttle America_Delta'!$FC$28</f>
        <v>2</v>
      </c>
      <c r="D11" s="472">
        <f>[3]PSA!$FC$28</f>
        <v>16</v>
      </c>
      <c r="E11" s="14">
        <f>[3]Compass!$FC$28+[3]Compass!$FC$38</f>
        <v>977</v>
      </c>
      <c r="F11" s="14">
        <f>'[3]Atlantic Southeast'!$FC$28+'[3]Atlantic Southeast'!$FC$38</f>
        <v>827</v>
      </c>
      <c r="G11" s="131">
        <f>'[3]Continental Express'!$FC$28</f>
        <v>5</v>
      </c>
      <c r="H11" s="130">
        <f>'[3]Go Jet_UA'!$FC$28</f>
        <v>1</v>
      </c>
      <c r="I11" s="14">
        <f>'[3]Go Jet'!$FC$28+'[3]Go Jet'!$FC$38</f>
        <v>403</v>
      </c>
      <c r="J11" s="132">
        <f>'[3]Air Wisconsin'!$FC$28</f>
        <v>0</v>
      </c>
      <c r="K11" s="130">
        <f>[3]MESA!$FC$28</f>
        <v>0</v>
      </c>
      <c r="L11" s="115">
        <f>SUM(B11:K11)</f>
        <v>2231</v>
      </c>
    </row>
    <row r="12" spans="1:12" ht="15" thickBot="1" x14ac:dyDescent="0.25">
      <c r="A12" s="74" t="s">
        <v>34</v>
      </c>
      <c r="B12" s="136">
        <f>SUM(B10:B11)</f>
        <v>0</v>
      </c>
      <c r="C12" s="136">
        <f>SUM(C10:C11)</f>
        <v>8</v>
      </c>
      <c r="D12" s="136">
        <f t="shared" ref="D12" si="1">SUM(D10:D11)</f>
        <v>52</v>
      </c>
      <c r="E12" s="136">
        <f t="shared" ref="E12:K12" si="2">SUM(E10:E11)</f>
        <v>2072</v>
      </c>
      <c r="F12" s="136">
        <f t="shared" si="2"/>
        <v>1739</v>
      </c>
      <c r="G12" s="136">
        <f t="shared" si="2"/>
        <v>20</v>
      </c>
      <c r="H12" s="136">
        <f t="shared" si="2"/>
        <v>2</v>
      </c>
      <c r="I12" s="136">
        <f t="shared" ref="I12" si="3">SUM(I10:I11)</f>
        <v>864</v>
      </c>
      <c r="J12" s="136">
        <f t="shared" si="2"/>
        <v>0</v>
      </c>
      <c r="K12" s="136">
        <f t="shared" si="2"/>
        <v>0</v>
      </c>
      <c r="L12" s="137">
        <f>SUM(B12:K12)</f>
        <v>4757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53</v>
      </c>
      <c r="B15" s="106">
        <f>'[3]Shuttle America'!$FC$4</f>
        <v>0</v>
      </c>
      <c r="C15" s="106">
        <f>'[3]Shuttle America_Delta'!$FC$4</f>
        <v>2</v>
      </c>
      <c r="D15" s="473">
        <f>[3]PSA!$FC$4</f>
        <v>18</v>
      </c>
      <c r="E15" s="21">
        <f>[3]Compass!$FC$4+[3]Compass!$FC$15</f>
        <v>426</v>
      </c>
      <c r="F15" s="107">
        <f>'[3]Atlantic Southeast'!$FC$4+'[3]Atlantic Southeast'!$FC$15</f>
        <v>486</v>
      </c>
      <c r="G15" s="107">
        <f>'[3]Continental Express'!$FC$4</f>
        <v>10</v>
      </c>
      <c r="H15" s="106">
        <f>'[3]Go Jet_UA'!$FC$4</f>
        <v>1</v>
      </c>
      <c r="I15" s="21">
        <f>'[3]Go Jet'!$FC$4+'[3]Go Jet'!$FC$15</f>
        <v>213</v>
      </c>
      <c r="J15" s="108">
        <f>'[3]Air Wisconsin'!$FC$4</f>
        <v>0</v>
      </c>
      <c r="K15" s="106">
        <f>[3]MESA!$FC$4</f>
        <v>0</v>
      </c>
      <c r="L15" s="110">
        <f t="shared" ref="L15:L21" si="4">SUM(B15:K15)</f>
        <v>1156</v>
      </c>
    </row>
    <row r="16" spans="1:12" x14ac:dyDescent="0.2">
      <c r="A16" s="62" t="s">
        <v>54</v>
      </c>
      <c r="B16" s="111">
        <f>'[3]Shuttle America'!$FC$5</f>
        <v>0</v>
      </c>
      <c r="C16" s="111">
        <f>'[3]Shuttle America_Delta'!$FC$5</f>
        <v>2</v>
      </c>
      <c r="D16" s="474">
        <f>[3]PSA!$FC$5</f>
        <v>18</v>
      </c>
      <c r="E16" s="14">
        <f>[3]Compass!$FC$5+[3]Compass!$FC$16</f>
        <v>423</v>
      </c>
      <c r="F16" s="112">
        <f>'[3]Atlantic Southeast'!$FC$5+'[3]Atlantic Southeast'!$FC$16</f>
        <v>484</v>
      </c>
      <c r="G16" s="112">
        <f>'[3]Continental Express'!$FC$5</f>
        <v>10</v>
      </c>
      <c r="H16" s="111">
        <f>'[3]Go Jet_UA'!$FC$5</f>
        <v>1</v>
      </c>
      <c r="I16" s="14">
        <f>'[3]Go Jet'!$FC$5+'[3]Go Jet'!$FC$16</f>
        <v>211</v>
      </c>
      <c r="J16" s="113">
        <f>'[3]Air Wisconsin'!$FC$5</f>
        <v>0</v>
      </c>
      <c r="K16" s="111">
        <f>[3]MESA!$FC$5</f>
        <v>0</v>
      </c>
      <c r="L16" s="115">
        <f t="shared" si="4"/>
        <v>1149</v>
      </c>
    </row>
    <row r="17" spans="1:12" x14ac:dyDescent="0.2">
      <c r="A17" s="71" t="s">
        <v>55</v>
      </c>
      <c r="B17" s="116">
        <f>SUM(B15:B16)</f>
        <v>0</v>
      </c>
      <c r="C17" s="116">
        <f>SUM(C15:C16)</f>
        <v>4</v>
      </c>
      <c r="D17" s="116">
        <f t="shared" ref="D17" si="5">SUM(D15:D16)</f>
        <v>36</v>
      </c>
      <c r="E17" s="286">
        <f>SUM(E15:E16)</f>
        <v>849</v>
      </c>
      <c r="F17" s="116">
        <f t="shared" ref="F17:K17" si="6">SUM(F15:F16)</f>
        <v>970</v>
      </c>
      <c r="G17" s="116">
        <f t="shared" si="6"/>
        <v>20</v>
      </c>
      <c r="H17" s="116">
        <f t="shared" si="6"/>
        <v>2</v>
      </c>
      <c r="I17" s="286">
        <f>SUM(I15:I16)</f>
        <v>424</v>
      </c>
      <c r="J17" s="116">
        <f t="shared" si="6"/>
        <v>0</v>
      </c>
      <c r="K17" s="116">
        <f t="shared" si="6"/>
        <v>0</v>
      </c>
      <c r="L17" s="117">
        <f t="shared" si="4"/>
        <v>2305</v>
      </c>
    </row>
    <row r="18" spans="1:12" x14ac:dyDescent="0.2">
      <c r="A18" s="62" t="s">
        <v>56</v>
      </c>
      <c r="B18" s="118">
        <f>'[3]Shuttle America'!$FC$8</f>
        <v>0</v>
      </c>
      <c r="C18" s="118">
        <f>'[3]Shuttle America_Delta'!$FC$8</f>
        <v>0</v>
      </c>
      <c r="D18" s="118">
        <f>[3]PSA!$FC$8</f>
        <v>0</v>
      </c>
      <c r="E18" s="21">
        <f>[3]Compass!$FC$8</f>
        <v>0</v>
      </c>
      <c r="F18" s="109">
        <f>'[3]Atlantic Southeast'!$FC$8</f>
        <v>0</v>
      </c>
      <c r="G18" s="109">
        <f>'[3]Continental Express'!$FC$8</f>
        <v>0</v>
      </c>
      <c r="H18" s="118">
        <f>'[3]Go Jet_UA'!$FC$8</f>
        <v>0</v>
      </c>
      <c r="I18" s="21">
        <f>'[3]Go Jet'!$FC$8</f>
        <v>0</v>
      </c>
      <c r="J18" s="119">
        <f>'[3]Air Wisconsin'!$FC$8</f>
        <v>0</v>
      </c>
      <c r="K18" s="118">
        <f>[3]MESA!$FC$8</f>
        <v>0</v>
      </c>
      <c r="L18" s="110">
        <f t="shared" si="4"/>
        <v>0</v>
      </c>
    </row>
    <row r="19" spans="1:12" x14ac:dyDescent="0.2">
      <c r="A19" s="62" t="s">
        <v>57</v>
      </c>
      <c r="B19" s="120">
        <f>'[3]Shuttle America'!$FC$9</f>
        <v>0</v>
      </c>
      <c r="C19" s="120">
        <f>'[3]Shuttle America_Delta'!$FC$9</f>
        <v>0</v>
      </c>
      <c r="D19" s="120">
        <f>[3]PSA!$FC$9</f>
        <v>0</v>
      </c>
      <c r="E19" s="14">
        <f>[3]Compass!$FC$9</f>
        <v>2</v>
      </c>
      <c r="F19" s="114">
        <f>'[3]Atlantic Southeast'!$FC$9</f>
        <v>1</v>
      </c>
      <c r="G19" s="114">
        <f>'[3]Continental Express'!$FC$9</f>
        <v>0</v>
      </c>
      <c r="H19" s="120">
        <f>'[3]Go Jet_UA'!$FC$9</f>
        <v>0</v>
      </c>
      <c r="I19" s="14">
        <f>'[3]Go Jet'!$FC$9</f>
        <v>0</v>
      </c>
      <c r="J19" s="121">
        <f>'[3]Air Wisconsin'!$FC$9</f>
        <v>0</v>
      </c>
      <c r="K19" s="120">
        <f>[3]MESA!$FC$9</f>
        <v>0</v>
      </c>
      <c r="L19" s="115">
        <f t="shared" si="4"/>
        <v>3</v>
      </c>
    </row>
    <row r="20" spans="1:12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" si="7">SUM(D18:D19)</f>
        <v>0</v>
      </c>
      <c r="E20" s="286">
        <f>SUM(E18:E19)</f>
        <v>2</v>
      </c>
      <c r="F20" s="116">
        <f t="shared" ref="F20:K20" si="8">SUM(F18:F19)</f>
        <v>1</v>
      </c>
      <c r="G20" s="116">
        <f t="shared" si="8"/>
        <v>0</v>
      </c>
      <c r="H20" s="116">
        <f t="shared" si="8"/>
        <v>0</v>
      </c>
      <c r="I20" s="286">
        <f>SUM(I18:I19)</f>
        <v>0</v>
      </c>
      <c r="J20" s="116">
        <f t="shared" si="8"/>
        <v>0</v>
      </c>
      <c r="K20" s="116">
        <f t="shared" si="8"/>
        <v>0</v>
      </c>
      <c r="L20" s="117">
        <f t="shared" si="4"/>
        <v>3</v>
      </c>
    </row>
    <row r="21" spans="1:12" ht="15.75" thickBot="1" x14ac:dyDescent="0.3">
      <c r="A21" s="72" t="s">
        <v>28</v>
      </c>
      <c r="B21" s="122">
        <f>SUM(B20,B17)</f>
        <v>0</v>
      </c>
      <c r="C21" s="122">
        <f>SUM(C20,C17)</f>
        <v>4</v>
      </c>
      <c r="D21" s="122">
        <f t="shared" ref="D21" si="9">SUM(D20,D17)</f>
        <v>36</v>
      </c>
      <c r="E21" s="122">
        <f t="shared" ref="E21:K21" si="10">SUM(E20,E17)</f>
        <v>851</v>
      </c>
      <c r="F21" s="122">
        <f t="shared" si="10"/>
        <v>971</v>
      </c>
      <c r="G21" s="122">
        <f t="shared" si="10"/>
        <v>20</v>
      </c>
      <c r="H21" s="122">
        <f t="shared" si="10"/>
        <v>2</v>
      </c>
      <c r="I21" s="122">
        <f t="shared" ref="I21" si="11">SUM(I20,I17)</f>
        <v>424</v>
      </c>
      <c r="J21" s="122">
        <f t="shared" si="10"/>
        <v>0</v>
      </c>
      <c r="K21" s="122">
        <f t="shared" si="10"/>
        <v>0</v>
      </c>
      <c r="L21" s="123">
        <f t="shared" si="4"/>
        <v>2308</v>
      </c>
    </row>
    <row r="22" spans="1:12" ht="3.75" customHeight="1" thickBot="1" x14ac:dyDescent="0.25"/>
    <row r="23" spans="1:12" ht="15.75" thickTop="1" x14ac:dyDescent="0.25">
      <c r="A23" s="65" t="s">
        <v>117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36</v>
      </c>
      <c r="B24" s="130"/>
      <c r="C24" s="130"/>
      <c r="D24" s="130"/>
      <c r="F24" s="131"/>
      <c r="G24" s="131"/>
      <c r="H24" s="130"/>
      <c r="J24" s="132"/>
      <c r="K24" s="130"/>
      <c r="L24" s="110"/>
    </row>
    <row r="25" spans="1:12" x14ac:dyDescent="0.2">
      <c r="A25" s="75" t="s">
        <v>37</v>
      </c>
      <c r="B25" s="130">
        <f>'[3]Shuttle America'!$FC$47</f>
        <v>0</v>
      </c>
      <c r="C25" s="130">
        <f>'[3]Shuttle America_Delta'!$FC$47</f>
        <v>0</v>
      </c>
      <c r="D25" s="130">
        <f>[3]PSA!$FC$47</f>
        <v>0</v>
      </c>
      <c r="E25" s="130">
        <f>[3]Compass!$FC$47</f>
        <v>0</v>
      </c>
      <c r="F25" s="131">
        <f>'[3]Atlantic Southeast'!$FC$47</f>
        <v>0</v>
      </c>
      <c r="G25" s="131">
        <f>'[3]Continental Express'!$FC$47</f>
        <v>0</v>
      </c>
      <c r="H25" s="130">
        <f>'[3]Go Jet_UA'!$FC$47</f>
        <v>0</v>
      </c>
      <c r="I25" s="130">
        <f>'[3]Go Jet'!$FC$47</f>
        <v>0</v>
      </c>
      <c r="J25" s="132">
        <f>'[3]Air Wisconsin'!$FC$47</f>
        <v>0</v>
      </c>
      <c r="K25" s="130">
        <f>[3]MESA!$FC$47</f>
        <v>0</v>
      </c>
      <c r="L25" s="110">
        <f>SUM(B25:K25)</f>
        <v>0</v>
      </c>
    </row>
    <row r="26" spans="1:12" x14ac:dyDescent="0.2">
      <c r="A26" s="75" t="s">
        <v>38</v>
      </c>
      <c r="B26" s="130">
        <f>'[3]Shuttle America'!$FC$48</f>
        <v>0</v>
      </c>
      <c r="C26" s="130">
        <f>'[3]Shuttle America_Delta'!$FC$48</f>
        <v>0</v>
      </c>
      <c r="D26" s="130">
        <f>[3]PSA!$FC$48</f>
        <v>0</v>
      </c>
      <c r="E26" s="130">
        <f>[3]Compass!$FC$48</f>
        <v>0</v>
      </c>
      <c r="F26" s="131">
        <f>'[3]Atlantic Southeast'!$FC$48</f>
        <v>0</v>
      </c>
      <c r="G26" s="131">
        <f>'[3]Continental Express'!$FC$48</f>
        <v>0</v>
      </c>
      <c r="H26" s="130">
        <f>'[3]Go Jet_UA'!$FC$48</f>
        <v>0</v>
      </c>
      <c r="I26" s="130">
        <f>'[3]Go Jet'!$FC$48</f>
        <v>0</v>
      </c>
      <c r="J26" s="132">
        <f>'[3]Air Wisconsin'!$FC$48</f>
        <v>0</v>
      </c>
      <c r="K26" s="130">
        <f>[3]MESA!$FC$48</f>
        <v>0</v>
      </c>
      <c r="L26" s="110">
        <f>SUM(B26:K26)</f>
        <v>0</v>
      </c>
    </row>
    <row r="27" spans="1:12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" si="12">SUM(D25:D26)</f>
        <v>0</v>
      </c>
      <c r="E27" s="133">
        <f>SUM(E25:E26)</f>
        <v>0</v>
      </c>
      <c r="F27" s="133">
        <f t="shared" ref="F27:K27" si="13">SUM(F25:F26)</f>
        <v>0</v>
      </c>
      <c r="G27" s="133">
        <f t="shared" si="13"/>
        <v>0</v>
      </c>
      <c r="H27" s="133">
        <f t="shared" si="13"/>
        <v>0</v>
      </c>
      <c r="I27" s="133">
        <f>SUM(I25:I26)</f>
        <v>0</v>
      </c>
      <c r="J27" s="133">
        <f t="shared" si="13"/>
        <v>0</v>
      </c>
      <c r="K27" s="133">
        <f t="shared" si="13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40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59</v>
      </c>
      <c r="B30" s="130">
        <f>'[3]Shuttle America'!$FC$52</f>
        <v>0</v>
      </c>
      <c r="C30" s="130">
        <f>'[3]Shuttle America_Delta'!$FC$52</f>
        <v>0</v>
      </c>
      <c r="D30" s="130">
        <f>[3]PSA!$FC$52</f>
        <v>0</v>
      </c>
      <c r="E30" s="130">
        <f>[3]Compass!$FC$52</f>
        <v>0</v>
      </c>
      <c r="F30" s="131">
        <f>'[3]Atlantic Southeast'!$FC$52</f>
        <v>0</v>
      </c>
      <c r="G30" s="131">
        <f>'[3]Continental Express'!$FC$52</f>
        <v>0</v>
      </c>
      <c r="H30" s="130">
        <f>'[3]Go Jet_UA'!$FC$52</f>
        <v>0</v>
      </c>
      <c r="I30" s="130">
        <f>'[3]Go Jet'!$FC$52</f>
        <v>0</v>
      </c>
      <c r="J30" s="132">
        <f>'[3]Air Wisconsin'!BH$52</f>
        <v>0</v>
      </c>
      <c r="K30" s="130">
        <f>[3]MESA!$FC$52</f>
        <v>0</v>
      </c>
      <c r="L30" s="110">
        <f>SUM(B30:K30)</f>
        <v>0</v>
      </c>
    </row>
    <row r="31" spans="1:12" x14ac:dyDescent="0.2">
      <c r="A31" s="75" t="s">
        <v>60</v>
      </c>
      <c r="B31" s="130">
        <f>'[3]Shuttle America'!$FC$53</f>
        <v>0</v>
      </c>
      <c r="C31" s="130">
        <f>'[3]Shuttle America_Delta'!$FC$53</f>
        <v>0</v>
      </c>
      <c r="D31" s="130">
        <f>[3]PSA!$FC$53</f>
        <v>0</v>
      </c>
      <c r="E31" s="130">
        <f>[3]Compass!$FC$53</f>
        <v>0</v>
      </c>
      <c r="F31" s="131">
        <f>'[3]Atlantic Southeast'!$FC$53</f>
        <v>0</v>
      </c>
      <c r="G31" s="131">
        <f>'[3]Continental Express'!$FC$53</f>
        <v>0</v>
      </c>
      <c r="H31" s="130">
        <f>'[3]Go Jet_UA'!$FC$53</f>
        <v>0</v>
      </c>
      <c r="I31" s="130">
        <f>'[3]Go Jet'!$FC$53</f>
        <v>0</v>
      </c>
      <c r="J31" s="132">
        <f>'[3]Air Wisconsin'!$FC$53</f>
        <v>0</v>
      </c>
      <c r="K31" s="130">
        <f>[3]MESA!$FC$53</f>
        <v>0</v>
      </c>
      <c r="L31" s="110">
        <f>SUM(B31:K31)</f>
        <v>0</v>
      </c>
    </row>
    <row r="32" spans="1:12" ht="15" thickBot="1" x14ac:dyDescent="0.25">
      <c r="A32" s="73" t="s">
        <v>41</v>
      </c>
      <c r="B32" s="133">
        <f t="shared" ref="B32:K32" si="14">SUM(B30:B31)</f>
        <v>0</v>
      </c>
      <c r="C32" s="133">
        <f t="shared" si="14"/>
        <v>0</v>
      </c>
      <c r="D32" s="133">
        <f t="shared" si="14"/>
        <v>0</v>
      </c>
      <c r="E32" s="133">
        <f t="shared" si="14"/>
        <v>0</v>
      </c>
      <c r="F32" s="133">
        <f t="shared" si="14"/>
        <v>0</v>
      </c>
      <c r="G32" s="133">
        <f t="shared" si="14"/>
        <v>0</v>
      </c>
      <c r="H32" s="133">
        <f t="shared" si="14"/>
        <v>0</v>
      </c>
      <c r="I32" s="133">
        <f t="shared" ref="I32" si="15">SUM(I30:I31)</f>
        <v>0</v>
      </c>
      <c r="J32" s="133">
        <f t="shared" si="14"/>
        <v>0</v>
      </c>
      <c r="K32" s="133">
        <f t="shared" si="14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42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37</v>
      </c>
      <c r="B35" s="130">
        <f>'[3]Shuttle America'!$FC$57</f>
        <v>0</v>
      </c>
      <c r="C35" s="130">
        <f>'[3]Shuttle America_Delta'!$FC$57</f>
        <v>0</v>
      </c>
      <c r="D35" s="130">
        <f>[3]PSA!$FC$57</f>
        <v>0</v>
      </c>
      <c r="E35" s="130">
        <f>[3]Compass!$FC$57</f>
        <v>0</v>
      </c>
      <c r="F35" s="131">
        <f>'[3]Atlantic Southeast'!$FC$57</f>
        <v>0</v>
      </c>
      <c r="G35" s="131">
        <f>'[3]Continental Express'!$FC$57</f>
        <v>0</v>
      </c>
      <c r="H35" s="130">
        <f>'[3]Go Jet_UA'!$AJ$57</f>
        <v>0</v>
      </c>
      <c r="I35" s="130">
        <f>'[3]Go Jet'!$FC$57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Jet'!BK$58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" si="16">SUM(D35:D36)</f>
        <v>0</v>
      </c>
      <c r="E37" s="141">
        <f>SUM(E35:E36)</f>
        <v>0</v>
      </c>
      <c r="F37" s="142">
        <f t="shared" ref="F37:K37" si="17">SUM(F35:F36)</f>
        <v>0</v>
      </c>
      <c r="G37" s="142">
        <f t="shared" si="17"/>
        <v>0</v>
      </c>
      <c r="H37" s="141">
        <f t="shared" si="17"/>
        <v>0</v>
      </c>
      <c r="I37" s="141">
        <f>SUM(I35:I36)</f>
        <v>0</v>
      </c>
      <c r="J37" s="141">
        <f t="shared" si="17"/>
        <v>0</v>
      </c>
      <c r="K37" s="141">
        <f t="shared" si="17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44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45</v>
      </c>
      <c r="B40" s="130">
        <f t="shared" ref="B40:K40" si="18">SUM(B35,B30,B25)</f>
        <v>0</v>
      </c>
      <c r="C40" s="130">
        <f>SUM(C35,C30,C25)</f>
        <v>0</v>
      </c>
      <c r="D40" s="130">
        <f t="shared" ref="D40:D41" si="19">SUM(D35,D30,D25)</f>
        <v>0</v>
      </c>
      <c r="E40" s="130">
        <f t="shared" si="18"/>
        <v>0</v>
      </c>
      <c r="F40" s="130">
        <f t="shared" si="18"/>
        <v>0</v>
      </c>
      <c r="G40" s="130">
        <f t="shared" si="18"/>
        <v>0</v>
      </c>
      <c r="H40" s="130">
        <f>SUM(H35,H30,H25)</f>
        <v>0</v>
      </c>
      <c r="I40" s="130">
        <f t="shared" ref="I40" si="20">SUM(I35,I30,I25)</f>
        <v>0</v>
      </c>
      <c r="J40" s="130">
        <f t="shared" si="18"/>
        <v>0</v>
      </c>
      <c r="K40" s="130">
        <f t="shared" si="18"/>
        <v>0</v>
      </c>
      <c r="L40" s="110">
        <f>SUM(B40:K40)</f>
        <v>0</v>
      </c>
    </row>
    <row r="41" spans="1:12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19"/>
        <v>0</v>
      </c>
      <c r="E41" s="130">
        <f t="shared" ref="E41:K41" si="21">SUM(E36,E31,E26)</f>
        <v>0</v>
      </c>
      <c r="F41" s="130">
        <f t="shared" si="21"/>
        <v>0</v>
      </c>
      <c r="G41" s="130">
        <f t="shared" si="21"/>
        <v>0</v>
      </c>
      <c r="H41" s="130">
        <f>SUM(H36,H31,H26)</f>
        <v>0</v>
      </c>
      <c r="I41" s="130">
        <f t="shared" ref="I41" si="22">SUM(I36,I31,I26)</f>
        <v>0</v>
      </c>
      <c r="J41" s="130">
        <f t="shared" si="21"/>
        <v>0</v>
      </c>
      <c r="K41" s="130">
        <f t="shared" si="21"/>
        <v>0</v>
      </c>
      <c r="L41" s="110">
        <f>SUM(B41:K41)</f>
        <v>0</v>
      </c>
    </row>
    <row r="42" spans="1:12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" si="23">SUM(D40:D41)</f>
        <v>0</v>
      </c>
      <c r="E42" s="136">
        <f t="shared" ref="E42:K42" si="24">SUM(E40:E41)</f>
        <v>0</v>
      </c>
      <c r="F42" s="136">
        <f t="shared" si="24"/>
        <v>0</v>
      </c>
      <c r="G42" s="136">
        <f t="shared" si="24"/>
        <v>0</v>
      </c>
      <c r="H42" s="136">
        <f t="shared" si="24"/>
        <v>0</v>
      </c>
      <c r="I42" s="136">
        <f t="shared" ref="I42" si="25">SUM(I40:I41)</f>
        <v>0</v>
      </c>
      <c r="J42" s="136">
        <f t="shared" si="24"/>
        <v>0</v>
      </c>
      <c r="K42" s="136">
        <f t="shared" si="24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3" t="s">
        <v>127</v>
      </c>
      <c r="E44" s="322">
        <f>[3]Compass!BG$70+[3]Compass!BG$73</f>
        <v>27782</v>
      </c>
      <c r="F44" s="308"/>
      <c r="I44" s="322">
        <f>'[3]Go Jet'!BK$70+'[3]Go Jet'!BK$73</f>
        <v>0</v>
      </c>
      <c r="L44" s="310">
        <f>SUM(E44:E44)</f>
        <v>27782</v>
      </c>
    </row>
    <row r="45" spans="1:12" hidden="1" x14ac:dyDescent="0.2">
      <c r="A45" s="323" t="s">
        <v>128</v>
      </c>
      <c r="E45" s="322">
        <f>[3]Compass!BG$71+[3]Compass!BG$74</f>
        <v>47176</v>
      </c>
      <c r="F45" s="326"/>
      <c r="I45" s="322">
        <f>'[3]Go Jet'!BK$71+'[3]Go Jet'!BK$74</f>
        <v>0</v>
      </c>
      <c r="L45" s="310">
        <f>SUM(E45:E45)</f>
        <v>47176</v>
      </c>
    </row>
    <row r="46" spans="1:12" x14ac:dyDescent="0.2">
      <c r="A46" s="381" t="s">
        <v>124</v>
      </c>
      <c r="C46" s="322">
        <f>'[3]Shuttle America_Delta'!$FC$70+'[3]Shuttle America_Delta'!$FC$73</f>
        <v>73</v>
      </c>
      <c r="E46" s="322">
        <f>[3]Compass!$FC$70+[3]Compass!$FC$73</f>
        <v>11088</v>
      </c>
      <c r="F46" s="322">
        <f>'[3]Atlantic Southeast'!$FC$70+'[3]Atlantic Southeast'!$FC$73</f>
        <v>11990</v>
      </c>
      <c r="I46" s="322">
        <f>'[3]Go Jet'!$FC$70+'[3]Go Jet'!$FC$73</f>
        <v>5769</v>
      </c>
      <c r="L46" s="394">
        <f>SUM(B46:K46)</f>
        <v>28920</v>
      </c>
    </row>
    <row r="47" spans="1:12" x14ac:dyDescent="0.2">
      <c r="A47" s="395" t="s">
        <v>125</v>
      </c>
      <c r="C47" s="322">
        <f>'[3]Shuttle America_Delta'!$FC$71+'[3]Shuttle America_Delta'!$FC$74</f>
        <v>41</v>
      </c>
      <c r="E47" s="322">
        <f>[3]Compass!$FC$71+[3]Compass!$FC$74</f>
        <v>14817</v>
      </c>
      <c r="F47" s="322">
        <f>'[3]Atlantic Southeast'!$FC$71+'[3]Atlantic Southeast'!$FC$74</f>
        <v>15831</v>
      </c>
      <c r="I47" s="322">
        <f>'[3]Go Jet'!$FC$71+'[3]Go Jet'!$FC$74</f>
        <v>5792</v>
      </c>
      <c r="L47" s="394">
        <f>SUM(B47:K47)</f>
        <v>36481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April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K11" sqref="K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4">
        <v>42826</v>
      </c>
      <c r="B2" s="180" t="s">
        <v>119</v>
      </c>
      <c r="C2" s="180" t="s">
        <v>156</v>
      </c>
      <c r="D2" s="102" t="s">
        <v>78</v>
      </c>
      <c r="E2" s="102" t="s">
        <v>157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23"/>
      <c r="C4" s="184"/>
      <c r="D4" s="184"/>
      <c r="E4" s="184"/>
      <c r="F4" s="184"/>
      <c r="G4" s="254"/>
    </row>
    <row r="5" spans="1:17" x14ac:dyDescent="0.2">
      <c r="A5" s="62" t="s">
        <v>30</v>
      </c>
      <c r="B5" s="423">
        <f>'[3]Charter Misc'!$FC$22</f>
        <v>150</v>
      </c>
      <c r="C5" s="184">
        <f>[3]Ryan!$FC$22</f>
        <v>0</v>
      </c>
      <c r="D5" s="184">
        <f>'[3]Charter Misc'!$FC$32</f>
        <v>0</v>
      </c>
      <c r="E5" s="184">
        <f>[3]Omni!$FC$32</f>
        <v>0</v>
      </c>
      <c r="F5" s="184">
        <f>[3]Xtra!$FC$32+[3]Xtra!$FC$22</f>
        <v>0</v>
      </c>
      <c r="G5" s="343">
        <f>SUM(B5:F5)</f>
        <v>150</v>
      </c>
    </row>
    <row r="6" spans="1:17" x14ac:dyDescent="0.2">
      <c r="A6" s="62" t="s">
        <v>31</v>
      </c>
      <c r="B6" s="424">
        <f>'[3]Charter Misc'!$FC$23</f>
        <v>150</v>
      </c>
      <c r="C6" s="187">
        <f>[3]Ryan!$FC$23</f>
        <v>0</v>
      </c>
      <c r="D6" s="187">
        <f>'[3]Charter Misc'!$FC$33</f>
        <v>0</v>
      </c>
      <c r="E6" s="187">
        <f>[3]Omni!$FC$33</f>
        <v>0</v>
      </c>
      <c r="F6" s="187">
        <f>[3]Xtra!$FC$33+[3]Xtra!$FC$23</f>
        <v>0</v>
      </c>
      <c r="G6" s="342">
        <f>SUM(B6:F6)</f>
        <v>150</v>
      </c>
    </row>
    <row r="7" spans="1:17" ht="15.75" thickBot="1" x14ac:dyDescent="0.3">
      <c r="A7" s="183" t="s">
        <v>7</v>
      </c>
      <c r="B7" s="425">
        <f>SUM(B5:B6)</f>
        <v>300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300</v>
      </c>
    </row>
    <row r="8" spans="1:17" ht="13.5" thickBot="1" x14ac:dyDescent="0.25"/>
    <row r="9" spans="1:17" x14ac:dyDescent="0.2">
      <c r="A9" s="181" t="s">
        <v>9</v>
      </c>
      <c r="B9" s="426"/>
      <c r="C9" s="45"/>
      <c r="D9" s="45"/>
      <c r="E9" s="45"/>
      <c r="F9" s="45"/>
      <c r="G9" s="57"/>
    </row>
    <row r="10" spans="1:17" x14ac:dyDescent="0.2">
      <c r="A10" s="182" t="s">
        <v>80</v>
      </c>
      <c r="B10" s="423">
        <f>'[3]Charter Misc'!$FC$4</f>
        <v>1</v>
      </c>
      <c r="C10" s="184">
        <f>[3]Ryan!$FC$4</f>
        <v>0</v>
      </c>
      <c r="D10" s="184">
        <f>'[3]Charter Misc'!$FC$15</f>
        <v>0</v>
      </c>
      <c r="E10" s="184">
        <f>[3]Omni!$FC$15</f>
        <v>0</v>
      </c>
      <c r="F10" s="184">
        <f>[3]Xtra!$FC$15+[3]Xtra!$FC$4</f>
        <v>0</v>
      </c>
      <c r="G10" s="342">
        <f>SUM(B10:F10)</f>
        <v>1</v>
      </c>
    </row>
    <row r="11" spans="1:17" x14ac:dyDescent="0.2">
      <c r="A11" s="182" t="s">
        <v>81</v>
      </c>
      <c r="B11" s="423">
        <f>'[3]Charter Misc'!$FC$5</f>
        <v>1</v>
      </c>
      <c r="C11" s="184">
        <f>[3]Ryan!$FC$5</f>
        <v>0</v>
      </c>
      <c r="D11" s="184">
        <f>'[3]Charter Misc'!$FC$16</f>
        <v>0</v>
      </c>
      <c r="E11" s="184">
        <f>[3]Omni!$FC$16</f>
        <v>0</v>
      </c>
      <c r="F11" s="184">
        <f>[3]Xtra!$FC$16+[3]Xtra!$FC$5</f>
        <v>0</v>
      </c>
      <c r="G11" s="342">
        <f>SUM(B11:F11)</f>
        <v>1</v>
      </c>
    </row>
    <row r="12" spans="1:17" ht="15.75" thickBot="1" x14ac:dyDescent="0.3">
      <c r="A12" s="277" t="s">
        <v>28</v>
      </c>
      <c r="B12" s="427">
        <f>SUM(B10:B11)</f>
        <v>2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3" t="s">
        <v>154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9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199</v>
      </c>
      <c r="E20" s="8" t="s">
        <v>173</v>
      </c>
      <c r="F20" s="243" t="s">
        <v>99</v>
      </c>
      <c r="G20" s="8" t="s">
        <v>103</v>
      </c>
      <c r="H20" s="8" t="s">
        <v>104</v>
      </c>
      <c r="I20" s="465" t="s">
        <v>199</v>
      </c>
      <c r="J20" s="465" t="s">
        <v>173</v>
      </c>
      <c r="K20" s="243" t="s">
        <v>99</v>
      </c>
      <c r="L20" s="242" t="s">
        <v>103</v>
      </c>
      <c r="M20" s="236" t="s">
        <v>104</v>
      </c>
      <c r="N20" s="465" t="s">
        <v>199</v>
      </c>
      <c r="O20" s="465" t="s">
        <v>173</v>
      </c>
      <c r="P20" s="243" t="s">
        <v>99</v>
      </c>
    </row>
    <row r="21" spans="1:16" ht="14.1" customHeight="1" x14ac:dyDescent="0.2">
      <c r="A21" s="246" t="s">
        <v>105</v>
      </c>
      <c r="B21" s="515">
        <f>+[4]Charter!$B$21</f>
        <v>129673</v>
      </c>
      <c r="C21" s="516">
        <f>+[4]Charter!$C$21</f>
        <v>127074</v>
      </c>
      <c r="D21" s="337">
        <f t="shared" ref="D21:D32" si="0">SUM(B21:C21)</f>
        <v>256747</v>
      </c>
      <c r="E21" s="338">
        <f>[5]Charter!$D$21</f>
        <v>268275</v>
      </c>
      <c r="F21" s="341">
        <f t="shared" ref="F21:F32" si="1">(D21-E21)/E21</f>
        <v>-4.2970832168483832E-2</v>
      </c>
      <c r="G21" s="336">
        <f t="shared" ref="G21:H23" si="2">L21-B21</f>
        <v>1206061</v>
      </c>
      <c r="H21" s="337">
        <f t="shared" si="2"/>
        <v>1229618</v>
      </c>
      <c r="I21" s="337">
        <f>SUM(G21:H21)</f>
        <v>2435679</v>
      </c>
      <c r="J21" s="338">
        <f>[5]Charter!$I$21</f>
        <v>2429109</v>
      </c>
      <c r="K21" s="247">
        <f t="shared" ref="K21:K32" si="3">(I21-J21)/J21</f>
        <v>2.7046954253596689E-3</v>
      </c>
      <c r="L21" s="336">
        <f>+[4]Charter!$L$21</f>
        <v>1335734</v>
      </c>
      <c r="M21" s="337">
        <f>+[4]Charter!$M$21</f>
        <v>1356692</v>
      </c>
      <c r="N21" s="337">
        <f t="shared" ref="N21:N32" si="4">SUM(L21:M21)</f>
        <v>2692426</v>
      </c>
      <c r="O21" s="338">
        <f>[5]Charter!$N$21</f>
        <v>2697384</v>
      </c>
      <c r="P21" s="247">
        <f>(N21-O21)/O21</f>
        <v>-1.8380771888615044E-3</v>
      </c>
    </row>
    <row r="22" spans="1:16" ht="14.1" customHeight="1" x14ac:dyDescent="0.2">
      <c r="A22" s="248" t="s">
        <v>106</v>
      </c>
      <c r="B22" s="332">
        <f>+[6]Charter!$B$22</f>
        <v>134960</v>
      </c>
      <c r="C22" s="334">
        <f>+[6]Charter!$C$22</f>
        <v>137503</v>
      </c>
      <c r="D22" s="333">
        <f t="shared" si="0"/>
        <v>272463</v>
      </c>
      <c r="E22" s="340">
        <f>[7]Charter!$D$22</f>
        <v>281871</v>
      </c>
      <c r="F22" s="335">
        <f t="shared" si="1"/>
        <v>-3.3376970316208475E-2</v>
      </c>
      <c r="G22" s="332">
        <f t="shared" si="2"/>
        <v>1162157</v>
      </c>
      <c r="H22" s="334">
        <f t="shared" si="2"/>
        <v>1175802</v>
      </c>
      <c r="I22" s="333">
        <f>SUM(G22:H22)</f>
        <v>2337959</v>
      </c>
      <c r="J22" s="340">
        <f>[7]Charter!$I$22</f>
        <v>2359956</v>
      </c>
      <c r="K22" s="250">
        <f t="shared" si="3"/>
        <v>-9.3209364920362921E-3</v>
      </c>
      <c r="L22" s="332">
        <f>+[6]Charter!$L$22</f>
        <v>1297117</v>
      </c>
      <c r="M22" s="334">
        <f>+[6]Charter!$M$22</f>
        <v>1313305</v>
      </c>
      <c r="N22" s="333">
        <f t="shared" si="4"/>
        <v>2610422</v>
      </c>
      <c r="O22" s="340">
        <f>[7]Charter!$N$22</f>
        <v>2641827</v>
      </c>
      <c r="P22" s="249">
        <f t="shared" ref="P22:P32" si="5">(N22-O22)/O22</f>
        <v>-1.1887606569241664E-2</v>
      </c>
    </row>
    <row r="23" spans="1:16" ht="14.1" customHeight="1" x14ac:dyDescent="0.2">
      <c r="A23" s="248" t="s">
        <v>107</v>
      </c>
      <c r="B23" s="332">
        <f>+[2]Charter!$B$23</f>
        <v>173394</v>
      </c>
      <c r="C23" s="334">
        <f>+[2]Charter!$C$23</f>
        <v>175057</v>
      </c>
      <c r="D23" s="333">
        <f t="shared" ref="D23" si="6">SUM(B23:C23)</f>
        <v>348451</v>
      </c>
      <c r="E23" s="340">
        <f>[8]Charter!$D$23</f>
        <v>340464</v>
      </c>
      <c r="F23" s="249">
        <f t="shared" si="1"/>
        <v>2.3459161614737534E-2</v>
      </c>
      <c r="G23" s="332">
        <f t="shared" si="2"/>
        <v>1526700</v>
      </c>
      <c r="H23" s="334">
        <f t="shared" si="2"/>
        <v>1556530</v>
      </c>
      <c r="I23" s="333">
        <f>SUM(G23:H23)</f>
        <v>3083230</v>
      </c>
      <c r="J23" s="340">
        <f>[8]Charter!$I$23</f>
        <v>2975759</v>
      </c>
      <c r="K23" s="250">
        <f t="shared" si="3"/>
        <v>3.611549187955073E-2</v>
      </c>
      <c r="L23" s="332">
        <f>+[2]Charter!$L$23</f>
        <v>1700094</v>
      </c>
      <c r="M23" s="334">
        <f>+[2]Charter!$M$23</f>
        <v>1731587</v>
      </c>
      <c r="N23" s="333">
        <f t="shared" ref="N23" si="7">SUM(L23:M23)</f>
        <v>3431681</v>
      </c>
      <c r="O23" s="340">
        <f>[8]Charter!$N$23</f>
        <v>3316223</v>
      </c>
      <c r="P23" s="249">
        <f t="shared" si="5"/>
        <v>3.4816114597842181E-2</v>
      </c>
    </row>
    <row r="24" spans="1:16" ht="14.1" customHeight="1" x14ac:dyDescent="0.2">
      <c r="A24" s="248" t="s">
        <v>108</v>
      </c>
      <c r="B24" s="332">
        <f>'Intl Detail'!$O$4+'Intl Detail'!$O$9</f>
        <v>133972</v>
      </c>
      <c r="C24" s="334">
        <f>'Intl Detail'!$O$5+'Intl Detail'!$O$10</f>
        <v>117419</v>
      </c>
      <c r="D24" s="333">
        <f t="shared" ref="D24" si="8">SUM(B24:C24)</f>
        <v>251391</v>
      </c>
      <c r="E24" s="340">
        <f>[1]Charter!$D$24</f>
        <v>226655</v>
      </c>
      <c r="F24" s="249">
        <f t="shared" si="1"/>
        <v>0.10913502900884604</v>
      </c>
      <c r="G24" s="332">
        <f t="shared" ref="G24:G25" si="9">L24-B24</f>
        <v>1461023</v>
      </c>
      <c r="H24" s="334">
        <f t="shared" ref="H24:H25" si="10">M24-C24</f>
        <v>1382650</v>
      </c>
      <c r="I24" s="333">
        <f t="shared" ref="I24:I25" si="11">SUM(G24:H24)</f>
        <v>2843673</v>
      </c>
      <c r="J24" s="340">
        <f>[1]Charter!$I$24</f>
        <v>2776287</v>
      </c>
      <c r="K24" s="250">
        <f t="shared" si="3"/>
        <v>2.4271986289601904E-2</v>
      </c>
      <c r="L24" s="332">
        <f>'Monthly Summary'!$B$11</f>
        <v>1594995</v>
      </c>
      <c r="M24" s="334">
        <f>'Monthly Summary'!$C$11</f>
        <v>1500069</v>
      </c>
      <c r="N24" s="333">
        <f t="shared" ref="N24" si="12">SUM(L24:M24)</f>
        <v>3095064</v>
      </c>
      <c r="O24" s="340">
        <f>[1]Charter!$N$24</f>
        <v>3002942</v>
      </c>
      <c r="P24" s="249">
        <f t="shared" si="5"/>
        <v>3.0677249177639795E-2</v>
      </c>
    </row>
    <row r="25" spans="1:16" ht="14.1" customHeight="1" x14ac:dyDescent="0.2">
      <c r="A25" s="235" t="s">
        <v>76</v>
      </c>
      <c r="B25" s="332"/>
      <c r="C25" s="334"/>
      <c r="D25" s="333">
        <f t="shared" si="0"/>
        <v>0</v>
      </c>
      <c r="E25" s="339"/>
      <c r="F25" s="238" t="e">
        <f t="shared" si="1"/>
        <v>#DIV/0!</v>
      </c>
      <c r="G25" s="332">
        <f t="shared" si="9"/>
        <v>0</v>
      </c>
      <c r="H25" s="334">
        <f t="shared" si="10"/>
        <v>0</v>
      </c>
      <c r="I25" s="333">
        <f t="shared" si="11"/>
        <v>0</v>
      </c>
      <c r="J25" s="340"/>
      <c r="K25" s="244" t="e">
        <f t="shared" si="3"/>
        <v>#DIV/0!</v>
      </c>
      <c r="L25" s="332"/>
      <c r="M25" s="334"/>
      <c r="N25" s="333">
        <f t="shared" si="4"/>
        <v>0</v>
      </c>
      <c r="O25" s="339"/>
      <c r="P25" s="238" t="e">
        <f t="shared" si="5"/>
        <v>#DIV/0!</v>
      </c>
    </row>
    <row r="26" spans="1:16" ht="14.1" customHeight="1" x14ac:dyDescent="0.2">
      <c r="A26" s="248" t="s">
        <v>109</v>
      </c>
      <c r="B26" s="332"/>
      <c r="C26" s="334"/>
      <c r="D26" s="333">
        <f t="shared" si="0"/>
        <v>0</v>
      </c>
      <c r="E26" s="339"/>
      <c r="F26" s="249" t="e">
        <f t="shared" si="1"/>
        <v>#DIV/0!</v>
      </c>
      <c r="G26" s="332"/>
      <c r="H26" s="334"/>
      <c r="I26" s="333">
        <f t="shared" ref="I26:I32" si="13">SUM(G26:H26)</f>
        <v>0</v>
      </c>
      <c r="J26" s="339"/>
      <c r="K26" s="250" t="e">
        <f t="shared" si="3"/>
        <v>#DIV/0!</v>
      </c>
      <c r="L26" s="332"/>
      <c r="M26" s="334"/>
      <c r="N26" s="333">
        <f t="shared" si="4"/>
        <v>0</v>
      </c>
      <c r="O26" s="339"/>
      <c r="P26" s="249" t="e">
        <f t="shared" si="5"/>
        <v>#DIV/0!</v>
      </c>
    </row>
    <row r="27" spans="1:16" ht="14.1" customHeight="1" x14ac:dyDescent="0.2">
      <c r="A27" s="235" t="s">
        <v>110</v>
      </c>
      <c r="B27" s="332"/>
      <c r="C27" s="334"/>
      <c r="D27" s="333">
        <f t="shared" si="0"/>
        <v>0</v>
      </c>
      <c r="E27" s="339"/>
      <c r="F27" s="238" t="e">
        <f t="shared" si="1"/>
        <v>#DIV/0!</v>
      </c>
      <c r="G27" s="332"/>
      <c r="H27" s="334"/>
      <c r="I27" s="333">
        <f t="shared" si="13"/>
        <v>0</v>
      </c>
      <c r="J27" s="339"/>
      <c r="K27" s="244" t="e">
        <f t="shared" si="3"/>
        <v>#DIV/0!</v>
      </c>
      <c r="L27" s="332"/>
      <c r="M27" s="334"/>
      <c r="N27" s="333">
        <f t="shared" si="4"/>
        <v>0</v>
      </c>
      <c r="O27" s="339"/>
      <c r="P27" s="238" t="e">
        <f t="shared" si="5"/>
        <v>#DIV/0!</v>
      </c>
    </row>
    <row r="28" spans="1:16" ht="14.1" customHeight="1" x14ac:dyDescent="0.2">
      <c r="A28" s="248" t="s">
        <v>111</v>
      </c>
      <c r="B28" s="332"/>
      <c r="C28" s="334"/>
      <c r="D28" s="333">
        <f t="shared" si="0"/>
        <v>0</v>
      </c>
      <c r="E28" s="339"/>
      <c r="F28" s="249" t="e">
        <f t="shared" si="1"/>
        <v>#DIV/0!</v>
      </c>
      <c r="G28" s="332"/>
      <c r="H28" s="334"/>
      <c r="I28" s="333">
        <f t="shared" si="13"/>
        <v>0</v>
      </c>
      <c r="J28" s="339"/>
      <c r="K28" s="250" t="e">
        <f t="shared" si="3"/>
        <v>#DIV/0!</v>
      </c>
      <c r="L28" s="332"/>
      <c r="M28" s="334"/>
      <c r="N28" s="333">
        <f t="shared" si="4"/>
        <v>0</v>
      </c>
      <c r="O28" s="339"/>
      <c r="P28" s="249" t="e">
        <f t="shared" si="5"/>
        <v>#DIV/0!</v>
      </c>
    </row>
    <row r="29" spans="1:16" ht="14.1" customHeight="1" x14ac:dyDescent="0.2">
      <c r="A29" s="235" t="s">
        <v>112</v>
      </c>
      <c r="B29" s="332"/>
      <c r="C29" s="334"/>
      <c r="D29" s="333">
        <f t="shared" si="0"/>
        <v>0</v>
      </c>
      <c r="E29" s="339"/>
      <c r="F29" s="238" t="e">
        <f t="shared" si="1"/>
        <v>#DIV/0!</v>
      </c>
      <c r="G29" s="332"/>
      <c r="H29" s="334"/>
      <c r="I29" s="333">
        <f t="shared" si="13"/>
        <v>0</v>
      </c>
      <c r="J29" s="339"/>
      <c r="K29" s="244" t="e">
        <f t="shared" si="3"/>
        <v>#DIV/0!</v>
      </c>
      <c r="L29" s="332"/>
      <c r="M29" s="334"/>
      <c r="N29" s="333">
        <f t="shared" si="4"/>
        <v>0</v>
      </c>
      <c r="O29" s="339"/>
      <c r="P29" s="238" t="e">
        <f t="shared" si="5"/>
        <v>#DIV/0!</v>
      </c>
    </row>
    <row r="30" spans="1:16" ht="14.1" customHeight="1" x14ac:dyDescent="0.2">
      <c r="A30" s="248" t="s">
        <v>113</v>
      </c>
      <c r="B30" s="332"/>
      <c r="C30" s="334"/>
      <c r="D30" s="333">
        <f>SUM(B30:C30)</f>
        <v>0</v>
      </c>
      <c r="E30" s="339"/>
      <c r="F30" s="249" t="e">
        <f t="shared" si="1"/>
        <v>#DIV/0!</v>
      </c>
      <c r="G30" s="332"/>
      <c r="H30" s="334"/>
      <c r="I30" s="333">
        <f>SUM(G30:H30)</f>
        <v>0</v>
      </c>
      <c r="J30" s="339"/>
      <c r="K30" s="250" t="e">
        <f t="shared" si="3"/>
        <v>#DIV/0!</v>
      </c>
      <c r="L30" s="332"/>
      <c r="M30" s="334"/>
      <c r="N30" s="333">
        <f>SUM(L30:M30)</f>
        <v>0</v>
      </c>
      <c r="O30" s="339"/>
      <c r="P30" s="249" t="e">
        <f t="shared" si="5"/>
        <v>#DIV/0!</v>
      </c>
    </row>
    <row r="31" spans="1:16" ht="14.1" customHeight="1" x14ac:dyDescent="0.2">
      <c r="A31" s="235" t="s">
        <v>114</v>
      </c>
      <c r="B31" s="332"/>
      <c r="C31" s="334"/>
      <c r="D31" s="333">
        <f>SUM(B31:C31)</f>
        <v>0</v>
      </c>
      <c r="E31" s="339"/>
      <c r="F31" s="238" t="e">
        <f t="shared" si="1"/>
        <v>#DIV/0!</v>
      </c>
      <c r="G31" s="332"/>
      <c r="H31" s="334"/>
      <c r="I31" s="333">
        <f t="shared" si="13"/>
        <v>0</v>
      </c>
      <c r="J31" s="339"/>
      <c r="K31" s="244" t="e">
        <f t="shared" si="3"/>
        <v>#DIV/0!</v>
      </c>
      <c r="L31" s="332"/>
      <c r="M31" s="334"/>
      <c r="N31" s="333">
        <f>SUM(L31:M31)</f>
        <v>0</v>
      </c>
      <c r="O31" s="339"/>
      <c r="P31" s="238" t="e">
        <f t="shared" si="5"/>
        <v>#DIV/0!</v>
      </c>
    </row>
    <row r="32" spans="1:16" ht="14.1" customHeight="1" x14ac:dyDescent="0.2">
      <c r="A32" s="251" t="s">
        <v>115</v>
      </c>
      <c r="B32" s="332"/>
      <c r="C32" s="334"/>
      <c r="D32" s="161">
        <f t="shared" si="0"/>
        <v>0</v>
      </c>
      <c r="E32" s="339"/>
      <c r="F32" s="252" t="e">
        <f t="shared" si="1"/>
        <v>#DIV/0!</v>
      </c>
      <c r="G32" s="253"/>
      <c r="H32" s="161"/>
      <c r="I32" s="161">
        <f t="shared" si="13"/>
        <v>0</v>
      </c>
      <c r="J32" s="339"/>
      <c r="K32" s="252" t="e">
        <f t="shared" si="3"/>
        <v>#DIV/0!</v>
      </c>
      <c r="L32" s="332"/>
      <c r="M32" s="334"/>
      <c r="N32" s="161">
        <f t="shared" si="4"/>
        <v>0</v>
      </c>
      <c r="O32" s="339"/>
      <c r="P32" s="252" t="e">
        <f t="shared" si="5"/>
        <v>#DIV/0!</v>
      </c>
    </row>
    <row r="33" spans="1:16" ht="13.5" thickBot="1" x14ac:dyDescent="0.25">
      <c r="A33" s="245" t="s">
        <v>77</v>
      </c>
      <c r="B33" s="255">
        <f>SUM(B21:B32)</f>
        <v>571999</v>
      </c>
      <c r="C33" s="256">
        <f>SUM(C21:C32)</f>
        <v>557053</v>
      </c>
      <c r="D33" s="256">
        <f>SUM(D21:D32)</f>
        <v>1129052</v>
      </c>
      <c r="E33" s="257">
        <f>SUM(E21:E32)</f>
        <v>1117265</v>
      </c>
      <c r="F33" s="240">
        <f>(D33-E33)/E33</f>
        <v>1.0549869547511109E-2</v>
      </c>
      <c r="G33" s="258">
        <f>SUM(G21:G32)</f>
        <v>5355941</v>
      </c>
      <c r="H33" s="256">
        <f>SUM(H21:H32)</f>
        <v>5344600</v>
      </c>
      <c r="I33" s="256">
        <f>SUM(I21:I32)</f>
        <v>10700541</v>
      </c>
      <c r="J33" s="259">
        <f>SUM(J21:J32)</f>
        <v>10541111</v>
      </c>
      <c r="K33" s="241">
        <f>(I33-J33)/J33</f>
        <v>1.512459170575094E-2</v>
      </c>
      <c r="L33" s="258">
        <f>SUM(L21:L32)</f>
        <v>5927940</v>
      </c>
      <c r="M33" s="256">
        <f>SUM(M21:M32)</f>
        <v>5901653</v>
      </c>
      <c r="N33" s="256">
        <f>SUM(N21:N32)</f>
        <v>11829593</v>
      </c>
      <c r="O33" s="257">
        <f>SUM(O21:O32)</f>
        <v>11658376</v>
      </c>
      <c r="P33" s="239">
        <f>(N33-O33)/O33</f>
        <v>1.4686179275741321E-2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April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G7" sqref="G7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7"/>
      <c r="C1" s="537"/>
      <c r="D1" s="537"/>
      <c r="E1" s="463"/>
      <c r="F1" s="538" t="s">
        <v>94</v>
      </c>
      <c r="G1" s="539"/>
      <c r="H1" s="539"/>
      <c r="I1" s="539"/>
      <c r="J1" s="539"/>
      <c r="K1" s="539"/>
      <c r="L1" s="540"/>
    </row>
    <row r="2" spans="1:20" s="191" customFormat="1" ht="30.75" customHeight="1" thickBot="1" x14ac:dyDescent="0.25">
      <c r="A2" s="384">
        <v>42826</v>
      </c>
      <c r="B2" s="450" t="s">
        <v>194</v>
      </c>
      <c r="C2" s="8" t="s">
        <v>82</v>
      </c>
      <c r="D2" s="8" t="s">
        <v>83</v>
      </c>
      <c r="E2" s="199"/>
      <c r="F2" s="180" t="s">
        <v>84</v>
      </c>
      <c r="G2" s="180" t="s">
        <v>195</v>
      </c>
      <c r="H2" s="180" t="s">
        <v>166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220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[3]DHL!$FC$4</f>
        <v>20</v>
      </c>
      <c r="C4" s="161">
        <f>[3]FedEx!$FC$4+[3]FedEx!$FC$15</f>
        <v>88</v>
      </c>
      <c r="D4" s="161">
        <f>[3]UPS!$FC$4+[3]UPS!$FC$15</f>
        <v>106</v>
      </c>
      <c r="E4" s="192"/>
      <c r="F4" s="118">
        <f>[3]ATI_BAX!$FC$4</f>
        <v>0</v>
      </c>
      <c r="G4" s="161">
        <f>[3]IFL!$FC$4+[3]IFL!$FC$15</f>
        <v>30</v>
      </c>
      <c r="H4" s="118">
        <f>'[3]Suburban Air Freight'!$FC$15</f>
        <v>21</v>
      </c>
      <c r="I4" s="118">
        <f>[3]Bemidji!$FC$4</f>
        <v>247</v>
      </c>
      <c r="J4" s="118">
        <f>'[3]CSA Air'!$FC$4</f>
        <v>20</v>
      </c>
      <c r="K4" s="118">
        <f>'[3]Mountain Cargo'!$FC$4</f>
        <v>21</v>
      </c>
      <c r="L4" s="118">
        <f>'[3]Misc Cargo'!$FC$4</f>
        <v>20</v>
      </c>
      <c r="M4" s="204">
        <f>SUM(B4:L4)</f>
        <v>573</v>
      </c>
    </row>
    <row r="5" spans="1:20" x14ac:dyDescent="0.2">
      <c r="A5" s="53" t="s">
        <v>54</v>
      </c>
      <c r="B5" s="198">
        <f>[3]DHL!$FC$5</f>
        <v>20</v>
      </c>
      <c r="C5" s="198">
        <f>[3]FedEx!$FC$5</f>
        <v>88</v>
      </c>
      <c r="D5" s="198">
        <f>[3]UPS!$FC$5+[3]UPS!$FC$16</f>
        <v>106</v>
      </c>
      <c r="E5" s="192"/>
      <c r="F5" s="120">
        <f>[3]ATI_BAX!$FC$5</f>
        <v>0</v>
      </c>
      <c r="G5" s="198">
        <f>[3]IFL!$FC$5</f>
        <v>30</v>
      </c>
      <c r="H5" s="120">
        <f>'[3]Suburban Air Freight'!$FC$16</f>
        <v>21</v>
      </c>
      <c r="I5" s="120">
        <f>[3]Bemidji!$FC$5</f>
        <v>247</v>
      </c>
      <c r="J5" s="120">
        <f>'[3]CSA Air'!$FC$5</f>
        <v>20</v>
      </c>
      <c r="K5" s="120">
        <f>'[3]Mountain Cargo'!$FC$5</f>
        <v>21</v>
      </c>
      <c r="L5" s="120">
        <f>'[3]Misc Cargo'!$FC$5</f>
        <v>20</v>
      </c>
      <c r="M5" s="208">
        <f>SUM(B5:L5)</f>
        <v>573</v>
      </c>
    </row>
    <row r="6" spans="1:20" s="189" customFormat="1" x14ac:dyDescent="0.2">
      <c r="A6" s="205" t="s">
        <v>55</v>
      </c>
      <c r="B6" s="206">
        <f>SUM(B4:B5)</f>
        <v>40</v>
      </c>
      <c r="C6" s="206">
        <f>SUM(C4:C5)</f>
        <v>176</v>
      </c>
      <c r="D6" s="206">
        <f>SUM(D4:D5)</f>
        <v>212</v>
      </c>
      <c r="E6" s="193"/>
      <c r="F6" s="188">
        <f t="shared" ref="F6:L6" si="0">SUM(F4:F5)</f>
        <v>0</v>
      </c>
      <c r="G6" s="206">
        <f>SUM(G4:G5)</f>
        <v>60</v>
      </c>
      <c r="H6" s="188">
        <f t="shared" si="0"/>
        <v>42</v>
      </c>
      <c r="I6" s="188">
        <f t="shared" si="0"/>
        <v>494</v>
      </c>
      <c r="J6" s="188">
        <f t="shared" si="0"/>
        <v>40</v>
      </c>
      <c r="K6" s="188">
        <f t="shared" si="0"/>
        <v>42</v>
      </c>
      <c r="L6" s="188">
        <f t="shared" si="0"/>
        <v>40</v>
      </c>
      <c r="M6" s="207">
        <f>SUM(B6:L6)</f>
        <v>1146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Cargo'!$FC$8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Cargo'!$FC$9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40</v>
      </c>
      <c r="C12" s="210">
        <f>C6+C10</f>
        <v>176</v>
      </c>
      <c r="D12" s="210">
        <f>D6+D10</f>
        <v>212</v>
      </c>
      <c r="E12" s="211"/>
      <c r="F12" s="212">
        <f t="shared" ref="F12:L12" si="2">F6+F10</f>
        <v>0</v>
      </c>
      <c r="G12" s="210">
        <f>G6+G10</f>
        <v>60</v>
      </c>
      <c r="H12" s="212">
        <f t="shared" si="2"/>
        <v>42</v>
      </c>
      <c r="I12" s="212">
        <f t="shared" si="2"/>
        <v>494</v>
      </c>
      <c r="J12" s="212">
        <f t="shared" si="2"/>
        <v>40</v>
      </c>
      <c r="K12" s="212">
        <f t="shared" si="2"/>
        <v>42</v>
      </c>
      <c r="L12" s="212">
        <f t="shared" si="2"/>
        <v>40</v>
      </c>
      <c r="M12" s="213">
        <f>SUM(B12:L12)</f>
        <v>1146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[3]DHL!$FC$47</f>
        <v>730139</v>
      </c>
      <c r="C16" s="161">
        <f>[3]FedEx!$FC$47</f>
        <v>8535918</v>
      </c>
      <c r="D16" s="161">
        <f>[3]UPS!$FC$47</f>
        <v>4849248</v>
      </c>
      <c r="E16" s="192"/>
      <c r="F16" s="118">
        <f>[3]ATI_BAX!$FC$47</f>
        <v>0</v>
      </c>
      <c r="G16" s="161">
        <f>[3]IFL!$FC$47</f>
        <v>43965</v>
      </c>
      <c r="H16" s="118">
        <f>'[3]Suburban Air Freight'!$FC$47</f>
        <v>34941</v>
      </c>
      <c r="I16" s="534" t="s">
        <v>88</v>
      </c>
      <c r="J16" s="118">
        <f>'[3]CSA Air'!$FC$47</f>
        <v>28995</v>
      </c>
      <c r="K16" s="118">
        <f>'[3]Mountain Cargo'!$FC$47</f>
        <v>46453</v>
      </c>
      <c r="L16" s="118">
        <f>'[3]Misc Cargo'!$FC$47</f>
        <v>49767</v>
      </c>
      <c r="M16" s="204">
        <f>SUM(B16:H16)+SUM(J16:L16)</f>
        <v>14319426</v>
      </c>
    </row>
    <row r="17" spans="1:14" x14ac:dyDescent="0.2">
      <c r="A17" s="53" t="s">
        <v>38</v>
      </c>
      <c r="B17" s="161">
        <f>[3]DHL!$FC$48</f>
        <v>0</v>
      </c>
      <c r="C17" s="161">
        <f>[3]FedEx!$FC$48</f>
        <v>0</v>
      </c>
      <c r="D17" s="161">
        <f>[3]UPS!$FC$48</f>
        <v>815</v>
      </c>
      <c r="E17" s="192"/>
      <c r="F17" s="118">
        <f>[3]ATI_BAX!$FC$48</f>
        <v>0</v>
      </c>
      <c r="G17" s="161">
        <f>[3]IFL!$FC$48</f>
        <v>0</v>
      </c>
      <c r="H17" s="118">
        <f>'[3]Suburban Air Freight'!$FC$48</f>
        <v>0</v>
      </c>
      <c r="I17" s="535"/>
      <c r="J17" s="118">
        <f>'[3]CSA Air'!$FC$48</f>
        <v>0</v>
      </c>
      <c r="K17" s="118">
        <f>'[3]Mountain Cargo'!$FC$48</f>
        <v>0</v>
      </c>
      <c r="L17" s="118">
        <f>'[3]Misc Cargo'!$FC$48</f>
        <v>0</v>
      </c>
      <c r="M17" s="204">
        <f>SUM(B17:H17)+SUM(J17:L17)</f>
        <v>815</v>
      </c>
    </row>
    <row r="18" spans="1:14" ht="18" customHeight="1" x14ac:dyDescent="0.2">
      <c r="A18" s="219" t="s">
        <v>39</v>
      </c>
      <c r="B18" s="302">
        <f>SUM(B16:B17)</f>
        <v>730139</v>
      </c>
      <c r="C18" s="302">
        <f>SUM(C16:C17)</f>
        <v>8535918</v>
      </c>
      <c r="D18" s="302">
        <f>SUM(D16:D17)</f>
        <v>4850063</v>
      </c>
      <c r="E18" s="197"/>
      <c r="F18" s="303">
        <f>SUM(F16:F17)</f>
        <v>0</v>
      </c>
      <c r="G18" s="302">
        <f>SUM(G16:G17)</f>
        <v>43965</v>
      </c>
      <c r="H18" s="303">
        <f>SUM(H16:H17)</f>
        <v>34941</v>
      </c>
      <c r="I18" s="535"/>
      <c r="J18" s="303">
        <f>SUM(J16:J17)</f>
        <v>28995</v>
      </c>
      <c r="K18" s="303">
        <f>SUM(K16:K17)</f>
        <v>46453</v>
      </c>
      <c r="L18" s="303">
        <f>SUM(L16:L17)</f>
        <v>49767</v>
      </c>
      <c r="M18" s="220">
        <f>SUM(B18:H18)+SUM(J18:L18)</f>
        <v>14320241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5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5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[3]DHL!$FC$52</f>
        <v>480620</v>
      </c>
      <c r="C21" s="161">
        <f>[3]FedEx!$FC$52</f>
        <v>8027783</v>
      </c>
      <c r="D21" s="161">
        <f>[3]UPS!$FC$52</f>
        <v>4103018</v>
      </c>
      <c r="E21" s="192"/>
      <c r="F21" s="118">
        <f>[3]ATI_BAX!$FC$52</f>
        <v>0</v>
      </c>
      <c r="G21" s="161">
        <f>[3]IFL!$FC$52</f>
        <v>41299</v>
      </c>
      <c r="H21" s="118">
        <f>'[3]Suburban Air Freight'!$FC$52</f>
        <v>76200</v>
      </c>
      <c r="I21" s="535"/>
      <c r="J21" s="118">
        <f>'[3]CSA Air'!$FC$52</f>
        <v>27795</v>
      </c>
      <c r="K21" s="118">
        <f>'[3]Mountain Cargo'!$FC$52</f>
        <v>100756</v>
      </c>
      <c r="L21" s="118">
        <f>'[3]Misc Cargo'!$FC$52</f>
        <v>37612</v>
      </c>
      <c r="M21" s="204">
        <f>SUM(B21:H21)+SUM(J21:L21)</f>
        <v>12895083</v>
      </c>
    </row>
    <row r="22" spans="1:14" x14ac:dyDescent="0.2">
      <c r="A22" s="53" t="s">
        <v>60</v>
      </c>
      <c r="B22" s="161">
        <f>[3]DHL!$FC$53</f>
        <v>0</v>
      </c>
      <c r="C22" s="161">
        <f>[3]FedEx!$FC$53</f>
        <v>0</v>
      </c>
      <c r="D22" s="161">
        <f>[3]UPS!$FC$53</f>
        <v>573429</v>
      </c>
      <c r="E22" s="192"/>
      <c r="F22" s="118">
        <f>[3]ATI_BAX!$FC$53</f>
        <v>0</v>
      </c>
      <c r="G22" s="161">
        <f>[3]IFL!$FC$53</f>
        <v>0</v>
      </c>
      <c r="H22" s="118">
        <f>'[3]Suburban Air Freight'!$FC$53</f>
        <v>0</v>
      </c>
      <c r="I22" s="535"/>
      <c r="J22" s="118">
        <f>'[3]CSA Air'!$FC$53</f>
        <v>0</v>
      </c>
      <c r="K22" s="118">
        <f>'[3]Mountain Cargo'!$FC$53</f>
        <v>0</v>
      </c>
      <c r="L22" s="118">
        <f>'[3]Misc Cargo'!$FC$53</f>
        <v>0</v>
      </c>
      <c r="M22" s="204">
        <f>SUM(B22:H22)+SUM(J22:L22)</f>
        <v>573429</v>
      </c>
    </row>
    <row r="23" spans="1:14" ht="18" customHeight="1" x14ac:dyDescent="0.2">
      <c r="A23" s="219" t="s">
        <v>41</v>
      </c>
      <c r="B23" s="302">
        <f>SUM(B21:B22)</f>
        <v>480620</v>
      </c>
      <c r="C23" s="302">
        <f>SUM(C21:C22)</f>
        <v>8027783</v>
      </c>
      <c r="D23" s="302">
        <f>SUM(D21:D22)</f>
        <v>4676447</v>
      </c>
      <c r="E23" s="197"/>
      <c r="F23" s="303">
        <f>SUM(F21:F22)</f>
        <v>0</v>
      </c>
      <c r="G23" s="302">
        <f>SUM(G21:G22)</f>
        <v>41299</v>
      </c>
      <c r="H23" s="303">
        <f>SUM(H21:H22)</f>
        <v>76200</v>
      </c>
      <c r="I23" s="535"/>
      <c r="J23" s="303">
        <f>SUM(J21:J22)</f>
        <v>27795</v>
      </c>
      <c r="K23" s="303">
        <f>SUM(K21:K22)</f>
        <v>100756</v>
      </c>
      <c r="L23" s="303">
        <f>SUM(L21:L22)</f>
        <v>37612</v>
      </c>
      <c r="M23" s="220">
        <f>SUM(B23:H23)+SUM(J23:L23)</f>
        <v>13468512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5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5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[3]DHL!$FC$57</f>
        <v>0</v>
      </c>
      <c r="C26" s="161">
        <f>[3]FedEx!$FC$57</f>
        <v>0</v>
      </c>
      <c r="D26" s="161">
        <f>[3]UPS!$FC$57</f>
        <v>0</v>
      </c>
      <c r="E26" s="192"/>
      <c r="F26" s="118">
        <f>[3]ATI_BAX!$FC$57</f>
        <v>0</v>
      </c>
      <c r="G26" s="161">
        <f>[3]IFL!$FC$57</f>
        <v>0</v>
      </c>
      <c r="H26" s="118">
        <f>'[3]Suburban Air Freight'!$FC$57</f>
        <v>0</v>
      </c>
      <c r="I26" s="535"/>
      <c r="J26" s="118">
        <f>'[3]CSA Air'!$FC$57</f>
        <v>0</v>
      </c>
      <c r="K26" s="118">
        <f>'[3]Mountain Cargo'!$FC$57</f>
        <v>0</v>
      </c>
      <c r="L26" s="118">
        <f>'[3]Misc Cargo'!$FC$57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[3]DHL!$FC$58</f>
        <v>0</v>
      </c>
      <c r="C27" s="161">
        <f>[3]FedEx!$FC$58</f>
        <v>0</v>
      </c>
      <c r="D27" s="161">
        <f>[3]UPS!$FC$58</f>
        <v>0</v>
      </c>
      <c r="E27" s="192"/>
      <c r="F27" s="118">
        <f>[3]ATI_BAX!$FC$58</f>
        <v>0</v>
      </c>
      <c r="G27" s="161">
        <f>[3]IFL!$FC$58</f>
        <v>0</v>
      </c>
      <c r="H27" s="118">
        <f>'[3]Suburban Air Freight'!$FC$58</f>
        <v>0</v>
      </c>
      <c r="I27" s="535"/>
      <c r="J27" s="118">
        <f>'[3]CSA Air'!$FC$58</f>
        <v>0</v>
      </c>
      <c r="K27" s="118">
        <f>'[3]Mountain Cargo'!$FC$58</f>
        <v>0</v>
      </c>
      <c r="L27" s="118">
        <f>'[3]Misc Cargo'!$FC$58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5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5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5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1210759</v>
      </c>
      <c r="C31" s="161">
        <f t="shared" si="3"/>
        <v>16563701</v>
      </c>
      <c r="D31" s="161">
        <f t="shared" si="3"/>
        <v>8952266</v>
      </c>
      <c r="E31" s="192"/>
      <c r="F31" s="118">
        <f t="shared" ref="F31:H33" si="4">F26+F21+F16</f>
        <v>0</v>
      </c>
      <c r="G31" s="161">
        <f t="shared" si="4"/>
        <v>85264</v>
      </c>
      <c r="H31" s="118">
        <f t="shared" si="4"/>
        <v>111141</v>
      </c>
      <c r="I31" s="535"/>
      <c r="J31" s="118">
        <f t="shared" ref="J31:L33" si="5">J26+J21+J16</f>
        <v>56790</v>
      </c>
      <c r="K31" s="118">
        <f t="shared" si="5"/>
        <v>147209</v>
      </c>
      <c r="L31" s="118">
        <f>L26+L21+L16</f>
        <v>87379</v>
      </c>
      <c r="M31" s="204">
        <f>SUM(B31:H31)+SUM(J31:L31)</f>
        <v>27214509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574244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6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574244</v>
      </c>
    </row>
    <row r="33" spans="1:13" ht="18" customHeight="1" thickBot="1" x14ac:dyDescent="0.25">
      <c r="A33" s="209" t="s">
        <v>46</v>
      </c>
      <c r="B33" s="210">
        <f t="shared" si="3"/>
        <v>1210759</v>
      </c>
      <c r="C33" s="210">
        <f t="shared" si="3"/>
        <v>16563701</v>
      </c>
      <c r="D33" s="210">
        <f t="shared" si="3"/>
        <v>9526510</v>
      </c>
      <c r="E33" s="223"/>
      <c r="F33" s="212">
        <f t="shared" si="4"/>
        <v>0</v>
      </c>
      <c r="G33" s="210">
        <f t="shared" si="4"/>
        <v>85264</v>
      </c>
      <c r="H33" s="212">
        <f t="shared" si="4"/>
        <v>111141</v>
      </c>
      <c r="I33" s="304">
        <f>I28+I23+I18</f>
        <v>0</v>
      </c>
      <c r="J33" s="212">
        <f t="shared" si="5"/>
        <v>56790</v>
      </c>
      <c r="K33" s="212">
        <f t="shared" si="5"/>
        <v>147209</v>
      </c>
      <c r="L33" s="212">
        <f t="shared" si="5"/>
        <v>87379</v>
      </c>
      <c r="M33" s="213">
        <f>SUM(B33:H33)+SUM(J33:L33)</f>
        <v>27788753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April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10" sqref="I1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4">
        <v>42826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200</v>
      </c>
      <c r="G2" s="78" t="s">
        <v>174</v>
      </c>
      <c r="H2" s="79" t="s">
        <v>66</v>
      </c>
      <c r="I2" s="80" t="s">
        <v>197</v>
      </c>
      <c r="J2" s="80" t="s">
        <v>172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5342775</v>
      </c>
      <c r="C5" s="118">
        <f>'Regional Major'!M25</f>
        <v>1407</v>
      </c>
      <c r="D5" s="118">
        <f>Cargo!M16</f>
        <v>14319426</v>
      </c>
      <c r="E5" s="118">
        <f>SUM(B5:D5)</f>
        <v>19663608</v>
      </c>
      <c r="F5" s="118">
        <f>E5*0.00045359237</f>
        <v>8919.2625554709593</v>
      </c>
      <c r="G5" s="146">
        <f>'[1]Cargo Summary'!F5</f>
        <v>8992.3272144305593</v>
      </c>
      <c r="H5" s="98">
        <f>(F5-G5)/G5</f>
        <v>-8.1252224499068944E-3</v>
      </c>
      <c r="I5" s="146">
        <f>+F5+'[2]Cargo Summary'!I5</f>
        <v>34367.468268316261</v>
      </c>
      <c r="J5" s="146">
        <f>'[1]Cargo Summary'!I5</f>
        <v>28282.932589937409</v>
      </c>
      <c r="K5" s="85">
        <f>(I5-J5)/J5</f>
        <v>0.21513100379638947</v>
      </c>
      <c r="M5" s="35"/>
    </row>
    <row r="6" spans="1:18" x14ac:dyDescent="0.2">
      <c r="A6" s="62" t="s">
        <v>16</v>
      </c>
      <c r="B6" s="169">
        <f>'Major Airline Stats'!J29</f>
        <v>2332900</v>
      </c>
      <c r="C6" s="118">
        <f>'Regional Major'!M26</f>
        <v>3154</v>
      </c>
      <c r="D6" s="118">
        <f>Cargo!M17</f>
        <v>815</v>
      </c>
      <c r="E6" s="118">
        <f>SUM(B6:D6)</f>
        <v>2336869</v>
      </c>
      <c r="F6" s="118">
        <f>E6*0.00045359237</f>
        <v>1059.98594808953</v>
      </c>
      <c r="G6" s="146">
        <f>'[1]Cargo Summary'!F6</f>
        <v>356.24373632771</v>
      </c>
      <c r="H6" s="37">
        <f>(F6-G6)/G6</f>
        <v>1.9754514676278963</v>
      </c>
      <c r="I6" s="146">
        <f>+F6+'[2]Cargo Summary'!I6</f>
        <v>3297.6895582715697</v>
      </c>
      <c r="J6" s="146">
        <f>'[1]Cargo Summary'!I6</f>
        <v>1820.083177153954</v>
      </c>
      <c r="K6" s="85">
        <f>(I6-J6)/J6</f>
        <v>0.81183453573156705</v>
      </c>
      <c r="M6" s="35"/>
    </row>
    <row r="7" spans="1:18" ht="18" customHeight="1" thickBot="1" x14ac:dyDescent="0.25">
      <c r="A7" s="73" t="s">
        <v>72</v>
      </c>
      <c r="B7" s="171">
        <f>SUM(B5:B6)</f>
        <v>7675675</v>
      </c>
      <c r="C7" s="133">
        <f t="shared" ref="C7:J7" si="0">SUM(C5:C6)</f>
        <v>4561</v>
      </c>
      <c r="D7" s="133">
        <f t="shared" si="0"/>
        <v>14320241</v>
      </c>
      <c r="E7" s="133">
        <f t="shared" si="0"/>
        <v>22000477</v>
      </c>
      <c r="F7" s="133">
        <f t="shared" si="0"/>
        <v>9979.2485035604896</v>
      </c>
      <c r="G7" s="133">
        <f t="shared" si="0"/>
        <v>9348.5709507582687</v>
      </c>
      <c r="H7" s="44">
        <f>(F7-G7)/G7</f>
        <v>6.7462455612113226E-2</v>
      </c>
      <c r="I7" s="133">
        <f t="shared" si="0"/>
        <v>37665.157826587834</v>
      </c>
      <c r="J7" s="133">
        <f t="shared" si="0"/>
        <v>30103.015767091361</v>
      </c>
      <c r="K7" s="318">
        <f>(I7-J7)/J7</f>
        <v>0.25120878645532291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3111403</v>
      </c>
      <c r="C10" s="118">
        <f>'Regional Major'!M30</f>
        <v>0</v>
      </c>
      <c r="D10" s="118">
        <f>Cargo!M21</f>
        <v>12895083</v>
      </c>
      <c r="E10" s="118">
        <f>SUM(B10:D10)</f>
        <v>16006486</v>
      </c>
      <c r="F10" s="118">
        <f>E10*0.00045359237</f>
        <v>7260.4199201118199</v>
      </c>
      <c r="G10" s="146">
        <f>'[1]Cargo Summary'!F10</f>
        <v>7774.5714074305197</v>
      </c>
      <c r="H10" s="37">
        <f>(F10-G10)/G10</f>
        <v>-6.6132454173268157E-2</v>
      </c>
      <c r="I10" s="146">
        <f>+F10+'[2]Cargo Summary'!I10</f>
        <v>29675.625819867721</v>
      </c>
      <c r="J10" s="146">
        <f>'[1]Cargo Summary'!I10</f>
        <v>30298.507934199115</v>
      </c>
      <c r="K10" s="85">
        <f>(I10-J10)/J10</f>
        <v>-2.0558177837804444E-2</v>
      </c>
      <c r="M10" s="35"/>
    </row>
    <row r="11" spans="1:18" x14ac:dyDescent="0.2">
      <c r="A11" s="62" t="s">
        <v>16</v>
      </c>
      <c r="B11" s="169">
        <f>'Major Airline Stats'!J34</f>
        <v>2274281</v>
      </c>
      <c r="C11" s="118">
        <f>'Regional Major'!M31</f>
        <v>641</v>
      </c>
      <c r="D11" s="118">
        <f>Cargo!M22</f>
        <v>573429</v>
      </c>
      <c r="E11" s="118">
        <f>SUM(B11:D11)</f>
        <v>2848351</v>
      </c>
      <c r="F11" s="118">
        <f>E11*0.00045359237</f>
        <v>1291.99028068187</v>
      </c>
      <c r="G11" s="146">
        <f>'[1]Cargo Summary'!F11</f>
        <v>356.87060098305</v>
      </c>
      <c r="H11" s="35">
        <f>(F11-G11)/G11</f>
        <v>2.6203326279130361</v>
      </c>
      <c r="I11" s="146">
        <f>+F11+'[2]Cargo Summary'!I11</f>
        <v>4279.0615983469197</v>
      </c>
      <c r="J11" s="146">
        <f>'[1]Cargo Summary'!I11</f>
        <v>1954.2523773919299</v>
      </c>
      <c r="K11" s="85">
        <f>(I11-J11)/J11</f>
        <v>1.1896156544824525</v>
      </c>
      <c r="M11" s="35"/>
    </row>
    <row r="12" spans="1:18" ht="18" customHeight="1" thickBot="1" x14ac:dyDescent="0.25">
      <c r="A12" s="73" t="s">
        <v>73</v>
      </c>
      <c r="B12" s="171">
        <f>SUM(B10:B11)</f>
        <v>5385684</v>
      </c>
      <c r="C12" s="133">
        <f t="shared" ref="C12:J12" si="1">SUM(C10:C11)</f>
        <v>641</v>
      </c>
      <c r="D12" s="133">
        <f t="shared" si="1"/>
        <v>13468512</v>
      </c>
      <c r="E12" s="133">
        <f t="shared" si="1"/>
        <v>18854837</v>
      </c>
      <c r="F12" s="133">
        <f t="shared" si="1"/>
        <v>8552.410200793689</v>
      </c>
      <c r="G12" s="133">
        <f t="shared" si="1"/>
        <v>8131.44200841357</v>
      </c>
      <c r="H12" s="44">
        <f>(F12-G12)/G12</f>
        <v>5.1770423000563115E-2</v>
      </c>
      <c r="I12" s="133">
        <f t="shared" si="1"/>
        <v>33954.687418214642</v>
      </c>
      <c r="J12" s="133">
        <f t="shared" si="1"/>
        <v>32252.760311591046</v>
      </c>
      <c r="K12" s="318">
        <f>(I12-J12)/J12</f>
        <v>5.2768417034121412E-2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8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8454178</v>
      </c>
      <c r="C20" s="118">
        <f t="shared" si="3"/>
        <v>1407</v>
      </c>
      <c r="D20" s="118">
        <f t="shared" si="3"/>
        <v>27214509</v>
      </c>
      <c r="E20" s="118">
        <f>SUM(B20:D20)</f>
        <v>35670094</v>
      </c>
      <c r="F20" s="118">
        <f>E20*0.00045359237</f>
        <v>16179.68247558278</v>
      </c>
      <c r="G20" s="146">
        <f>'[1]Cargo Summary'!F20</f>
        <v>16766.898621861081</v>
      </c>
      <c r="H20" s="37">
        <f>(F20-G20)/G20</f>
        <v>-3.5022347276119047E-2</v>
      </c>
      <c r="I20" s="146">
        <f>+F20+'[2]Cargo Summary'!I20</f>
        <v>64043.094088183978</v>
      </c>
      <c r="J20" s="146">
        <f>+J5+J10+J15</f>
        <v>58581.440524136524</v>
      </c>
      <c r="K20" s="85">
        <f>(I20-J20)/J20</f>
        <v>9.3231807124940225E-2</v>
      </c>
      <c r="M20" s="35"/>
    </row>
    <row r="21" spans="1:13" x14ac:dyDescent="0.2">
      <c r="A21" s="62" t="s">
        <v>16</v>
      </c>
      <c r="B21" s="169">
        <f t="shared" si="3"/>
        <v>4607181</v>
      </c>
      <c r="C21" s="120">
        <f t="shared" si="3"/>
        <v>3795</v>
      </c>
      <c r="D21" s="120">
        <f t="shared" si="3"/>
        <v>574244</v>
      </c>
      <c r="E21" s="118">
        <f>SUM(B21:D21)</f>
        <v>5185220</v>
      </c>
      <c r="F21" s="118">
        <f>E21*0.00045359237</f>
        <v>2351.9762287713997</v>
      </c>
      <c r="G21" s="146">
        <f>'[1]Cargo Summary'!F21</f>
        <v>713.11433731075999</v>
      </c>
      <c r="H21" s="37">
        <f>(F21-G21)/G21</f>
        <v>2.2981754898393785</v>
      </c>
      <c r="I21" s="146">
        <f>+F21+'[2]Cargo Summary'!I21</f>
        <v>7576.7511566184894</v>
      </c>
      <c r="J21" s="146">
        <f>+J6+J11+J16</f>
        <v>3774.335554545884</v>
      </c>
      <c r="K21" s="85">
        <f>(I21-J21)/J21</f>
        <v>1.0074397326684166</v>
      </c>
      <c r="M21" s="35"/>
    </row>
    <row r="22" spans="1:13" ht="18" customHeight="1" thickBot="1" x14ac:dyDescent="0.25">
      <c r="A22" s="88" t="s">
        <v>62</v>
      </c>
      <c r="B22" s="172">
        <f>SUM(B20:B21)</f>
        <v>13061359</v>
      </c>
      <c r="C22" s="173">
        <f t="shared" ref="C22:J22" si="4">SUM(C20:C21)</f>
        <v>5202</v>
      </c>
      <c r="D22" s="173">
        <f t="shared" si="4"/>
        <v>27788753</v>
      </c>
      <c r="E22" s="173">
        <f t="shared" si="4"/>
        <v>40855314</v>
      </c>
      <c r="F22" s="173">
        <f t="shared" si="4"/>
        <v>18531.65870435418</v>
      </c>
      <c r="G22" s="173">
        <f t="shared" si="4"/>
        <v>17480.01295917184</v>
      </c>
      <c r="H22" s="324">
        <f>(F22-G22)/G22</f>
        <v>6.0162755464694184E-2</v>
      </c>
      <c r="I22" s="173">
        <f t="shared" si="4"/>
        <v>71619.845244802462</v>
      </c>
      <c r="J22" s="173">
        <f t="shared" si="4"/>
        <v>62355.776078682407</v>
      </c>
      <c r="K22" s="325">
        <f>(I22-J22)/J22</f>
        <v>0.14856793947092201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K11" sqref="K11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218</v>
      </c>
      <c r="B2" s="548"/>
      <c r="C2" s="475" t="s">
        <v>201</v>
      </c>
      <c r="D2" s="477" t="s">
        <v>175</v>
      </c>
      <c r="E2" s="478" t="s">
        <v>98</v>
      </c>
      <c r="F2" s="479" t="s">
        <v>202</v>
      </c>
      <c r="G2" s="477" t="s">
        <v>176</v>
      </c>
      <c r="H2" s="476" t="s">
        <v>99</v>
      </c>
      <c r="I2" s="478" t="s">
        <v>140</v>
      </c>
      <c r="J2" s="547" t="s">
        <v>211</v>
      </c>
      <c r="K2" s="548"/>
      <c r="L2" s="475" t="s">
        <v>203</v>
      </c>
      <c r="M2" s="477" t="s">
        <v>177</v>
      </c>
      <c r="N2" s="480" t="s">
        <v>99</v>
      </c>
      <c r="O2" s="481" t="s">
        <v>204</v>
      </c>
      <c r="P2" s="481" t="s">
        <v>178</v>
      </c>
      <c r="Q2" s="514" t="s">
        <v>99</v>
      </c>
      <c r="R2" s="478" t="s">
        <v>217</v>
      </c>
    </row>
    <row r="3" spans="1:19" s="224" customFormat="1" ht="13.5" customHeight="1" thickBot="1" x14ac:dyDescent="0.25">
      <c r="A3" s="549">
        <v>42826</v>
      </c>
      <c r="B3" s="550"/>
      <c r="C3" s="551" t="s">
        <v>9</v>
      </c>
      <c r="D3" s="552"/>
      <c r="E3" s="552"/>
      <c r="F3" s="552"/>
      <c r="G3" s="552"/>
      <c r="H3" s="553"/>
      <c r="I3" s="482"/>
      <c r="J3" s="549">
        <v>42826</v>
      </c>
      <c r="K3" s="550"/>
      <c r="L3" s="541" t="s">
        <v>212</v>
      </c>
      <c r="M3" s="542"/>
      <c r="N3" s="542"/>
      <c r="O3" s="542"/>
      <c r="P3" s="542"/>
      <c r="Q3" s="542"/>
      <c r="R3" s="543"/>
    </row>
    <row r="4" spans="1:19" x14ac:dyDescent="0.2">
      <c r="A4" s="346"/>
      <c r="B4" s="347"/>
      <c r="C4" s="348"/>
      <c r="D4" s="349"/>
      <c r="E4" s="350"/>
      <c r="F4" s="483"/>
      <c r="G4" s="418"/>
      <c r="H4" s="500"/>
      <c r="I4" s="350"/>
      <c r="J4" s="351"/>
      <c r="K4" s="347"/>
      <c r="L4" s="509"/>
      <c r="M4" s="5"/>
      <c r="N4" s="85"/>
      <c r="O4" s="53"/>
      <c r="P4" s="11"/>
      <c r="Q4" s="11"/>
      <c r="R4" s="55"/>
    </row>
    <row r="5" spans="1:19" ht="14.1" customHeight="1" x14ac:dyDescent="0.2">
      <c r="A5" s="353" t="s">
        <v>213</v>
      </c>
      <c r="B5" s="55"/>
      <c r="C5" s="354">
        <f>+[3]DHL!$FC$12</f>
        <v>40</v>
      </c>
      <c r="D5" s="356">
        <f>+[3]DHL!$EO$12</f>
        <v>42</v>
      </c>
      <c r="E5" s="357">
        <f>(C5-D5)/D5</f>
        <v>-4.7619047619047616E-2</v>
      </c>
      <c r="F5" s="354">
        <f>SUM([3]DHL!$EZ$12:$FC$12)</f>
        <v>168</v>
      </c>
      <c r="G5" s="356">
        <f>+SUM([3]DHL!$EL$12:$EO$12)</f>
        <v>172</v>
      </c>
      <c r="H5" s="355">
        <f>(F5-G5)/G5</f>
        <v>-2.3255813953488372E-2</v>
      </c>
      <c r="I5" s="357">
        <f>+F5/$F$24</f>
        <v>3.7592302528529874E-2</v>
      </c>
      <c r="J5" s="353" t="s">
        <v>213</v>
      </c>
      <c r="K5" s="55"/>
      <c r="L5" s="354">
        <f>+[3]DHL!$FC$64</f>
        <v>1210759</v>
      </c>
      <c r="M5" s="356">
        <f>+[3]DHL!$EO$64</f>
        <v>1192061</v>
      </c>
      <c r="N5" s="357">
        <f>(L5-M5)/M5</f>
        <v>1.5685438916297069E-2</v>
      </c>
      <c r="O5" s="354">
        <f>SUM([3]DHL!$EZ$64:$FC$64)</f>
        <v>4718168</v>
      </c>
      <c r="P5" s="356">
        <f>+SUM([3]DHL!$EL$64:$EO$64)</f>
        <v>4397650</v>
      </c>
      <c r="Q5" s="355">
        <f>(O5-P5)/P5</f>
        <v>7.288392664263868E-2</v>
      </c>
      <c r="R5" s="357">
        <f>O5/$O$24</f>
        <v>4.2102063886937761E-2</v>
      </c>
      <c r="S5" s="20"/>
    </row>
    <row r="6" spans="1:19" ht="14.1" customHeight="1" x14ac:dyDescent="0.2">
      <c r="A6" s="353"/>
      <c r="B6" s="368"/>
      <c r="C6" s="354"/>
      <c r="D6" s="356"/>
      <c r="E6" s="357"/>
      <c r="F6" s="354"/>
      <c r="G6" s="356"/>
      <c r="H6" s="355"/>
      <c r="I6" s="357"/>
      <c r="J6" s="353"/>
      <c r="K6" s="55"/>
      <c r="L6" s="358"/>
      <c r="M6" s="9"/>
      <c r="N6" s="86"/>
      <c r="O6" s="354"/>
      <c r="P6" s="356"/>
      <c r="Q6" s="39"/>
      <c r="R6" s="86"/>
      <c r="S6" s="20"/>
    </row>
    <row r="7" spans="1:19" ht="14.1" customHeight="1" x14ac:dyDescent="0.2">
      <c r="A7" s="353" t="s">
        <v>214</v>
      </c>
      <c r="B7" s="368"/>
      <c r="C7" s="354">
        <f>+[3]FedEx!$FC$12</f>
        <v>176</v>
      </c>
      <c r="D7" s="356">
        <f>+[3]FedEx!$EO$12</f>
        <v>166</v>
      </c>
      <c r="E7" s="357">
        <f>(C7-D7)/D7</f>
        <v>6.0240963855421686E-2</v>
      </c>
      <c r="F7" s="354">
        <f>SUM([3]FedEx!$EZ$12:$FC$12)</f>
        <v>718</v>
      </c>
      <c r="G7" s="356">
        <f>+SUM([3]FedEx!$EL$12:$EO$12)</f>
        <v>678</v>
      </c>
      <c r="H7" s="355">
        <f t="shared" ref="H7" si="0">(F7-G7)/G7</f>
        <v>5.8997050147492625E-2</v>
      </c>
      <c r="I7" s="357">
        <f>+F7/$F$24</f>
        <v>0.16066234056835982</v>
      </c>
      <c r="J7" s="353" t="s">
        <v>214</v>
      </c>
      <c r="K7" s="55"/>
      <c r="L7" s="354">
        <f>+[3]FedEx!$FC$64</f>
        <v>16563701</v>
      </c>
      <c r="M7" s="356">
        <f>+[3]FedEx!$EO$64</f>
        <v>18114314</v>
      </c>
      <c r="N7" s="357">
        <f>(L7-M7)/M7</f>
        <v>-8.5601530369850048E-2</v>
      </c>
      <c r="O7" s="354">
        <f>SUM([3]FedEx!$EZ$64:$FC$64)</f>
        <v>66456950</v>
      </c>
      <c r="P7" s="356">
        <f>+SUM([3]FedEx!$EL$64:$EO$64)</f>
        <v>62322095</v>
      </c>
      <c r="Q7" s="355">
        <f t="shared" ref="Q7" si="1">(O7-P7)/P7</f>
        <v>6.6346534082334679E-2</v>
      </c>
      <c r="R7" s="357">
        <f>O7/$O$24</f>
        <v>0.59302143430056509</v>
      </c>
      <c r="S7" s="20"/>
    </row>
    <row r="8" spans="1:19" ht="14.1" customHeight="1" x14ac:dyDescent="0.2">
      <c r="A8" s="353"/>
      <c r="B8" s="368"/>
      <c r="C8" s="354"/>
      <c r="D8" s="356"/>
      <c r="E8" s="357"/>
      <c r="F8" s="354"/>
      <c r="G8" s="356"/>
      <c r="H8" s="355"/>
      <c r="I8" s="357"/>
      <c r="J8" s="353"/>
      <c r="K8" s="55"/>
      <c r="L8" s="358"/>
      <c r="M8" s="9"/>
      <c r="N8" s="86"/>
      <c r="O8" s="354"/>
      <c r="P8" s="356"/>
      <c r="Q8" s="39"/>
      <c r="R8" s="86"/>
      <c r="S8" s="20"/>
    </row>
    <row r="9" spans="1:19" ht="14.1" customHeight="1" x14ac:dyDescent="0.2">
      <c r="A9" s="353" t="s">
        <v>83</v>
      </c>
      <c r="B9" s="368"/>
      <c r="C9" s="354">
        <f>+[3]UPS!$FC$12</f>
        <v>180</v>
      </c>
      <c r="D9" s="356">
        <f>+[3]UPS!$EO$12</f>
        <v>162</v>
      </c>
      <c r="E9" s="357">
        <f>(C9-D9)/D9</f>
        <v>0.1111111111111111</v>
      </c>
      <c r="F9" s="354">
        <f>SUM([3]UPS!$EZ$12:$FC$12)</f>
        <v>732</v>
      </c>
      <c r="G9" s="356">
        <f>+SUM([3]UPS!$EL$12:$EO$12)</f>
        <v>666</v>
      </c>
      <c r="H9" s="355">
        <f>(F9-G9)/G9</f>
        <v>9.90990990990991E-2</v>
      </c>
      <c r="I9" s="357">
        <f>+F9/$F$24</f>
        <v>0.16379503244573732</v>
      </c>
      <c r="J9" s="353" t="s">
        <v>83</v>
      </c>
      <c r="K9" s="55"/>
      <c r="L9" s="354">
        <f>+[3]UPS!$FC$64</f>
        <v>9526510</v>
      </c>
      <c r="M9" s="356">
        <f>+[3]UPS!$EO$64</f>
        <v>9415305</v>
      </c>
      <c r="N9" s="357">
        <f>(L9-M9)/M9</f>
        <v>1.1811088435265772E-2</v>
      </c>
      <c r="O9" s="354">
        <f>SUM([3]UPS!$EZ$64:$FC$64)</f>
        <v>38920209</v>
      </c>
      <c r="P9" s="356">
        <f>+SUM([3]UPS!$EL$64:$EO$64)</f>
        <v>32664204</v>
      </c>
      <c r="Q9" s="355">
        <f>(O9-P9)/P9</f>
        <v>0.19152479576725642</v>
      </c>
      <c r="R9" s="357">
        <f>O9/$O$24</f>
        <v>0.34730029236156285</v>
      </c>
      <c r="S9" s="20"/>
    </row>
    <row r="10" spans="1:19" ht="14.1" customHeight="1" x14ac:dyDescent="0.2">
      <c r="A10" s="353"/>
      <c r="B10" s="368"/>
      <c r="C10" s="354"/>
      <c r="D10" s="356"/>
      <c r="E10" s="357"/>
      <c r="F10" s="354"/>
      <c r="G10" s="356"/>
      <c r="H10" s="355"/>
      <c r="I10" s="357"/>
      <c r="J10" s="353"/>
      <c r="K10" s="55"/>
      <c r="L10" s="358"/>
      <c r="M10" s="9"/>
      <c r="N10" s="86"/>
      <c r="O10" s="354"/>
      <c r="P10" s="356"/>
      <c r="Q10" s="39"/>
      <c r="R10" s="86"/>
      <c r="S10" s="20"/>
    </row>
    <row r="11" spans="1:19" ht="14.1" customHeight="1" x14ac:dyDescent="0.2">
      <c r="A11" s="353" t="s">
        <v>195</v>
      </c>
      <c r="B11" s="368"/>
      <c r="C11" s="354">
        <f>+[3]IFL!$FC$12</f>
        <v>60</v>
      </c>
      <c r="D11" s="356">
        <f>+[3]IFL!$EO$12</f>
        <v>68</v>
      </c>
      <c r="E11" s="357">
        <f>(C11-D11)/D11</f>
        <v>-0.11764705882352941</v>
      </c>
      <c r="F11" s="354">
        <f>SUM([3]IFL!$EZ$12:$FC$12)</f>
        <v>258</v>
      </c>
      <c r="G11" s="356">
        <f>+SUM([3]IFL!$EL$12:$EO$12)</f>
        <v>260</v>
      </c>
      <c r="H11" s="355">
        <f>(F11-G11)/G11</f>
        <v>-7.6923076923076927E-3</v>
      </c>
      <c r="I11" s="357">
        <f>+F11/$F$24</f>
        <v>5.7731036025956591E-2</v>
      </c>
      <c r="J11" s="353" t="s">
        <v>195</v>
      </c>
      <c r="K11" s="55"/>
      <c r="L11" s="354">
        <f>+[3]IFL!$FC$64</f>
        <v>85264</v>
      </c>
      <c r="M11" s="356">
        <f>+[3]IFL!$EO$64</f>
        <v>80740</v>
      </c>
      <c r="N11" s="357">
        <f>(L11-M11)/M11</f>
        <v>5.6031706712905624E-2</v>
      </c>
      <c r="O11" s="354">
        <f>SUM([3]IFL!$EZ$64:$FC$64)</f>
        <v>343357</v>
      </c>
      <c r="P11" s="356">
        <f>+SUM([3]IFL!$EL$64:$EO$64)</f>
        <v>277635</v>
      </c>
      <c r="Q11" s="355">
        <f>(O11-P11)/P11</f>
        <v>0.23672087452950816</v>
      </c>
      <c r="R11" s="357">
        <f>O11/$O$24</f>
        <v>3.0639092016281088E-3</v>
      </c>
      <c r="S11" s="20"/>
    </row>
    <row r="12" spans="1:19" ht="14.1" customHeight="1" x14ac:dyDescent="0.2">
      <c r="A12" s="353"/>
      <c r="B12" s="368"/>
      <c r="C12" s="354"/>
      <c r="D12" s="359"/>
      <c r="E12" s="357"/>
      <c r="F12" s="484"/>
      <c r="G12" s="359"/>
      <c r="H12" s="355"/>
      <c r="I12" s="357"/>
      <c r="J12" s="353"/>
      <c r="K12" s="55"/>
      <c r="L12" s="360"/>
      <c r="M12" s="146"/>
      <c r="N12" s="86"/>
      <c r="O12" s="360"/>
      <c r="P12" s="146"/>
      <c r="Q12" s="39"/>
      <c r="R12" s="86"/>
      <c r="S12" s="20"/>
    </row>
    <row r="13" spans="1:19" ht="14.1" customHeight="1" x14ac:dyDescent="0.2">
      <c r="A13" s="353" t="s">
        <v>166</v>
      </c>
      <c r="B13" s="366"/>
      <c r="C13" s="354">
        <f>+'[3]Suburban Air Freight'!$FC$12</f>
        <v>0</v>
      </c>
      <c r="D13" s="356">
        <f>+'[3]Suburban Air Freight'!$EO$12</f>
        <v>0</v>
      </c>
      <c r="E13" s="357" t="e">
        <f>(C13-D13)/D13</f>
        <v>#DIV/0!</v>
      </c>
      <c r="F13" s="354">
        <f>SUM('[3]Suburban Air Freight'!$EZ$12:$FC$12)</f>
        <v>0</v>
      </c>
      <c r="G13" s="356">
        <f>+SUM('[3]Suburban Air Freight'!$EL$12:$EO$12)</f>
        <v>0</v>
      </c>
      <c r="H13" s="355" t="e">
        <f t="shared" ref="H13" si="2">(F13-G13)/G13</f>
        <v>#DIV/0!</v>
      </c>
      <c r="I13" s="357">
        <f>+F13/$F$24</f>
        <v>0</v>
      </c>
      <c r="J13" s="353" t="s">
        <v>166</v>
      </c>
      <c r="K13" s="361"/>
      <c r="L13" s="354">
        <f>+'[3]Suburban Air Freight'!$FC$64</f>
        <v>111141</v>
      </c>
      <c r="M13" s="356">
        <f>+'[3]Suburban Air Freight'!$EO$64</f>
        <v>85495</v>
      </c>
      <c r="N13" s="357">
        <f>(L13-M13)/M13</f>
        <v>0.29997075852389027</v>
      </c>
      <c r="O13" s="354">
        <f>SUM('[3]Suburban Air Freight'!$EZ$64:$FC$64)</f>
        <v>392600</v>
      </c>
      <c r="P13" s="356">
        <f>+SUM('[3]Suburban Air Freight'!$EL$64:$EO$64)</f>
        <v>329653</v>
      </c>
      <c r="Q13" s="355">
        <f t="shared" ref="Q13" si="3">(O13-P13)/P13</f>
        <v>0.19094927090000699</v>
      </c>
      <c r="R13" s="357">
        <f>O13/$O$24</f>
        <v>3.5033238074633558E-3</v>
      </c>
      <c r="S13" s="20"/>
    </row>
    <row r="14" spans="1:19" ht="14.1" customHeight="1" x14ac:dyDescent="0.2">
      <c r="A14" s="53"/>
      <c r="B14" s="363"/>
      <c r="C14" s="354"/>
      <c r="D14" s="9"/>
      <c r="E14" s="86"/>
      <c r="F14" s="358"/>
      <c r="G14" s="9"/>
      <c r="H14" s="39"/>
      <c r="I14" s="86"/>
      <c r="J14" s="53"/>
      <c r="K14" s="363"/>
      <c r="L14" s="358"/>
      <c r="M14" s="9"/>
      <c r="N14" s="86"/>
      <c r="O14" s="358"/>
      <c r="P14" s="9"/>
      <c r="Q14" s="39"/>
      <c r="R14" s="86"/>
      <c r="S14" s="20"/>
    </row>
    <row r="15" spans="1:19" ht="14.1" customHeight="1" x14ac:dyDescent="0.2">
      <c r="A15" s="353" t="s">
        <v>85</v>
      </c>
      <c r="B15" s="363"/>
      <c r="C15" s="354">
        <f>+[3]Bemidji!$FC$12</f>
        <v>494</v>
      </c>
      <c r="D15" s="356">
        <f>+[3]Bemidji!$EO$12</f>
        <v>444</v>
      </c>
      <c r="E15" s="357">
        <f>(C15-D15)/D15</f>
        <v>0.11261261261261261</v>
      </c>
      <c r="F15" s="354">
        <f>SUM([3]Bemidji!$EZ$12:$FC$12)</f>
        <v>2092</v>
      </c>
      <c r="G15" s="356">
        <f>+SUM([3]Bemidji!$EL$12:$EO$12)</f>
        <v>1824</v>
      </c>
      <c r="H15" s="355">
        <f t="shared" ref="H15" si="4">(F15-G15)/G15</f>
        <v>0.14692982456140352</v>
      </c>
      <c r="I15" s="357">
        <f>+F15/$F$24</f>
        <v>0.46811367196240772</v>
      </c>
      <c r="J15" s="353" t="s">
        <v>85</v>
      </c>
      <c r="K15" s="363"/>
      <c r="L15" s="544" t="s">
        <v>219</v>
      </c>
      <c r="M15" s="545"/>
      <c r="N15" s="545"/>
      <c r="O15" s="545"/>
      <c r="P15" s="545"/>
      <c r="Q15" s="545"/>
      <c r="R15" s="546"/>
      <c r="S15" s="20"/>
    </row>
    <row r="16" spans="1:19" ht="14.1" customHeight="1" x14ac:dyDescent="0.2">
      <c r="A16" s="53"/>
      <c r="B16" s="363"/>
      <c r="C16" s="354"/>
      <c r="D16" s="9"/>
      <c r="E16" s="86"/>
      <c r="F16" s="358"/>
      <c r="G16" s="9"/>
      <c r="H16" s="39"/>
      <c r="I16" s="86"/>
      <c r="J16" s="53"/>
      <c r="K16" s="363"/>
      <c r="L16" s="358"/>
      <c r="M16" s="9"/>
      <c r="N16" s="86"/>
      <c r="O16" s="358"/>
      <c r="P16" s="9"/>
      <c r="Q16" s="39"/>
      <c r="R16" s="86"/>
      <c r="S16" s="20"/>
    </row>
    <row r="17" spans="1:19" ht="14.1" customHeight="1" x14ac:dyDescent="0.2">
      <c r="A17" s="353" t="s">
        <v>86</v>
      </c>
      <c r="B17" s="363"/>
      <c r="C17" s="354">
        <f>+'[3]CSA Air'!$FC$12</f>
        <v>40</v>
      </c>
      <c r="D17" s="356">
        <f>+'[3]CSA Air'!$EO$12</f>
        <v>42</v>
      </c>
      <c r="E17" s="357">
        <f>(C17-D17)/D17</f>
        <v>-4.7619047619047616E-2</v>
      </c>
      <c r="F17" s="354">
        <f>SUM('[3]CSA Air'!$EZ$12:$FC$12)</f>
        <v>170</v>
      </c>
      <c r="G17" s="356">
        <f>+SUM('[3]CSA Air'!$EL$12:$EO$12)</f>
        <v>172</v>
      </c>
      <c r="H17" s="355">
        <f t="shared" ref="H17" si="5">(F17-G17)/G17</f>
        <v>-1.1627906976744186E-2</v>
      </c>
      <c r="I17" s="357">
        <f>+F17/$F$24</f>
        <v>3.8039829939583797E-2</v>
      </c>
      <c r="J17" s="353" t="s">
        <v>86</v>
      </c>
      <c r="K17" s="363"/>
      <c r="L17" s="354">
        <f>+'[3]CSA Air'!$FC$64</f>
        <v>56790</v>
      </c>
      <c r="M17" s="356">
        <f>+'[3]CSA Air'!$EO$64</f>
        <v>59466</v>
      </c>
      <c r="N17" s="357">
        <f>(L17-M17)/M17</f>
        <v>-4.5000504489960652E-2</v>
      </c>
      <c r="O17" s="354">
        <f>SUM('[3]CSA Air'!$EZ$64:$FC$64)</f>
        <v>247808</v>
      </c>
      <c r="P17" s="356">
        <f>+SUM('[3]CSA Air'!$EL$64:$EO$64)</f>
        <v>239074</v>
      </c>
      <c r="Q17" s="355">
        <f t="shared" ref="Q17" si="6">(O17-P17)/P17</f>
        <v>3.6532621698720895E-2</v>
      </c>
      <c r="R17" s="357">
        <f>O17/$O$24</f>
        <v>2.2112879930715214E-3</v>
      </c>
      <c r="S17" s="20"/>
    </row>
    <row r="18" spans="1:19" ht="14.1" customHeight="1" x14ac:dyDescent="0.2">
      <c r="A18" s="53"/>
      <c r="B18" s="363"/>
      <c r="C18" s="354"/>
      <c r="D18" s="9"/>
      <c r="E18" s="86"/>
      <c r="F18" s="358"/>
      <c r="G18" s="9"/>
      <c r="H18" s="39"/>
      <c r="I18" s="86"/>
      <c r="J18" s="53"/>
      <c r="K18" s="363"/>
      <c r="L18" s="358"/>
      <c r="M18" s="9"/>
      <c r="N18" s="86"/>
      <c r="O18" s="358"/>
      <c r="P18" s="9"/>
      <c r="Q18" s="39"/>
      <c r="R18" s="86"/>
      <c r="S18" s="20"/>
    </row>
    <row r="19" spans="1:19" ht="14.1" customHeight="1" x14ac:dyDescent="0.2">
      <c r="A19" s="353" t="s">
        <v>87</v>
      </c>
      <c r="B19" s="366"/>
      <c r="C19" s="354">
        <f>+'[3]Mountain Cargo'!$FC$12</f>
        <v>42</v>
      </c>
      <c r="D19" s="356">
        <f>+'[3]Mountain Cargo'!$EO$12</f>
        <v>42</v>
      </c>
      <c r="E19" s="357">
        <f>(C19-D19)/D19</f>
        <v>0</v>
      </c>
      <c r="F19" s="354">
        <f>SUM('[3]Mountain Cargo'!$EZ$12:$FC$12)</f>
        <v>162</v>
      </c>
      <c r="G19" s="356">
        <f>+SUM('[3]Mountain Cargo'!$EL$12:$EO$12)</f>
        <v>168</v>
      </c>
      <c r="H19" s="355">
        <f>(F19-G19)/G19</f>
        <v>-3.5714285714285712E-2</v>
      </c>
      <c r="I19" s="357">
        <f>+F19/$F$24</f>
        <v>3.624972029536809E-2</v>
      </c>
      <c r="J19" s="353" t="s">
        <v>87</v>
      </c>
      <c r="K19" s="366"/>
      <c r="L19" s="354">
        <f>+'[3]Mountain Cargo'!$FC$64</f>
        <v>147209</v>
      </c>
      <c r="M19" s="356">
        <f>+'[3]Mountain Cargo'!$EO$64</f>
        <v>179812</v>
      </c>
      <c r="N19" s="357">
        <f>(L19-M19)/M19</f>
        <v>-0.18131715347140345</v>
      </c>
      <c r="O19" s="354">
        <f>SUM('[3]Mountain Cargo'!$EZ$64:$FC$64)</f>
        <v>657432</v>
      </c>
      <c r="P19" s="356">
        <f>+SUM('[3]Mountain Cargo'!$EL$64:$EO$64)</f>
        <v>640270</v>
      </c>
      <c r="Q19" s="355">
        <f t="shared" ref="Q19" si="7">(O19-P19)/P19</f>
        <v>2.6804316928795664E-2</v>
      </c>
      <c r="R19" s="357">
        <f>O19/$O$24</f>
        <v>5.866523630637414E-3</v>
      </c>
      <c r="S19" s="420"/>
    </row>
    <row r="20" spans="1:19" ht="14.1" customHeight="1" x14ac:dyDescent="0.2">
      <c r="A20" s="53"/>
      <c r="B20" s="436"/>
      <c r="C20" s="354"/>
      <c r="D20" s="9"/>
      <c r="E20" s="86"/>
      <c r="F20" s="358"/>
      <c r="G20" s="9"/>
      <c r="H20" s="39"/>
      <c r="I20" s="86"/>
      <c r="J20" s="53"/>
      <c r="K20" s="436"/>
      <c r="L20" s="358"/>
      <c r="M20" s="9"/>
      <c r="N20" s="86"/>
      <c r="O20" s="358"/>
      <c r="P20" s="9"/>
      <c r="Q20" s="39"/>
      <c r="R20" s="86"/>
      <c r="S20" s="328"/>
    </row>
    <row r="21" spans="1:19" s="7" customFormat="1" ht="14.1" customHeight="1" x14ac:dyDescent="0.2">
      <c r="A21" s="353" t="s">
        <v>130</v>
      </c>
      <c r="B21" s="368"/>
      <c r="C21" s="354">
        <f>+'[3]Misc Cargo'!$FC$12</f>
        <v>40</v>
      </c>
      <c r="D21" s="356">
        <f>+'[3]Misc Cargo'!$EO$12</f>
        <v>42</v>
      </c>
      <c r="E21" s="357">
        <f>(C21-D21)/D21</f>
        <v>-4.7619047619047616E-2</v>
      </c>
      <c r="F21" s="354">
        <f>SUM('[3]Misc Cargo'!$EZ$12:$FC$12)</f>
        <v>169</v>
      </c>
      <c r="G21" s="356">
        <f>+SUM('[3]Misc Cargo'!$EL$12:$EO$12)</f>
        <v>170</v>
      </c>
      <c r="H21" s="355">
        <f>(F21-G21)/G21</f>
        <v>-5.8823529411764705E-3</v>
      </c>
      <c r="I21" s="357">
        <f>+F21/$F$24</f>
        <v>3.7816066234056839E-2</v>
      </c>
      <c r="J21" s="353" t="s">
        <v>130</v>
      </c>
      <c r="K21" s="368"/>
      <c r="L21" s="354">
        <f>+'[3]Misc Cargo'!$FC$64</f>
        <v>87379</v>
      </c>
      <c r="M21" s="356">
        <f>+'[3]Misc Cargo'!$EO$64</f>
        <v>78587</v>
      </c>
      <c r="N21" s="357">
        <f>(L21-M21)/M21</f>
        <v>0.11187601002710372</v>
      </c>
      <c r="O21" s="354">
        <f>SUM('[3]Misc Cargo'!$EZ$64:$FC$64)</f>
        <v>328481</v>
      </c>
      <c r="P21" s="356">
        <f>+SUM('[3]Misc Cargo'!$EL$64:$EO$64)</f>
        <v>286462</v>
      </c>
      <c r="Q21" s="355">
        <f>(O21-P21)/P21</f>
        <v>0.14668263155322522</v>
      </c>
      <c r="R21" s="357">
        <f>O21/$O$24</f>
        <v>2.9311648181339035E-3</v>
      </c>
      <c r="S21" s="485"/>
    </row>
    <row r="22" spans="1:19" s="7" customFormat="1" ht="14.1" customHeight="1" thickBot="1" x14ac:dyDescent="0.25">
      <c r="A22" s="486"/>
      <c r="B22" s="487"/>
      <c r="C22" s="488"/>
      <c r="D22" s="490"/>
      <c r="E22" s="491"/>
      <c r="F22" s="488"/>
      <c r="G22" s="490"/>
      <c r="H22" s="489"/>
      <c r="I22" s="491"/>
      <c r="J22" s="353"/>
      <c r="K22" s="368"/>
      <c r="L22" s="370"/>
      <c r="M22" s="374"/>
      <c r="N22" s="373"/>
      <c r="O22" s="370"/>
      <c r="P22" s="374"/>
      <c r="Q22" s="371"/>
      <c r="R22" s="487"/>
      <c r="S22" s="485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92" customFormat="1" ht="15.75" thickBot="1" x14ac:dyDescent="0.3">
      <c r="B24" s="493" t="s">
        <v>215</v>
      </c>
      <c r="C24" s="494">
        <f>+SUM(C5:C21)</f>
        <v>1072</v>
      </c>
      <c r="D24" s="495">
        <f>SUM(D5:D22)</f>
        <v>1008</v>
      </c>
      <c r="E24" s="496">
        <f>(C24-D24)/D24</f>
        <v>6.3492063492063489E-2</v>
      </c>
      <c r="F24" s="494">
        <f>+SUM(F5:F21)</f>
        <v>4469</v>
      </c>
      <c r="G24" s="494">
        <f>+SUM(G5:G21)</f>
        <v>4110</v>
      </c>
      <c r="H24" s="497">
        <f>(F24-G24)/G24</f>
        <v>8.734793187347932E-2</v>
      </c>
      <c r="I24" s="513"/>
      <c r="K24" s="493" t="s">
        <v>215</v>
      </c>
      <c r="L24" s="494">
        <f>+SUM(L5:L21)</f>
        <v>27788753</v>
      </c>
      <c r="M24" s="498">
        <f>SUM(M5:M22)</f>
        <v>29205780</v>
      </c>
      <c r="N24" s="499">
        <f>(L24-M24)/M24</f>
        <v>-4.8518717870229794E-2</v>
      </c>
      <c r="O24" s="494">
        <f>+SUM(O5:O21)</f>
        <v>112065005</v>
      </c>
      <c r="P24" s="494">
        <f>+SUM(P5:P21)</f>
        <v>101157043</v>
      </c>
      <c r="Q24" s="497">
        <f t="shared" ref="Q24" si="8">(O24-P24)/P24</f>
        <v>0.10783195787959124</v>
      </c>
      <c r="R24" s="513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April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2017-05-17T18:32:23Z</cp:lastPrinted>
  <dcterms:created xsi:type="dcterms:W3CDTF">2007-09-24T12:26:24Z</dcterms:created>
  <dcterms:modified xsi:type="dcterms:W3CDTF">2019-05-19T07:38:15Z</dcterms:modified>
</cp:coreProperties>
</file>