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10">'Ops+Rev Pax Activity'!$A$1:$R$66</definedName>
    <definedName name="_xlnm.Print_Area" localSheetId="2">'Other Major Airline Stats'!$A$2:$J$49</definedName>
    <definedName name="_xlnm.Print_Area" localSheetId="4">'Other Regional'!$A$1:$M$47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C21" i="1" l="1"/>
  <c r="B21" i="1"/>
  <c r="P60" i="9" l="1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6" i="9"/>
  <c r="M56" i="9"/>
  <c r="G56" i="9"/>
  <c r="D56" i="9"/>
  <c r="P55" i="9"/>
  <c r="M55" i="9"/>
  <c r="G55" i="9"/>
  <c r="D55" i="9"/>
  <c r="P54" i="9"/>
  <c r="M54" i="9"/>
  <c r="G54" i="9"/>
  <c r="D54" i="9"/>
  <c r="P51" i="9"/>
  <c r="M51" i="9"/>
  <c r="G51" i="9"/>
  <c r="D51" i="9"/>
  <c r="P49" i="9"/>
  <c r="M49" i="9"/>
  <c r="G49" i="9"/>
  <c r="D49" i="9"/>
  <c r="P47" i="9"/>
  <c r="M47" i="9"/>
  <c r="G47" i="9"/>
  <c r="D47" i="9"/>
  <c r="P44" i="9"/>
  <c r="M44" i="9"/>
  <c r="G44" i="9"/>
  <c r="D44" i="9"/>
  <c r="P42" i="9"/>
  <c r="M42" i="9"/>
  <c r="G42" i="9"/>
  <c r="D42" i="9"/>
  <c r="P40" i="9"/>
  <c r="M40" i="9"/>
  <c r="G40" i="9"/>
  <c r="D40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3" i="9"/>
  <c r="M33" i="9"/>
  <c r="G33" i="9"/>
  <c r="D33" i="9"/>
  <c r="P32" i="9"/>
  <c r="M32" i="9"/>
  <c r="G32" i="9"/>
  <c r="D32" i="9"/>
  <c r="P29" i="9"/>
  <c r="M29" i="9"/>
  <c r="G29" i="9"/>
  <c r="D29" i="9"/>
  <c r="P27" i="9"/>
  <c r="M27" i="9"/>
  <c r="G27" i="9"/>
  <c r="D27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20" i="9"/>
  <c r="M20" i="9"/>
  <c r="G20" i="9"/>
  <c r="D20" i="9"/>
  <c r="P19" i="9"/>
  <c r="M19" i="9"/>
  <c r="G19" i="9"/>
  <c r="D19" i="9"/>
  <c r="P16" i="9"/>
  <c r="M16" i="9"/>
  <c r="G16" i="9"/>
  <c r="D16" i="9"/>
  <c r="P15" i="9"/>
  <c r="M15" i="9"/>
  <c r="G15" i="9"/>
  <c r="D15" i="9"/>
  <c r="P14" i="9"/>
  <c r="M14" i="9"/>
  <c r="G14" i="9"/>
  <c r="D14" i="9"/>
  <c r="P11" i="9"/>
  <c r="M11" i="9"/>
  <c r="G11" i="9"/>
  <c r="D11" i="9"/>
  <c r="P9" i="9"/>
  <c r="M9" i="9"/>
  <c r="G9" i="9"/>
  <c r="D9" i="9"/>
  <c r="P7" i="9"/>
  <c r="M7" i="9"/>
  <c r="G7" i="9"/>
  <c r="D7" i="9"/>
  <c r="P6" i="9"/>
  <c r="M6" i="9"/>
  <c r="G6" i="9"/>
  <c r="D6" i="9"/>
  <c r="P5" i="9"/>
  <c r="M5" i="9"/>
  <c r="G5" i="9"/>
  <c r="D5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6" i="9"/>
  <c r="L56" i="9"/>
  <c r="F56" i="9"/>
  <c r="C56" i="9"/>
  <c r="O55" i="9"/>
  <c r="L55" i="9"/>
  <c r="F55" i="9"/>
  <c r="C55" i="9"/>
  <c r="O54" i="9"/>
  <c r="L54" i="9"/>
  <c r="F54" i="9"/>
  <c r="C54" i="9"/>
  <c r="O51" i="9"/>
  <c r="L51" i="9"/>
  <c r="F51" i="9"/>
  <c r="C51" i="9"/>
  <c r="O49" i="9"/>
  <c r="L49" i="9"/>
  <c r="F49" i="9"/>
  <c r="C49" i="9"/>
  <c r="O47" i="9"/>
  <c r="L47" i="9"/>
  <c r="F47" i="9"/>
  <c r="C47" i="9"/>
  <c r="O44" i="9"/>
  <c r="L44" i="9"/>
  <c r="F44" i="9"/>
  <c r="C44" i="9"/>
  <c r="O42" i="9"/>
  <c r="L42" i="9"/>
  <c r="F42" i="9"/>
  <c r="C42" i="9"/>
  <c r="O40" i="9"/>
  <c r="L40" i="9"/>
  <c r="F40" i="9"/>
  <c r="C40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3" i="9"/>
  <c r="L33" i="9"/>
  <c r="F33" i="9"/>
  <c r="C33" i="9"/>
  <c r="O32" i="9"/>
  <c r="L32" i="9"/>
  <c r="F32" i="9"/>
  <c r="C32" i="9"/>
  <c r="O29" i="9"/>
  <c r="L29" i="9"/>
  <c r="F29" i="9"/>
  <c r="C29" i="9"/>
  <c r="O27" i="9"/>
  <c r="L27" i="9"/>
  <c r="F27" i="9"/>
  <c r="C27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20" i="9"/>
  <c r="L20" i="9"/>
  <c r="F20" i="9"/>
  <c r="C20" i="9"/>
  <c r="O19" i="9"/>
  <c r="L19" i="9"/>
  <c r="F19" i="9"/>
  <c r="C19" i="9"/>
  <c r="O16" i="9"/>
  <c r="L16" i="9"/>
  <c r="F16" i="9"/>
  <c r="C16" i="9"/>
  <c r="O15" i="9"/>
  <c r="L15" i="9"/>
  <c r="F15" i="9"/>
  <c r="C15" i="9"/>
  <c r="O14" i="9"/>
  <c r="L14" i="9"/>
  <c r="F14" i="9"/>
  <c r="C14" i="9"/>
  <c r="O11" i="9"/>
  <c r="L11" i="9"/>
  <c r="F11" i="9"/>
  <c r="C11" i="9"/>
  <c r="O9" i="9"/>
  <c r="L9" i="9"/>
  <c r="F9" i="9"/>
  <c r="C9" i="9"/>
  <c r="O7" i="9"/>
  <c r="L7" i="9"/>
  <c r="F7" i="9"/>
  <c r="C7" i="9"/>
  <c r="O6" i="9"/>
  <c r="L6" i="9"/>
  <c r="F6" i="9"/>
  <c r="C6" i="9"/>
  <c r="O5" i="9"/>
  <c r="L5" i="9"/>
  <c r="F5" i="9"/>
  <c r="C5" i="9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21" i="17" l="1"/>
  <c r="M21" i="17"/>
  <c r="G21" i="17"/>
  <c r="D21" i="17"/>
  <c r="P19" i="17"/>
  <c r="M19" i="17"/>
  <c r="G19" i="17"/>
  <c r="D19" i="17"/>
  <c r="P17" i="17"/>
  <c r="M17" i="17"/>
  <c r="G17" i="17"/>
  <c r="D17" i="17"/>
  <c r="G15" i="17"/>
  <c r="D15" i="17"/>
  <c r="P13" i="17"/>
  <c r="M13" i="17"/>
  <c r="G13" i="17"/>
  <c r="D13" i="17"/>
  <c r="P11" i="17"/>
  <c r="M11" i="17"/>
  <c r="G11" i="17"/>
  <c r="D11" i="17"/>
  <c r="P9" i="17"/>
  <c r="M9" i="17"/>
  <c r="G9" i="17"/>
  <c r="D9" i="17"/>
  <c r="P7" i="17"/>
  <c r="M7" i="17"/>
  <c r="G7" i="17"/>
  <c r="D7" i="17"/>
  <c r="P5" i="17"/>
  <c r="M5" i="17"/>
  <c r="G5" i="17"/>
  <c r="D5" i="17"/>
  <c r="O21" i="17"/>
  <c r="L21" i="17"/>
  <c r="F21" i="17"/>
  <c r="C21" i="17"/>
  <c r="O19" i="17"/>
  <c r="L19" i="17"/>
  <c r="F19" i="17"/>
  <c r="C19" i="17"/>
  <c r="O17" i="17"/>
  <c r="L17" i="17"/>
  <c r="F17" i="17"/>
  <c r="C17" i="17"/>
  <c r="F15" i="17"/>
  <c r="C15" i="17"/>
  <c r="O13" i="17"/>
  <c r="L13" i="17"/>
  <c r="F13" i="17"/>
  <c r="C13" i="17"/>
  <c r="O11" i="17"/>
  <c r="L11" i="17"/>
  <c r="F11" i="17"/>
  <c r="C11" i="17"/>
  <c r="O9" i="17"/>
  <c r="L9" i="17"/>
  <c r="F9" i="17"/>
  <c r="C9" i="17"/>
  <c r="O7" i="17"/>
  <c r="L7" i="17"/>
  <c r="F7" i="17"/>
  <c r="C7" i="17"/>
  <c r="O5" i="17"/>
  <c r="L5" i="17"/>
  <c r="F5" i="17"/>
  <c r="C5" i="17"/>
  <c r="J16" i="5"/>
  <c r="J15" i="5"/>
  <c r="J11" i="5"/>
  <c r="J10" i="5"/>
  <c r="J6" i="5"/>
  <c r="J5" i="5"/>
  <c r="G21" i="5"/>
  <c r="G20" i="5"/>
  <c r="G16" i="5"/>
  <c r="G15" i="5"/>
  <c r="G11" i="5"/>
  <c r="G10" i="5"/>
  <c r="G6" i="5"/>
  <c r="G5" i="5"/>
  <c r="L27" i="8"/>
  <c r="K27" i="8"/>
  <c r="J27" i="8"/>
  <c r="H27" i="8"/>
  <c r="G27" i="8"/>
  <c r="F27" i="8"/>
  <c r="D27" i="8"/>
  <c r="C27" i="8"/>
  <c r="B27" i="8"/>
  <c r="L26" i="8"/>
  <c r="K26" i="8"/>
  <c r="J26" i="8"/>
  <c r="H26" i="8"/>
  <c r="G26" i="8"/>
  <c r="F26" i="8"/>
  <c r="D26" i="8"/>
  <c r="C26" i="8"/>
  <c r="B26" i="8"/>
  <c r="L22" i="8"/>
  <c r="K22" i="8"/>
  <c r="J22" i="8"/>
  <c r="H22" i="8"/>
  <c r="G22" i="8"/>
  <c r="F22" i="8"/>
  <c r="D22" i="8"/>
  <c r="C22" i="8"/>
  <c r="B22" i="8"/>
  <c r="L21" i="8"/>
  <c r="K21" i="8"/>
  <c r="J21" i="8"/>
  <c r="H21" i="8"/>
  <c r="G21" i="8"/>
  <c r="F21" i="8"/>
  <c r="D21" i="8"/>
  <c r="C21" i="8"/>
  <c r="B21" i="8"/>
  <c r="L17" i="8"/>
  <c r="K17" i="8"/>
  <c r="J17" i="8"/>
  <c r="H17" i="8"/>
  <c r="G17" i="8"/>
  <c r="F17" i="8"/>
  <c r="D17" i="8"/>
  <c r="C17" i="8"/>
  <c r="B17" i="8"/>
  <c r="L16" i="8"/>
  <c r="K16" i="8"/>
  <c r="J16" i="8"/>
  <c r="H16" i="8"/>
  <c r="G16" i="8"/>
  <c r="F16" i="8"/>
  <c r="D16" i="8"/>
  <c r="C16" i="8"/>
  <c r="B16" i="8"/>
  <c r="L9" i="8"/>
  <c r="L8" i="8"/>
  <c r="L5" i="8"/>
  <c r="K5" i="8"/>
  <c r="J5" i="8"/>
  <c r="I5" i="8"/>
  <c r="H5" i="8"/>
  <c r="G5" i="8"/>
  <c r="F5" i="8"/>
  <c r="D5" i="8"/>
  <c r="C5" i="8"/>
  <c r="B5" i="8"/>
  <c r="L4" i="8"/>
  <c r="K4" i="8"/>
  <c r="J4" i="8"/>
  <c r="I4" i="8"/>
  <c r="H4" i="8"/>
  <c r="G4" i="8"/>
  <c r="F4" i="8"/>
  <c r="D4" i="8"/>
  <c r="C4" i="8"/>
  <c r="B4" i="8"/>
  <c r="O24" i="7"/>
  <c r="J24" i="7"/>
  <c r="E24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J47" i="15"/>
  <c r="G47" i="15"/>
  <c r="F47" i="15"/>
  <c r="C47" i="15"/>
  <c r="J46" i="15"/>
  <c r="G46" i="15"/>
  <c r="F46" i="15"/>
  <c r="C46" i="15"/>
  <c r="J35" i="15"/>
  <c r="H35" i="15"/>
  <c r="G35" i="15"/>
  <c r="F35" i="15"/>
  <c r="E35" i="15"/>
  <c r="D35" i="15"/>
  <c r="C35" i="15"/>
  <c r="B35" i="15"/>
  <c r="L31" i="15"/>
  <c r="K31" i="15"/>
  <c r="J31" i="15"/>
  <c r="I31" i="15"/>
  <c r="H31" i="15"/>
  <c r="G31" i="15"/>
  <c r="F31" i="15"/>
  <c r="E31" i="15"/>
  <c r="D31" i="15"/>
  <c r="C31" i="15"/>
  <c r="B31" i="15"/>
  <c r="L30" i="15"/>
  <c r="J30" i="15"/>
  <c r="I30" i="15"/>
  <c r="H30" i="15"/>
  <c r="G30" i="15"/>
  <c r="F30" i="15"/>
  <c r="E30" i="15"/>
  <c r="D30" i="15"/>
  <c r="C30" i="15"/>
  <c r="B30" i="15"/>
  <c r="L26" i="15"/>
  <c r="K26" i="15"/>
  <c r="J26" i="15"/>
  <c r="I26" i="15"/>
  <c r="H26" i="15"/>
  <c r="G26" i="15"/>
  <c r="F26" i="15"/>
  <c r="E26" i="15"/>
  <c r="D26" i="15"/>
  <c r="C26" i="15"/>
  <c r="B26" i="15"/>
  <c r="L25" i="15"/>
  <c r="K25" i="15"/>
  <c r="J25" i="15"/>
  <c r="I25" i="15"/>
  <c r="H25" i="15"/>
  <c r="G25" i="15"/>
  <c r="F25" i="15"/>
  <c r="E25" i="15"/>
  <c r="D25" i="15"/>
  <c r="C25" i="15"/>
  <c r="B25" i="15"/>
  <c r="L19" i="15"/>
  <c r="K19" i="15"/>
  <c r="J19" i="15"/>
  <c r="I19" i="15"/>
  <c r="H19" i="15"/>
  <c r="G19" i="15"/>
  <c r="F19" i="15"/>
  <c r="E19" i="15"/>
  <c r="D19" i="15"/>
  <c r="C19" i="15"/>
  <c r="B19" i="15"/>
  <c r="L18" i="15"/>
  <c r="K18" i="15"/>
  <c r="J18" i="15"/>
  <c r="I18" i="15"/>
  <c r="H18" i="15"/>
  <c r="G18" i="15"/>
  <c r="F18" i="15"/>
  <c r="E18" i="15"/>
  <c r="D18" i="15"/>
  <c r="C18" i="15"/>
  <c r="B18" i="15"/>
  <c r="L16" i="15"/>
  <c r="K16" i="15"/>
  <c r="J16" i="15"/>
  <c r="I16" i="15"/>
  <c r="H16" i="15"/>
  <c r="G16" i="15"/>
  <c r="F16" i="15"/>
  <c r="E16" i="15"/>
  <c r="D16" i="15"/>
  <c r="C16" i="15"/>
  <c r="B16" i="15"/>
  <c r="L15" i="15"/>
  <c r="K15" i="15"/>
  <c r="J15" i="15"/>
  <c r="I15" i="15"/>
  <c r="H15" i="15"/>
  <c r="G15" i="15"/>
  <c r="F15" i="15"/>
  <c r="E15" i="15"/>
  <c r="D15" i="15"/>
  <c r="C15" i="15"/>
  <c r="B15" i="15"/>
  <c r="L11" i="15"/>
  <c r="K11" i="15"/>
  <c r="J11" i="15"/>
  <c r="I11" i="15"/>
  <c r="H11" i="15"/>
  <c r="G11" i="15"/>
  <c r="F11" i="15"/>
  <c r="E11" i="15"/>
  <c r="D11" i="15"/>
  <c r="C11" i="15"/>
  <c r="B11" i="15"/>
  <c r="L10" i="15"/>
  <c r="K10" i="15"/>
  <c r="J10" i="15"/>
  <c r="I10" i="15"/>
  <c r="H10" i="15"/>
  <c r="G10" i="15"/>
  <c r="F10" i="15"/>
  <c r="E10" i="15"/>
  <c r="D10" i="15"/>
  <c r="C10" i="15"/>
  <c r="B10" i="15"/>
  <c r="L6" i="15"/>
  <c r="K6" i="15"/>
  <c r="J6" i="15"/>
  <c r="I6" i="15"/>
  <c r="H6" i="15"/>
  <c r="G6" i="15"/>
  <c r="F6" i="15"/>
  <c r="E6" i="15"/>
  <c r="D6" i="15"/>
  <c r="C6" i="15"/>
  <c r="B6" i="15"/>
  <c r="L5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0" i="1"/>
  <c r="B20" i="1"/>
  <c r="O23" i="7" l="1"/>
  <c r="J23" i="7"/>
  <c r="E23" i="7"/>
  <c r="F64" i="9" l="1"/>
  <c r="C64" i="9"/>
  <c r="L64" i="9"/>
  <c r="O64" i="9"/>
  <c r="D64" i="9"/>
  <c r="G64" i="9"/>
  <c r="M64" i="9"/>
  <c r="P64" i="9"/>
  <c r="O22" i="7"/>
  <c r="J22" i="7"/>
  <c r="E22" i="7"/>
  <c r="C21" i="7" l="1"/>
  <c r="B21" i="7"/>
  <c r="M21" i="7" l="1"/>
  <c r="L21" i="7"/>
  <c r="G21" i="7" l="1"/>
  <c r="H21" i="7" l="1"/>
  <c r="H21" i="2" l="1"/>
  <c r="H17" i="2"/>
  <c r="H11" i="2"/>
  <c r="H6" i="2"/>
  <c r="H40" i="2"/>
  <c r="H35" i="2"/>
  <c r="H43" i="2" l="1"/>
  <c r="H44" i="2"/>
  <c r="H23" i="2"/>
  <c r="H30" i="2"/>
  <c r="D36" i="15"/>
  <c r="O21" i="7"/>
  <c r="J21" i="7"/>
  <c r="E21" i="7"/>
  <c r="J3" i="17"/>
  <c r="C46" i="9"/>
  <c r="H45" i="2" l="1"/>
  <c r="G17" i="4"/>
  <c r="G27" i="4"/>
  <c r="C13" i="9"/>
  <c r="G12" i="4"/>
  <c r="G20" i="4"/>
  <c r="G21" i="4" s="1"/>
  <c r="G32" i="4"/>
  <c r="C18" i="9"/>
  <c r="C31" i="9"/>
  <c r="C4" i="9"/>
  <c r="C53" i="9"/>
  <c r="D17" i="15"/>
  <c r="D27" i="15"/>
  <c r="D37" i="15"/>
  <c r="G7" i="4"/>
  <c r="J6" i="16"/>
  <c r="G41" i="4"/>
  <c r="D41" i="15"/>
  <c r="D7" i="15"/>
  <c r="D32" i="15"/>
  <c r="J30" i="16"/>
  <c r="L11" i="16"/>
  <c r="L23" i="16"/>
  <c r="L37" i="16"/>
  <c r="D12" i="15"/>
  <c r="G37" i="4"/>
  <c r="J11" i="16"/>
  <c r="J23" i="16"/>
  <c r="J37" i="16"/>
  <c r="D20" i="15"/>
  <c r="L6" i="16"/>
  <c r="L18" i="16"/>
  <c r="L30" i="16"/>
  <c r="G40" i="4"/>
  <c r="D40" i="15"/>
  <c r="J18" i="16"/>
  <c r="D21" i="15" l="1"/>
  <c r="G42" i="4"/>
  <c r="C65" i="9"/>
  <c r="C63" i="9" s="1"/>
  <c r="D42" i="15"/>
  <c r="Q60" i="9"/>
  <c r="E60" i="9"/>
  <c r="O53" i="9"/>
  <c r="N59" i="9"/>
  <c r="H59" i="9"/>
  <c r="E59" i="9"/>
  <c r="Q58" i="9"/>
  <c r="N57" i="9"/>
  <c r="H57" i="9"/>
  <c r="E57" i="9"/>
  <c r="Q56" i="9"/>
  <c r="N55" i="9"/>
  <c r="H55" i="9"/>
  <c r="E55" i="9"/>
  <c r="P53" i="9"/>
  <c r="Q54" i="9"/>
  <c r="M53" i="9"/>
  <c r="D53" i="9"/>
  <c r="Q51" i="9"/>
  <c r="N51" i="9"/>
  <c r="E51" i="9"/>
  <c r="N49" i="9"/>
  <c r="E49" i="9"/>
  <c r="Q47" i="9"/>
  <c r="M46" i="9"/>
  <c r="N47" i="9"/>
  <c r="H47" i="9"/>
  <c r="G46" i="9"/>
  <c r="D46" i="9"/>
  <c r="P46" i="9"/>
  <c r="L46" i="9"/>
  <c r="F46" i="9"/>
  <c r="Q44" i="9"/>
  <c r="N44" i="9"/>
  <c r="H44" i="9"/>
  <c r="N42" i="9"/>
  <c r="E42" i="9"/>
  <c r="N40" i="9"/>
  <c r="E40" i="9"/>
  <c r="N38" i="9"/>
  <c r="H38" i="9"/>
  <c r="Q36" i="9"/>
  <c r="N36" i="9"/>
  <c r="H36" i="9"/>
  <c r="N35" i="9"/>
  <c r="E35" i="9"/>
  <c r="N34" i="9"/>
  <c r="H34" i="9"/>
  <c r="M31" i="9"/>
  <c r="E33" i="9"/>
  <c r="Q32" i="9"/>
  <c r="N32" i="9"/>
  <c r="H32" i="9"/>
  <c r="G31" i="9"/>
  <c r="Q29" i="9"/>
  <c r="N29" i="9"/>
  <c r="H29" i="9"/>
  <c r="N27" i="9"/>
  <c r="E27" i="9"/>
  <c r="Q25" i="9"/>
  <c r="N25" i="9"/>
  <c r="H25" i="9"/>
  <c r="E25" i="9"/>
  <c r="N24" i="9"/>
  <c r="E24" i="9"/>
  <c r="Q23" i="9"/>
  <c r="N23" i="9"/>
  <c r="H23" i="9"/>
  <c r="N22" i="9"/>
  <c r="E22" i="9"/>
  <c r="Q21" i="9"/>
  <c r="N21" i="9"/>
  <c r="H21" i="9"/>
  <c r="N20" i="9"/>
  <c r="E20" i="9"/>
  <c r="Q19" i="9"/>
  <c r="N19" i="9"/>
  <c r="M18" i="9"/>
  <c r="G18" i="9"/>
  <c r="H19" i="9"/>
  <c r="P18" i="9"/>
  <c r="O18" i="9"/>
  <c r="Q16" i="9"/>
  <c r="N16" i="9"/>
  <c r="H16" i="9"/>
  <c r="P13" i="9"/>
  <c r="N15" i="9"/>
  <c r="E15" i="9"/>
  <c r="O13" i="9"/>
  <c r="N14" i="9"/>
  <c r="M13" i="9"/>
  <c r="H14" i="9"/>
  <c r="G13" i="9"/>
  <c r="F13" i="9"/>
  <c r="E14" i="9"/>
  <c r="Q11" i="9"/>
  <c r="N11" i="9"/>
  <c r="H11" i="9"/>
  <c r="H9" i="9"/>
  <c r="E9" i="9"/>
  <c r="Q7" i="9"/>
  <c r="H7" i="9"/>
  <c r="Q6" i="9"/>
  <c r="M4" i="9"/>
  <c r="D4" i="9"/>
  <c r="Q5" i="9"/>
  <c r="N5" i="9"/>
  <c r="H5" i="9"/>
  <c r="E5" i="9"/>
  <c r="O4" i="9"/>
  <c r="M65" i="9" l="1"/>
  <c r="N7" i="9"/>
  <c r="L31" i="9"/>
  <c r="N31" i="9" s="1"/>
  <c r="D31" i="9"/>
  <c r="E31" i="9" s="1"/>
  <c r="N46" i="9"/>
  <c r="G4" i="9"/>
  <c r="P4" i="9"/>
  <c r="Q4" i="9" s="1"/>
  <c r="N9" i="9"/>
  <c r="E11" i="9"/>
  <c r="L13" i="9"/>
  <c r="N13" i="9" s="1"/>
  <c r="Q14" i="9"/>
  <c r="E36" i="9"/>
  <c r="P31" i="9"/>
  <c r="O46" i="9"/>
  <c r="Q46" i="9" s="1"/>
  <c r="E6" i="9"/>
  <c r="N6" i="9"/>
  <c r="F18" i="9"/>
  <c r="H18" i="9" s="1"/>
  <c r="O31" i="9"/>
  <c r="N33" i="9"/>
  <c r="Q34" i="9"/>
  <c r="E37" i="9"/>
  <c r="N37" i="9"/>
  <c r="Q38" i="9"/>
  <c r="E56" i="9"/>
  <c r="N56" i="9"/>
  <c r="E58" i="9"/>
  <c r="N58" i="9"/>
  <c r="H35" i="9"/>
  <c r="H49" i="9"/>
  <c r="F4" i="9"/>
  <c r="L4" i="9"/>
  <c r="N4" i="9" s="1"/>
  <c r="H6" i="9"/>
  <c r="D13" i="9"/>
  <c r="E16" i="9"/>
  <c r="E19" i="9"/>
  <c r="H22" i="9"/>
  <c r="E29" i="9"/>
  <c r="F31" i="9"/>
  <c r="H33" i="9"/>
  <c r="E38" i="9"/>
  <c r="E44" i="9"/>
  <c r="H46" i="9"/>
  <c r="E47" i="9"/>
  <c r="H13" i="9"/>
  <c r="H20" i="9"/>
  <c r="E4" i="9"/>
  <c r="E7" i="9"/>
  <c r="L18" i="9"/>
  <c r="N18" i="9" s="1"/>
  <c r="D18" i="9"/>
  <c r="E21" i="9"/>
  <c r="H24" i="9"/>
  <c r="H40" i="9"/>
  <c r="Q53" i="9"/>
  <c r="G53" i="9"/>
  <c r="Q55" i="9"/>
  <c r="H15" i="9"/>
  <c r="E23" i="9"/>
  <c r="H27" i="9"/>
  <c r="E32" i="9"/>
  <c r="E34" i="9"/>
  <c r="H37" i="9"/>
  <c r="H42" i="9"/>
  <c r="E54" i="9"/>
  <c r="N54" i="9"/>
  <c r="Q57" i="9"/>
  <c r="Q59" i="9"/>
  <c r="Q9" i="9"/>
  <c r="Q13" i="9"/>
  <c r="Q15" i="9"/>
  <c r="Q18" i="9"/>
  <c r="Q20" i="9"/>
  <c r="Q22" i="9"/>
  <c r="Q24" i="9"/>
  <c r="Q27" i="9"/>
  <c r="Q33" i="9"/>
  <c r="Q35" i="9"/>
  <c r="Q37" i="9"/>
  <c r="Q40" i="9"/>
  <c r="Q42" i="9"/>
  <c r="E46" i="9"/>
  <c r="Q49" i="9"/>
  <c r="H51" i="9"/>
  <c r="F53" i="9"/>
  <c r="L53" i="9"/>
  <c r="H54" i="9"/>
  <c r="H56" i="9"/>
  <c r="H58" i="9"/>
  <c r="H60" i="9"/>
  <c r="N60" i="9"/>
  <c r="G65" i="9" l="1"/>
  <c r="G63" i="9" s="1"/>
  <c r="O65" i="9"/>
  <c r="R56" i="9" s="1"/>
  <c r="D65" i="9"/>
  <c r="D63" i="9" s="1"/>
  <c r="L65" i="9"/>
  <c r="P65" i="9"/>
  <c r="P63" i="9" s="1"/>
  <c r="F65" i="9"/>
  <c r="I4" i="9" s="1"/>
  <c r="Q31" i="9"/>
  <c r="E18" i="9"/>
  <c r="E64" i="9"/>
  <c r="M63" i="9"/>
  <c r="N64" i="9"/>
  <c r="H53" i="9"/>
  <c r="H31" i="9"/>
  <c r="H4" i="9"/>
  <c r="Q64" i="9"/>
  <c r="N53" i="9"/>
  <c r="E13" i="9"/>
  <c r="H64" i="9"/>
  <c r="E53" i="9"/>
  <c r="R31" i="9" l="1"/>
  <c r="R35" i="9"/>
  <c r="R22" i="9"/>
  <c r="R33" i="9"/>
  <c r="R54" i="9"/>
  <c r="R23" i="9"/>
  <c r="R24" i="9"/>
  <c r="R64" i="9"/>
  <c r="R19" i="9"/>
  <c r="R44" i="9"/>
  <c r="R42" i="9"/>
  <c r="R14" i="9"/>
  <c r="R53" i="9"/>
  <c r="R20" i="9"/>
  <c r="R59" i="9"/>
  <c r="R13" i="9"/>
  <c r="R55" i="9"/>
  <c r="R9" i="9"/>
  <c r="O63" i="9"/>
  <c r="R49" i="9"/>
  <c r="R27" i="9"/>
  <c r="R58" i="9"/>
  <c r="R7" i="9"/>
  <c r="R6" i="9"/>
  <c r="R46" i="9"/>
  <c r="R32" i="9"/>
  <c r="R51" i="9"/>
  <c r="R40" i="9"/>
  <c r="R57" i="9"/>
  <c r="R5" i="9"/>
  <c r="R34" i="9"/>
  <c r="R16" i="9"/>
  <c r="R25" i="9"/>
  <c r="Q65" i="9"/>
  <c r="R18" i="9"/>
  <c r="R29" i="9"/>
  <c r="R50" i="9"/>
  <c r="R60" i="9"/>
  <c r="R15" i="9"/>
  <c r="R4" i="9"/>
  <c r="R37" i="9"/>
  <c r="R36" i="9"/>
  <c r="R21" i="9"/>
  <c r="R47" i="9"/>
  <c r="R11" i="9"/>
  <c r="R38" i="9"/>
  <c r="R65" i="9"/>
  <c r="I64" i="9"/>
  <c r="I31" i="9"/>
  <c r="I53" i="9"/>
  <c r="H65" i="9"/>
  <c r="I65" i="9" s="1"/>
  <c r="F63" i="9"/>
  <c r="I59" i="9"/>
  <c r="I57" i="9"/>
  <c r="I9" i="9"/>
  <c r="I55" i="9"/>
  <c r="I5" i="9"/>
  <c r="I36" i="9"/>
  <c r="I51" i="9"/>
  <c r="I46" i="9"/>
  <c r="I13" i="9"/>
  <c r="I14" i="9"/>
  <c r="I24" i="9"/>
  <c r="I40" i="9"/>
  <c r="I19" i="9"/>
  <c r="I37" i="9"/>
  <c r="I42" i="9"/>
  <c r="I58" i="9"/>
  <c r="I6" i="9"/>
  <c r="I49" i="9"/>
  <c r="I23" i="9"/>
  <c r="I32" i="9"/>
  <c r="I34" i="9"/>
  <c r="I21" i="9"/>
  <c r="I29" i="9"/>
  <c r="I47" i="9"/>
  <c r="I35" i="9"/>
  <c r="I22" i="9"/>
  <c r="I33" i="9"/>
  <c r="I20" i="9"/>
  <c r="I11" i="9"/>
  <c r="I56" i="9"/>
  <c r="I16" i="9"/>
  <c r="I27" i="9"/>
  <c r="I18" i="9"/>
  <c r="I54" i="9"/>
  <c r="I7" i="9"/>
  <c r="I25" i="9"/>
  <c r="I15" i="9"/>
  <c r="I38" i="9"/>
  <c r="I44" i="9"/>
  <c r="I60" i="9"/>
  <c r="E65" i="9"/>
  <c r="N65" i="9"/>
  <c r="L63" i="9"/>
  <c r="R63" i="9" l="1"/>
  <c r="Q63" i="9"/>
  <c r="N63" i="9"/>
  <c r="E63" i="9"/>
  <c r="H63" i="9"/>
  <c r="I63" i="9"/>
  <c r="J2" i="9" l="1"/>
  <c r="M24" i="17" l="1"/>
  <c r="P24" i="17" l="1"/>
  <c r="D24" i="17"/>
  <c r="G24" i="17"/>
  <c r="H13" i="17"/>
  <c r="Q13" i="17"/>
  <c r="H21" i="17"/>
  <c r="Q21" i="17"/>
  <c r="E5" i="17"/>
  <c r="E11" i="17"/>
  <c r="E13" i="17"/>
  <c r="H11" i="17"/>
  <c r="Q11" i="17"/>
  <c r="H19" i="17"/>
  <c r="Q19" i="17"/>
  <c r="F24" i="17"/>
  <c r="Q5" i="17"/>
  <c r="Q7" i="17"/>
  <c r="H9" i="17"/>
  <c r="Q9" i="17"/>
  <c r="E15" i="17"/>
  <c r="E17" i="17"/>
  <c r="E21" i="17"/>
  <c r="H17" i="17"/>
  <c r="E7" i="17"/>
  <c r="N7" i="17"/>
  <c r="H7" i="17"/>
  <c r="E9" i="17"/>
  <c r="N11" i="17"/>
  <c r="H15" i="17"/>
  <c r="E19" i="17"/>
  <c r="N19" i="17"/>
  <c r="C24" i="17"/>
  <c r="L24" i="17"/>
  <c r="Q17" i="17"/>
  <c r="O24" i="17"/>
  <c r="H5" i="17"/>
  <c r="N5" i="17"/>
  <c r="N9" i="17"/>
  <c r="N13" i="17"/>
  <c r="N17" i="17"/>
  <c r="N21" i="17"/>
  <c r="Q24" i="17" l="1"/>
  <c r="H24" i="17"/>
  <c r="R5" i="17"/>
  <c r="R21" i="17"/>
  <c r="R13" i="17"/>
  <c r="R19" i="17"/>
  <c r="R11" i="17"/>
  <c r="R9" i="17"/>
  <c r="R17" i="17"/>
  <c r="R7" i="17"/>
  <c r="I21" i="17"/>
  <c r="I15" i="17"/>
  <c r="I11" i="17"/>
  <c r="I9" i="17"/>
  <c r="I19" i="17"/>
  <c r="I13" i="17"/>
  <c r="I7" i="17"/>
  <c r="I17" i="17"/>
  <c r="I5" i="17"/>
  <c r="N24" i="17"/>
  <c r="E24" i="17"/>
  <c r="J45" i="15" l="1"/>
  <c r="J44" i="15"/>
  <c r="J36" i="15"/>
  <c r="J37" i="15" l="1"/>
  <c r="G11" i="16"/>
  <c r="G37" i="16"/>
  <c r="J12" i="15"/>
  <c r="J20" i="15"/>
  <c r="J32" i="15"/>
  <c r="G30" i="16"/>
  <c r="J7" i="15"/>
  <c r="J27" i="15"/>
  <c r="G23" i="16"/>
  <c r="J17" i="15"/>
  <c r="J41" i="15"/>
  <c r="G6" i="16"/>
  <c r="G18" i="16"/>
  <c r="J40" i="15"/>
  <c r="J21" i="15" l="1"/>
  <c r="J42" i="15"/>
  <c r="E36" i="15"/>
  <c r="E17" i="15" l="1"/>
  <c r="D18" i="3"/>
  <c r="E27" i="15"/>
  <c r="J7" i="4"/>
  <c r="D30" i="3"/>
  <c r="E22" i="3"/>
  <c r="I17" i="4"/>
  <c r="I37" i="4"/>
  <c r="J40" i="4"/>
  <c r="E44" i="3"/>
  <c r="D44" i="3"/>
  <c r="E7" i="15"/>
  <c r="J20" i="4"/>
  <c r="E12" i="15"/>
  <c r="E20" i="15"/>
  <c r="E32" i="15"/>
  <c r="D22" i="3"/>
  <c r="D7" i="3"/>
  <c r="D40" i="3"/>
  <c r="E7" i="3"/>
  <c r="E18" i="3"/>
  <c r="E30" i="3"/>
  <c r="J17" i="4"/>
  <c r="J27" i="4"/>
  <c r="J41" i="4"/>
  <c r="E41" i="15"/>
  <c r="E12" i="3"/>
  <c r="E35" i="3"/>
  <c r="I20" i="4"/>
  <c r="J37" i="4"/>
  <c r="J12" i="4"/>
  <c r="D12" i="3"/>
  <c r="D35" i="3"/>
  <c r="I7" i="4"/>
  <c r="I27" i="4"/>
  <c r="E40" i="15"/>
  <c r="E37" i="15"/>
  <c r="J32" i="4"/>
  <c r="I12" i="4"/>
  <c r="I32" i="4"/>
  <c r="I41" i="4"/>
  <c r="I40" i="4"/>
  <c r="E40" i="3"/>
  <c r="E43" i="3"/>
  <c r="D43" i="3"/>
  <c r="E21" i="15" l="1"/>
  <c r="E23" i="3"/>
  <c r="D23" i="3"/>
  <c r="D45" i="3"/>
  <c r="J21" i="4"/>
  <c r="I42" i="4"/>
  <c r="E45" i="3"/>
  <c r="I21" i="4"/>
  <c r="E42" i="15"/>
  <c r="J42" i="4"/>
  <c r="M10" i="15" l="1"/>
  <c r="M18" i="15"/>
  <c r="P4" i="16"/>
  <c r="M5" i="15"/>
  <c r="M15" i="15"/>
  <c r="M6" i="15"/>
  <c r="M16" i="15"/>
  <c r="M11" i="15"/>
  <c r="M19" i="15"/>
  <c r="G32" i="8" l="1"/>
  <c r="G18" i="8"/>
  <c r="G6" i="8"/>
  <c r="G31" i="8"/>
  <c r="G10" i="8"/>
  <c r="G12" i="8" l="1"/>
  <c r="G23" i="8"/>
  <c r="G28" i="8"/>
  <c r="G33" i="8" l="1"/>
  <c r="F41" i="4" l="1"/>
  <c r="F20" i="4"/>
  <c r="F17" i="4"/>
  <c r="F40" i="4"/>
  <c r="F7" i="4"/>
  <c r="F27" i="4"/>
  <c r="F12" i="4"/>
  <c r="F32" i="4"/>
  <c r="F37" i="4"/>
  <c r="F21" i="4" l="1"/>
  <c r="F42" i="4"/>
  <c r="F45" i="15"/>
  <c r="F44" i="15"/>
  <c r="L36" i="15"/>
  <c r="K36" i="15"/>
  <c r="I36" i="15"/>
  <c r="H36" i="15"/>
  <c r="G36" i="15"/>
  <c r="F36" i="15"/>
  <c r="C36" i="15"/>
  <c r="B36" i="15"/>
  <c r="L35" i="15"/>
  <c r="K35" i="15"/>
  <c r="I35" i="15"/>
  <c r="K30" i="15"/>
  <c r="K7" i="15" l="1"/>
  <c r="M23" i="16"/>
  <c r="F11" i="2"/>
  <c r="F21" i="2"/>
  <c r="F35" i="2"/>
  <c r="G6" i="2"/>
  <c r="G17" i="2"/>
  <c r="G30" i="2"/>
  <c r="G40" i="2"/>
  <c r="K37" i="15"/>
  <c r="M30" i="16"/>
  <c r="M6" i="16"/>
  <c r="G43" i="2"/>
  <c r="M37" i="16"/>
  <c r="F6" i="2"/>
  <c r="F17" i="2"/>
  <c r="F30" i="2"/>
  <c r="F40" i="2"/>
  <c r="G11" i="2"/>
  <c r="K32" i="15"/>
  <c r="K12" i="15"/>
  <c r="K27" i="15"/>
  <c r="K17" i="15"/>
  <c r="G35" i="2"/>
  <c r="M18" i="16"/>
  <c r="G21" i="2"/>
  <c r="K40" i="15"/>
  <c r="K20" i="15"/>
  <c r="M11" i="16"/>
  <c r="K41" i="15"/>
  <c r="F43" i="2"/>
  <c r="G44" i="2"/>
  <c r="F44" i="2"/>
  <c r="F45" i="2" l="1"/>
  <c r="G23" i="2"/>
  <c r="F23" i="2"/>
  <c r="G45" i="2"/>
  <c r="K21" i="15"/>
  <c r="K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K27" i="4"/>
  <c r="F27" i="15"/>
  <c r="C23" i="8"/>
  <c r="D35" i="2"/>
  <c r="B35" i="3"/>
  <c r="F35" i="3"/>
  <c r="H35" i="3"/>
  <c r="E32" i="4"/>
  <c r="B32" i="15"/>
  <c r="I32" i="15"/>
  <c r="L32" i="15"/>
  <c r="J31" i="8"/>
  <c r="D17" i="4"/>
  <c r="G17" i="15"/>
  <c r="L17" i="15"/>
  <c r="D20" i="4"/>
  <c r="B20" i="15"/>
  <c r="C17" i="2"/>
  <c r="F18" i="3"/>
  <c r="I18" i="3"/>
  <c r="D21" i="2"/>
  <c r="H22" i="3"/>
  <c r="C11" i="2"/>
  <c r="D11" i="2"/>
  <c r="K12" i="4"/>
  <c r="C12" i="15"/>
  <c r="F12" i="15"/>
  <c r="B7" i="15"/>
  <c r="L7" i="15"/>
  <c r="J49" i="3"/>
  <c r="I51" i="2" s="1"/>
  <c r="O33" i="7"/>
  <c r="J33" i="7"/>
  <c r="E33" i="7"/>
  <c r="J47" i="2"/>
  <c r="N30" i="7"/>
  <c r="P30" i="7" s="1"/>
  <c r="N31" i="7"/>
  <c r="P31" i="7" s="1"/>
  <c r="D30" i="7"/>
  <c r="F30" i="7" s="1"/>
  <c r="D31" i="7"/>
  <c r="F31" i="7" s="1"/>
  <c r="N29" i="7"/>
  <c r="D29" i="7"/>
  <c r="F29" i="7" s="1"/>
  <c r="N27" i="7"/>
  <c r="P27" i="7" s="1"/>
  <c r="N28" i="7"/>
  <c r="P28" i="7" s="1"/>
  <c r="D27" i="7"/>
  <c r="F27" i="7" s="1"/>
  <c r="D28" i="7"/>
  <c r="F28" i="7" s="1"/>
  <c r="N25" i="7"/>
  <c r="P25" i="7" s="1"/>
  <c r="D25" i="7"/>
  <c r="F25" i="7" s="1"/>
  <c r="N32" i="7"/>
  <c r="P32" i="7" s="1"/>
  <c r="I32" i="7"/>
  <c r="K32" i="7" s="1"/>
  <c r="D32" i="7"/>
  <c r="F32" i="7" s="1"/>
  <c r="I31" i="7"/>
  <c r="K31" i="7" s="1"/>
  <c r="I30" i="7"/>
  <c r="K30" i="7" s="1"/>
  <c r="P29" i="7"/>
  <c r="I29" i="7"/>
  <c r="K29" i="7" s="1"/>
  <c r="I28" i="7"/>
  <c r="K28" i="7" s="1"/>
  <c r="I27" i="7"/>
  <c r="K27" i="7" s="1"/>
  <c r="N26" i="7"/>
  <c r="P26" i="7" s="1"/>
  <c r="I26" i="7"/>
  <c r="K26" i="7" s="1"/>
  <c r="D26" i="7"/>
  <c r="F26" i="7" s="1"/>
  <c r="I25" i="7"/>
  <c r="K25" i="7" s="1"/>
  <c r="M45" i="15"/>
  <c r="M44" i="15"/>
  <c r="P20" i="16"/>
  <c r="P8" i="16"/>
  <c r="J42" i="2"/>
  <c r="J37" i="2"/>
  <c r="J36" i="2"/>
  <c r="J32" i="2"/>
  <c r="J8" i="2"/>
  <c r="M34" i="4"/>
  <c r="M33" i="4"/>
  <c r="M14" i="4"/>
  <c r="B10" i="8"/>
  <c r="C10" i="8"/>
  <c r="D10" i="8"/>
  <c r="F10" i="8"/>
  <c r="I10" i="8"/>
  <c r="J10" i="8"/>
  <c r="K10" i="8"/>
  <c r="I33" i="8"/>
  <c r="K32" i="8" l="1"/>
  <c r="O37" i="16"/>
  <c r="H18" i="3"/>
  <c r="H23" i="3" s="1"/>
  <c r="C17" i="4"/>
  <c r="K37" i="4"/>
  <c r="K37" i="16"/>
  <c r="D32" i="8"/>
  <c r="I37" i="16"/>
  <c r="B18" i="3"/>
  <c r="F17" i="15"/>
  <c r="B37" i="16"/>
  <c r="F37" i="16"/>
  <c r="H44" i="3"/>
  <c r="J48" i="3"/>
  <c r="I50" i="2" s="1"/>
  <c r="J50" i="2" s="1"/>
  <c r="D30" i="16"/>
  <c r="I30" i="16"/>
  <c r="O11" i="16"/>
  <c r="F41" i="15"/>
  <c r="K41" i="4"/>
  <c r="C23" i="16"/>
  <c r="K28" i="8"/>
  <c r="B22" i="3"/>
  <c r="K20" i="4"/>
  <c r="K17" i="4"/>
  <c r="B46" i="4"/>
  <c r="B47" i="4" s="1"/>
  <c r="B44" i="3"/>
  <c r="D44" i="2"/>
  <c r="B18" i="8"/>
  <c r="N18" i="16"/>
  <c r="D6" i="16"/>
  <c r="C7" i="7"/>
  <c r="G18" i="3"/>
  <c r="I20" i="15"/>
  <c r="H17" i="4"/>
  <c r="J28" i="8"/>
  <c r="B28" i="8"/>
  <c r="I37" i="15"/>
  <c r="E40" i="2"/>
  <c r="B40" i="2"/>
  <c r="H40" i="15"/>
  <c r="O18" i="16"/>
  <c r="B27" i="15"/>
  <c r="B30" i="16"/>
  <c r="F30" i="16"/>
  <c r="N30" i="16"/>
  <c r="E18" i="16"/>
  <c r="K18" i="16"/>
  <c r="E6" i="2"/>
  <c r="G12" i="15"/>
  <c r="I22" i="3"/>
  <c r="I23" i="3" s="1"/>
  <c r="B17" i="15"/>
  <c r="F12" i="7"/>
  <c r="B12" i="7"/>
  <c r="J6" i="8"/>
  <c r="J12" i="8" s="1"/>
  <c r="D20" i="1"/>
  <c r="L32" i="8"/>
  <c r="L41" i="15"/>
  <c r="G41" i="15"/>
  <c r="B41" i="15"/>
  <c r="D41" i="4"/>
  <c r="C28" i="8"/>
  <c r="F40" i="15"/>
  <c r="K40" i="4"/>
  <c r="I18" i="16"/>
  <c r="E43" i="2"/>
  <c r="B43" i="2"/>
  <c r="H32" i="15"/>
  <c r="C32" i="15"/>
  <c r="G44" i="3"/>
  <c r="B23" i="16"/>
  <c r="H11" i="16"/>
  <c r="F6" i="16"/>
  <c r="B6" i="16"/>
  <c r="K11" i="16"/>
  <c r="E11" i="16"/>
  <c r="I6" i="16"/>
  <c r="I12" i="15"/>
  <c r="H12" i="4"/>
  <c r="G12" i="3"/>
  <c r="C21" i="2"/>
  <c r="C23" i="2" s="1"/>
  <c r="H20" i="4"/>
  <c r="I17" i="15"/>
  <c r="D32" i="4"/>
  <c r="I35" i="3"/>
  <c r="C35" i="3"/>
  <c r="L23" i="8"/>
  <c r="D23" i="8"/>
  <c r="L27" i="15"/>
  <c r="G27" i="15"/>
  <c r="J28" i="3"/>
  <c r="I28" i="2" s="1"/>
  <c r="J28" i="2" s="1"/>
  <c r="B5" i="5" s="1"/>
  <c r="J23" i="8"/>
  <c r="H33" i="8"/>
  <c r="C30" i="16"/>
  <c r="H30" i="16"/>
  <c r="G7" i="3"/>
  <c r="E7" i="7"/>
  <c r="C12" i="7"/>
  <c r="K6" i="8"/>
  <c r="K12" i="8" s="1"/>
  <c r="C44" i="3"/>
  <c r="F32" i="15"/>
  <c r="K32" i="4"/>
  <c r="D27" i="4"/>
  <c r="L18" i="8"/>
  <c r="D18" i="8"/>
  <c r="F31" i="8"/>
  <c r="I23" i="16"/>
  <c r="H6" i="16"/>
  <c r="C6" i="16"/>
  <c r="E6" i="16"/>
  <c r="F7" i="3"/>
  <c r="I7" i="3"/>
  <c r="C7" i="3"/>
  <c r="B6" i="8"/>
  <c r="B12" i="8" s="1"/>
  <c r="B40" i="4"/>
  <c r="E23" i="16"/>
  <c r="K23" i="16"/>
  <c r="K7" i="4"/>
  <c r="C7" i="4"/>
  <c r="J10" i="3"/>
  <c r="I9" i="2" s="1"/>
  <c r="B17" i="2"/>
  <c r="D21" i="1"/>
  <c r="H41" i="15"/>
  <c r="M36" i="15"/>
  <c r="L36" i="4" s="1"/>
  <c r="M36" i="4" s="1"/>
  <c r="C16" i="5" s="1"/>
  <c r="B37" i="4"/>
  <c r="L31" i="8"/>
  <c r="D28" i="8"/>
  <c r="L40" i="15"/>
  <c r="D40" i="4"/>
  <c r="H40" i="3"/>
  <c r="B40" i="3"/>
  <c r="D40" i="2"/>
  <c r="F44" i="3"/>
  <c r="B32" i="8"/>
  <c r="L10" i="8"/>
  <c r="I7" i="15"/>
  <c r="L12" i="15"/>
  <c r="D12" i="4"/>
  <c r="C12" i="3"/>
  <c r="C22" i="3"/>
  <c r="G40" i="3"/>
  <c r="C40" i="2"/>
  <c r="G5" i="7"/>
  <c r="B7" i="1" s="1"/>
  <c r="H12" i="15"/>
  <c r="E12" i="4"/>
  <c r="B12" i="4"/>
  <c r="E21" i="2"/>
  <c r="E17" i="2"/>
  <c r="H20" i="15"/>
  <c r="C20" i="15"/>
  <c r="E20" i="4"/>
  <c r="B20" i="4"/>
  <c r="H17" i="15"/>
  <c r="B17" i="4"/>
  <c r="J48" i="2"/>
  <c r="C49" i="2"/>
  <c r="J49" i="2" s="1"/>
  <c r="G6" i="7"/>
  <c r="C7" i="1" s="1"/>
  <c r="J11" i="3"/>
  <c r="I10" i="2" s="1"/>
  <c r="J10" i="2" s="1"/>
  <c r="G11" i="7"/>
  <c r="C18" i="1" s="1"/>
  <c r="P5" i="16"/>
  <c r="M26" i="15"/>
  <c r="L26" i="4" s="1"/>
  <c r="M26" i="4" s="1"/>
  <c r="C6" i="5" s="1"/>
  <c r="C40" i="3"/>
  <c r="B23" i="8"/>
  <c r="N23" i="16"/>
  <c r="D37" i="4"/>
  <c r="B40" i="15"/>
  <c r="J20" i="3"/>
  <c r="I19" i="2" s="1"/>
  <c r="J19" i="2" s="1"/>
  <c r="M8" i="8"/>
  <c r="G43" i="3"/>
  <c r="B27" i="4"/>
  <c r="L19" i="4"/>
  <c r="M19" i="4" s="1"/>
  <c r="D31" i="8"/>
  <c r="D7" i="4"/>
  <c r="J39" i="3"/>
  <c r="I39" i="2" s="1"/>
  <c r="J39" i="2" s="1"/>
  <c r="B16" i="5" s="1"/>
  <c r="B32" i="4"/>
  <c r="E35" i="2"/>
  <c r="B35" i="2"/>
  <c r="F23" i="8"/>
  <c r="D43" i="2"/>
  <c r="F23" i="16"/>
  <c r="N11" i="16"/>
  <c r="L20" i="15"/>
  <c r="L21" i="15" s="1"/>
  <c r="C40" i="4"/>
  <c r="C31" i="8"/>
  <c r="F43" i="3"/>
  <c r="B41" i="4"/>
  <c r="C32" i="4"/>
  <c r="B18" i="16"/>
  <c r="F18" i="16"/>
  <c r="P21" i="16"/>
  <c r="H7" i="3"/>
  <c r="C6" i="2"/>
  <c r="F7" i="15"/>
  <c r="H7" i="15"/>
  <c r="E7" i="4"/>
  <c r="J16" i="3"/>
  <c r="I15" i="2" s="1"/>
  <c r="J15" i="2" s="1"/>
  <c r="I40" i="15"/>
  <c r="D6" i="8"/>
  <c r="D12" i="8" s="1"/>
  <c r="M5" i="8"/>
  <c r="C19" i="1" s="1"/>
  <c r="M27" i="8"/>
  <c r="D16" i="5" s="1"/>
  <c r="C44" i="2"/>
  <c r="H23" i="16"/>
  <c r="J5" i="3"/>
  <c r="I4" i="2" s="1"/>
  <c r="J4" i="2" s="1"/>
  <c r="B5" i="1" s="1"/>
  <c r="C7" i="15"/>
  <c r="L5" i="4"/>
  <c r="M5" i="4" s="1"/>
  <c r="L16" i="4"/>
  <c r="M16" i="4" s="1"/>
  <c r="G20" i="15"/>
  <c r="G21" i="15" s="1"/>
  <c r="I30" i="3"/>
  <c r="I43" i="3"/>
  <c r="J34" i="3"/>
  <c r="I34" i="2" s="1"/>
  <c r="J34" i="2" s="1"/>
  <c r="B11" i="5" s="1"/>
  <c r="J29" i="3"/>
  <c r="I29" i="2" s="1"/>
  <c r="F12" i="3"/>
  <c r="G35" i="3"/>
  <c r="M31" i="15"/>
  <c r="L31" i="4" s="1"/>
  <c r="F18" i="8"/>
  <c r="C30" i="2"/>
  <c r="I40" i="3"/>
  <c r="I44" i="3"/>
  <c r="M9" i="8"/>
  <c r="K30" i="16"/>
  <c r="P28" i="16"/>
  <c r="P17" i="16"/>
  <c r="H18" i="16"/>
  <c r="D23" i="16"/>
  <c r="H40" i="4"/>
  <c r="H37" i="4"/>
  <c r="J38" i="3"/>
  <c r="I38" i="2" s="1"/>
  <c r="F40" i="3"/>
  <c r="F28" i="8"/>
  <c r="F32" i="8"/>
  <c r="M16" i="8"/>
  <c r="D5" i="5" s="1"/>
  <c r="H37" i="15"/>
  <c r="L18" i="4"/>
  <c r="M18" i="4" s="1"/>
  <c r="J32" i="8"/>
  <c r="P10" i="16"/>
  <c r="B11" i="16"/>
  <c r="J51" i="2"/>
  <c r="J21" i="3"/>
  <c r="I20" i="2" s="1"/>
  <c r="J20" i="2" s="1"/>
  <c r="G22" i="3"/>
  <c r="H41" i="4"/>
  <c r="M26" i="8"/>
  <c r="D15" i="5" s="1"/>
  <c r="C37" i="15"/>
  <c r="G30" i="3"/>
  <c r="M46" i="15"/>
  <c r="L44" i="4" s="1"/>
  <c r="M44" i="4" s="1"/>
  <c r="N37" i="16"/>
  <c r="F11" i="16"/>
  <c r="M47" i="15"/>
  <c r="L45" i="4" s="1"/>
  <c r="M45" i="4" s="1"/>
  <c r="F22" i="3"/>
  <c r="F23" i="3" s="1"/>
  <c r="B21" i="2"/>
  <c r="L37" i="15"/>
  <c r="E37" i="4"/>
  <c r="M30" i="15"/>
  <c r="L30" i="4" s="1"/>
  <c r="M30" i="4" s="1"/>
  <c r="C10" i="5" s="1"/>
  <c r="I27" i="15"/>
  <c r="M22" i="8"/>
  <c r="D11" i="5" s="1"/>
  <c r="H27" i="15"/>
  <c r="C41" i="15"/>
  <c r="E41" i="4"/>
  <c r="F30" i="3"/>
  <c r="M17" i="8"/>
  <c r="E30" i="16"/>
  <c r="H37" i="16"/>
  <c r="K6" i="16"/>
  <c r="I11" i="16"/>
  <c r="D11" i="16"/>
  <c r="D6" i="2"/>
  <c r="L6" i="4"/>
  <c r="M6" i="4" s="1"/>
  <c r="F7" i="7"/>
  <c r="E11" i="2"/>
  <c r="B11" i="2"/>
  <c r="B12" i="3"/>
  <c r="F20" i="15"/>
  <c r="C20" i="4"/>
  <c r="F37" i="15"/>
  <c r="B37" i="15"/>
  <c r="M21" i="8"/>
  <c r="H27" i="4"/>
  <c r="O6" i="16"/>
  <c r="J6" i="3"/>
  <c r="I5" i="2" s="1"/>
  <c r="J5" i="2" s="1"/>
  <c r="C5" i="1" s="1"/>
  <c r="B7" i="3"/>
  <c r="G7" i="15"/>
  <c r="H7" i="4"/>
  <c r="D7" i="7"/>
  <c r="I12" i="3"/>
  <c r="D17" i="2"/>
  <c r="D23" i="2" s="1"/>
  <c r="C17" i="15"/>
  <c r="E17" i="4"/>
  <c r="D12" i="7"/>
  <c r="E12" i="7"/>
  <c r="L6" i="8"/>
  <c r="I41" i="15"/>
  <c r="B31" i="8"/>
  <c r="J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B6" i="2"/>
  <c r="J17" i="3"/>
  <c r="I16" i="2" s="1"/>
  <c r="C41" i="4"/>
  <c r="C40" i="15"/>
  <c r="M25" i="15"/>
  <c r="L25" i="4" s="1"/>
  <c r="C27" i="15"/>
  <c r="E40" i="4"/>
  <c r="E27" i="4"/>
  <c r="O30" i="16"/>
  <c r="P27" i="16"/>
  <c r="P16" i="16"/>
  <c r="D18" i="16"/>
  <c r="O23" i="16"/>
  <c r="P22" i="16"/>
  <c r="E37" i="16"/>
  <c r="P34" i="16"/>
  <c r="J12" i="5"/>
  <c r="J21" i="5"/>
  <c r="M4" i="8"/>
  <c r="B19" i="1" s="1"/>
  <c r="C6" i="8"/>
  <c r="K31" i="8"/>
  <c r="K23" i="8"/>
  <c r="C32" i="8"/>
  <c r="B43" i="3"/>
  <c r="C11" i="16"/>
  <c r="P9" i="16"/>
  <c r="B24" i="7" s="1"/>
  <c r="B12" i="15"/>
  <c r="L10" i="4"/>
  <c r="M10" i="4" s="1"/>
  <c r="G40" i="15"/>
  <c r="M35" i="15"/>
  <c r="L35" i="4" s="1"/>
  <c r="G37" i="15"/>
  <c r="E44" i="2"/>
  <c r="E30" i="2"/>
  <c r="B44" i="2"/>
  <c r="B30" i="2"/>
  <c r="J33" i="3"/>
  <c r="I33" i="2" s="1"/>
  <c r="C18" i="8"/>
  <c r="D37" i="16"/>
  <c r="C37" i="16"/>
  <c r="P35" i="16"/>
  <c r="L11" i="4"/>
  <c r="M11" i="4" s="1"/>
  <c r="L15" i="4"/>
  <c r="M15" i="4" s="1"/>
  <c r="N6" i="16"/>
  <c r="B7" i="7"/>
  <c r="G32" i="15"/>
  <c r="C43" i="2"/>
  <c r="C35" i="2"/>
  <c r="D21" i="4"/>
  <c r="C18" i="16"/>
  <c r="B7" i="4"/>
  <c r="C12" i="4"/>
  <c r="H12" i="3"/>
  <c r="C18" i="3"/>
  <c r="G10" i="7"/>
  <c r="B18" i="1" s="1"/>
  <c r="C37" i="4"/>
  <c r="H43" i="3"/>
  <c r="H30" i="3"/>
  <c r="C30" i="3"/>
  <c r="C43" i="3"/>
  <c r="C24" i="7" l="1"/>
  <c r="F20" i="1"/>
  <c r="F21" i="1"/>
  <c r="M20" i="15"/>
  <c r="M7" i="15"/>
  <c r="B21" i="15"/>
  <c r="M17" i="15"/>
  <c r="M12" i="15"/>
  <c r="C6" i="1"/>
  <c r="B6" i="1"/>
  <c r="H21" i="4"/>
  <c r="H21" i="15"/>
  <c r="B23" i="3"/>
  <c r="B42" i="15"/>
  <c r="K42" i="4"/>
  <c r="L42" i="15"/>
  <c r="L7" i="4"/>
  <c r="M7" i="4" s="1"/>
  <c r="K21" i="4"/>
  <c r="I45" i="3"/>
  <c r="C21" i="4"/>
  <c r="B23" i="2"/>
  <c r="B33" i="1"/>
  <c r="M10" i="8"/>
  <c r="H45" i="3"/>
  <c r="J33" i="8"/>
  <c r="F21" i="15"/>
  <c r="G45" i="3"/>
  <c r="D45" i="2"/>
  <c r="C45" i="3"/>
  <c r="L12" i="8"/>
  <c r="G23" i="3"/>
  <c r="B33" i="8"/>
  <c r="H42" i="15"/>
  <c r="I21" i="15"/>
  <c r="F42" i="15"/>
  <c r="B42" i="4"/>
  <c r="D7" i="1"/>
  <c r="I17" i="2"/>
  <c r="J17" i="2" s="1"/>
  <c r="J12" i="3"/>
  <c r="J44" i="3"/>
  <c r="E45" i="2"/>
  <c r="L33" i="8"/>
  <c r="E21" i="4"/>
  <c r="D17" i="5"/>
  <c r="F45" i="3"/>
  <c r="G42" i="15"/>
  <c r="D18" i="1"/>
  <c r="C10" i="1"/>
  <c r="L27" i="4"/>
  <c r="M27" i="4" s="1"/>
  <c r="C21" i="15"/>
  <c r="D42" i="4"/>
  <c r="D33" i="8"/>
  <c r="I11" i="2"/>
  <c r="J11" i="2" s="1"/>
  <c r="J9" i="2"/>
  <c r="F33" i="8"/>
  <c r="J35" i="3"/>
  <c r="J40" i="3"/>
  <c r="I44" i="2"/>
  <c r="J44" i="2" s="1"/>
  <c r="M32" i="15"/>
  <c r="M25" i="4"/>
  <c r="C5" i="5" s="1"/>
  <c r="J30" i="3"/>
  <c r="P6" i="16"/>
  <c r="J7" i="3"/>
  <c r="M23" i="8"/>
  <c r="B21" i="4"/>
  <c r="M18" i="8"/>
  <c r="M31" i="8"/>
  <c r="G12" i="7"/>
  <c r="P11" i="16"/>
  <c r="J22" i="5"/>
  <c r="J29" i="2"/>
  <c r="B6" i="5" s="1"/>
  <c r="B7" i="5" s="1"/>
  <c r="I21" i="2"/>
  <c r="J21" i="2" s="1"/>
  <c r="H42" i="4"/>
  <c r="P23" i="16"/>
  <c r="L32" i="4"/>
  <c r="M32" i="4" s="1"/>
  <c r="C37" i="1"/>
  <c r="I42" i="15"/>
  <c r="J22" i="3"/>
  <c r="E23" i="2"/>
  <c r="M27" i="15"/>
  <c r="B16" i="1"/>
  <c r="C17" i="1"/>
  <c r="P37" i="16"/>
  <c r="L41" i="4"/>
  <c r="M41" i="4" s="1"/>
  <c r="P18" i="16"/>
  <c r="D19" i="1"/>
  <c r="I6" i="2"/>
  <c r="J6" i="2" s="1"/>
  <c r="D5" i="1" s="1"/>
  <c r="L20" i="4"/>
  <c r="M20" i="4" s="1"/>
  <c r="M32" i="8"/>
  <c r="G7" i="7"/>
  <c r="P30" i="16"/>
  <c r="M28" i="8"/>
  <c r="J38" i="2"/>
  <c r="B15" i="5" s="1"/>
  <c r="B17" i="5" s="1"/>
  <c r="I40" i="2"/>
  <c r="J40" i="2" s="1"/>
  <c r="M31" i="4"/>
  <c r="I30" i="2"/>
  <c r="J30" i="2" s="1"/>
  <c r="E36" i="1"/>
  <c r="C45" i="2"/>
  <c r="I35" i="2"/>
  <c r="J35" i="2" s="1"/>
  <c r="I43" i="2"/>
  <c r="D6" i="5"/>
  <c r="J33" i="2"/>
  <c r="B10" i="5" s="1"/>
  <c r="K33" i="8"/>
  <c r="M37" i="15"/>
  <c r="J18" i="3"/>
  <c r="C23" i="3"/>
  <c r="L17" i="4"/>
  <c r="M17" i="4" s="1"/>
  <c r="D10" i="5"/>
  <c r="C12" i="8"/>
  <c r="M6" i="8"/>
  <c r="E42" i="4"/>
  <c r="C42" i="15"/>
  <c r="M40" i="15"/>
  <c r="M41" i="15"/>
  <c r="C33" i="8"/>
  <c r="B45" i="2"/>
  <c r="L37" i="4"/>
  <c r="L40" i="4"/>
  <c r="M40" i="4" s="1"/>
  <c r="M35" i="4"/>
  <c r="C15" i="5" s="1"/>
  <c r="L12" i="4"/>
  <c r="M12" i="4" s="1"/>
  <c r="E16" i="5"/>
  <c r="F16" i="5" s="1"/>
  <c r="J16" i="2"/>
  <c r="C16" i="1" s="1"/>
  <c r="C42" i="4"/>
  <c r="B45" i="3"/>
  <c r="J43" i="3"/>
  <c r="D24" i="7" l="1"/>
  <c r="F24" i="7" s="1"/>
  <c r="B8" i="1"/>
  <c r="F18" i="1"/>
  <c r="M21" i="15"/>
  <c r="D6" i="1"/>
  <c r="C8" i="1"/>
  <c r="C33" i="1" s="1"/>
  <c r="M12" i="8"/>
  <c r="B10" i="1"/>
  <c r="D21" i="7"/>
  <c r="F21" i="7" s="1"/>
  <c r="F19" i="1"/>
  <c r="I45" i="2"/>
  <c r="J45" i="2" s="1"/>
  <c r="J45" i="3"/>
  <c r="F7" i="1"/>
  <c r="I23" i="2"/>
  <c r="J23" i="2" s="1"/>
  <c r="B27" i="1"/>
  <c r="B21" i="5"/>
  <c r="B28" i="1"/>
  <c r="L42" i="4"/>
  <c r="M42" i="4" s="1"/>
  <c r="M42" i="15"/>
  <c r="J23" i="3"/>
  <c r="B17" i="1"/>
  <c r="D17" i="1" s="1"/>
  <c r="J43" i="2"/>
  <c r="C11" i="5"/>
  <c r="C28" i="1"/>
  <c r="C27" i="1"/>
  <c r="M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F5" i="1"/>
  <c r="E6" i="5"/>
  <c r="F6" i="5" s="1"/>
  <c r="C7" i="5"/>
  <c r="E5" i="5"/>
  <c r="D10" i="1" l="1"/>
  <c r="D8" i="1"/>
  <c r="F8" i="1" s="1"/>
  <c r="F6" i="1"/>
  <c r="C11" i="1"/>
  <c r="M24" i="7" s="1"/>
  <c r="B32" i="1"/>
  <c r="B11" i="1"/>
  <c r="L24" i="7" s="1"/>
  <c r="D28" i="1"/>
  <c r="B22" i="1"/>
  <c r="B29" i="1"/>
  <c r="C12" i="5"/>
  <c r="C21" i="5"/>
  <c r="E21" i="5" s="1"/>
  <c r="F21" i="5" s="1"/>
  <c r="E11" i="5"/>
  <c r="F11" i="5" s="1"/>
  <c r="C29" i="1"/>
  <c r="F5" i="5"/>
  <c r="E7" i="5"/>
  <c r="F16" i="1"/>
  <c r="D22" i="1"/>
  <c r="F22" i="1" s="1"/>
  <c r="D22" i="5"/>
  <c r="F15" i="5"/>
  <c r="E17" i="5"/>
  <c r="D27" i="1" s="1"/>
  <c r="B22" i="5"/>
  <c r="E20" i="5"/>
  <c r="H6" i="5"/>
  <c r="F10" i="5"/>
  <c r="F17" i="1"/>
  <c r="H24" i="7" l="1"/>
  <c r="G24" i="7"/>
  <c r="I24" i="7" s="1"/>
  <c r="K24" i="7" s="1"/>
  <c r="N24" i="7"/>
  <c r="P24" i="7" s="1"/>
  <c r="F10" i="1"/>
  <c r="C32" i="1"/>
  <c r="H21" i="5"/>
  <c r="F28" i="1"/>
  <c r="D11" i="1"/>
  <c r="F11" i="1" s="1"/>
  <c r="N21" i="7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P21" i="7" l="1"/>
  <c r="I21" i="7"/>
  <c r="F22" i="5"/>
  <c r="H22" i="5" s="1"/>
  <c r="H20" i="5"/>
  <c r="K21" i="7" l="1"/>
  <c r="B23" i="7" l="1"/>
  <c r="C23" i="7" l="1"/>
  <c r="D23" i="7" s="1"/>
  <c r="F23" i="7" s="1"/>
  <c r="L23" i="7" l="1"/>
  <c r="M23" i="7"/>
  <c r="N23" i="7" s="1"/>
  <c r="P23" i="7" s="1"/>
  <c r="G23" i="7" l="1"/>
  <c r="H23" i="7"/>
  <c r="I23" i="7" l="1"/>
  <c r="K23" i="7" s="1"/>
  <c r="B22" i="7" l="1"/>
  <c r="D33" i="1"/>
  <c r="I16" i="5"/>
  <c r="G21" i="1" l="1"/>
  <c r="C22" i="7"/>
  <c r="C33" i="7" s="1"/>
  <c r="G20" i="1"/>
  <c r="B33" i="7"/>
  <c r="G5" i="1"/>
  <c r="I21" i="1" l="1"/>
  <c r="I20" i="1"/>
  <c r="I6" i="5"/>
  <c r="G18" i="1"/>
  <c r="D22" i="7"/>
  <c r="I5" i="1"/>
  <c r="G19" i="1"/>
  <c r="G17" i="1"/>
  <c r="G7" i="1"/>
  <c r="G16" i="1"/>
  <c r="D32" i="1"/>
  <c r="I5" i="5"/>
  <c r="I15" i="5"/>
  <c r="G27" i="1"/>
  <c r="I10" i="5"/>
  <c r="I7" i="1" l="1"/>
  <c r="I18" i="1"/>
  <c r="I17" i="1"/>
  <c r="K6" i="5"/>
  <c r="I19" i="1"/>
  <c r="I17" i="5"/>
  <c r="K17" i="5" s="1"/>
  <c r="K15" i="5"/>
  <c r="G10" i="1"/>
  <c r="I27" i="1"/>
  <c r="G6" i="1"/>
  <c r="L22" i="7"/>
  <c r="I11" i="5"/>
  <c r="D34" i="1"/>
  <c r="E33" i="1" s="1"/>
  <c r="K10" i="5"/>
  <c r="K5" i="5"/>
  <c r="I7" i="5"/>
  <c r="K7" i="5" s="1"/>
  <c r="M22" i="7"/>
  <c r="M33" i="7" s="1"/>
  <c r="I16" i="1"/>
  <c r="G22" i="1"/>
  <c r="I22" i="1" s="1"/>
  <c r="D33" i="7"/>
  <c r="F33" i="7" s="1"/>
  <c r="F22" i="7"/>
  <c r="I20" i="5"/>
  <c r="K11" i="5" l="1"/>
  <c r="I10" i="1"/>
  <c r="E32" i="1"/>
  <c r="G28" i="1"/>
  <c r="G22" i="7"/>
  <c r="I12" i="5"/>
  <c r="K12" i="5" s="1"/>
  <c r="I6" i="1"/>
  <c r="G8" i="1"/>
  <c r="I21" i="5"/>
  <c r="I22" i="5" s="1"/>
  <c r="K22" i="5" s="1"/>
  <c r="N22" i="7"/>
  <c r="L33" i="7"/>
  <c r="K20" i="5"/>
  <c r="H22" i="7"/>
  <c r="H33" i="7" s="1"/>
  <c r="K21" i="5" l="1"/>
  <c r="I8" i="1"/>
  <c r="G11" i="1"/>
  <c r="I11" i="1" s="1"/>
  <c r="G33" i="7"/>
  <c r="I22" i="7"/>
  <c r="N33" i="7"/>
  <c r="P33" i="7" s="1"/>
  <c r="P22" i="7"/>
  <c r="I28" i="1"/>
  <c r="G29" i="1"/>
  <c r="I29" i="1" s="1"/>
  <c r="K22" i="7" l="1"/>
  <c r="I33" i="7"/>
  <c r="K33" i="7" s="1"/>
</calcChain>
</file>

<file path=xl/sharedStrings.xml><?xml version="1.0" encoding="utf-8"?>
<sst xmlns="http://schemas.openxmlformats.org/spreadsheetml/2006/main" count="596" uniqueCount="230">
  <si>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</si>
  <si>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</si>
  <si>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</si>
  <si>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</si>
  <si>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</si>
  <si>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</si>
  <si>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</si>
  <si>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</si>
  <si>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</si>
  <si>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</si>
  <si>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</si>
  <si>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</si>
  <si>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</si>
  <si>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</si>
  <si>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</si>
  <si>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</si>
  <si>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</si>
  <si>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</si>
  <si>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</si>
  <si>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</si>
  <si>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</si>
  <si>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</si>
  <si>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</si>
  <si>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</si>
  <si>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</si>
  <si>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</si>
  <si>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</si>
  <si>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</si>
  <si>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</si>
  <si>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</si>
  <si>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</si>
  <si>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</si>
  <si>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</si>
  <si>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</si>
  <si>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</si>
  <si>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</si>
  <si>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</si>
  <si>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</si>
  <si>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</si>
  <si>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</si>
  <si>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</si>
  <si>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</si>
  <si>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</si>
  <si>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</si>
  <si>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</si>
  <si>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</si>
  <si>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</si>
  <si>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</si>
  <si>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</si>
  <si>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</si>
  <si>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</si>
  <si>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</si>
  <si>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</si>
  <si>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</si>
  <si>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</si>
  <si>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</si>
  <si>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</si>
  <si>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</si>
  <si>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</si>
  <si>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</si>
  <si>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</si>
  <si>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</si>
  <si>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</si>
  <si>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</si>
  <si>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</si>
  <si>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</si>
  <si>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</si>
  <si>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</si>
  <si>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</si>
  <si>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</si>
  <si>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</si>
  <si>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</si>
  <si>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</si>
  <si>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</si>
  <si>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</si>
  <si>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</si>
  <si>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</si>
  <si>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</si>
  <si>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</si>
  <si>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</si>
  <si>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</si>
  <si>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</si>
  <si>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</si>
  <si>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</si>
  <si>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</si>
  <si>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</si>
  <si>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</si>
  <si>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</si>
  <si>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</si>
  <si>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</si>
  <si>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</si>
  <si>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</si>
  <si>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</si>
  <si>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</si>
  <si>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</si>
  <si>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</si>
  <si>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</si>
  <si>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</si>
  <si>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</si>
  <si>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</si>
  <si>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</si>
  <si>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</si>
  <si>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</si>
  <si>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</si>
  <si>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</si>
  <si>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</si>
  <si>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</si>
  <si>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</si>
  <si>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</si>
  <si>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</si>
  <si>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</si>
  <si>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</si>
  <si>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</si>
  <si>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</si>
  <si>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</si>
  <si>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</si>
  <si>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</si>
  <si>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</si>
  <si>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</si>
  <si>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</si>
  <si>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</si>
  <si>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</si>
  <si>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</si>
  <si>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</si>
  <si>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</si>
  <si>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</si>
  <si>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</si>
  <si>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</si>
  <si>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</si>
  <si>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</si>
  <si>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</si>
  <si>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</si>
  <si>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</si>
  <si>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</si>
  <si>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</si>
  <si>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</si>
  <si>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</si>
  <si>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</si>
  <si>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</si>
  <si>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</si>
  <si>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</si>
  <si>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</si>
  <si>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</si>
  <si>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</si>
  <si>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</si>
  <si>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</si>
  <si>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</si>
  <si>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</si>
  <si>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</si>
  <si>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</si>
  <si>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</si>
  <si>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</si>
  <si>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</si>
  <si>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</si>
  <si>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</si>
  <si>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</si>
  <si>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</si>
  <si>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</si>
  <si>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</si>
  <si>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</si>
  <si>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</si>
  <si>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</si>
  <si>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</si>
  <si>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</si>
  <si>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</si>
  <si>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</si>
  <si>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</si>
  <si>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</si>
  <si>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</si>
  <si>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</si>
  <si>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Compass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</si>
  <si>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</si>
  <si>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</si>
  <si>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</si>
  <si>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</si>
  <si>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</si>
  <si>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</si>
  <si>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</si>
  <si>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</si>
  <si>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</si>
  <si>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</si>
  <si>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</si>
  <si>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</si>
  <si>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</si>
  <si>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</si>
  <si>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</si>
  <si>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Atlas Air -DHL</t>
  </si>
  <si>
    <t>IFL</t>
  </si>
  <si>
    <t>Monthly Total 2017</t>
  </si>
  <si>
    <t>Y-T-D 2017</t>
  </si>
  <si>
    <t>Total 2017</t>
  </si>
  <si>
    <t>Metric Tons 2017</t>
  </si>
  <si>
    <t>Monthly Ops 2017</t>
  </si>
  <si>
    <t>Ops YTD 2017</t>
  </si>
  <si>
    <t>Current Month 2017</t>
  </si>
  <si>
    <t>YTD 2017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</si>
  <si>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</si>
  <si>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</si>
  <si>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</si>
  <si>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</si>
  <si>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</si>
  <si>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</si>
  <si>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</si>
  <si>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</si>
  <si>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</si>
  <si>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</si>
  <si>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</si>
  <si>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</si>
  <si>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</si>
  <si>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</si>
  <si>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</si>
  <si>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Monthly Total 2018</t>
  </si>
  <si>
    <t>Y-T-D 2018</t>
  </si>
  <si>
    <t xml:space="preserve">2017 YTD </t>
  </si>
  <si>
    <t>Sky Regional</t>
  </si>
  <si>
    <t>Horizon Air</t>
  </si>
  <si>
    <t>KLM</t>
  </si>
  <si>
    <t>Monthly Ops 2018</t>
  </si>
  <si>
    <t>Ops YTD 2018</t>
  </si>
  <si>
    <t>Current Month 2018</t>
  </si>
  <si>
    <t>YTD 2018</t>
  </si>
  <si>
    <t>2018 % Pax</t>
  </si>
  <si>
    <t>Atlantic Southeast - Delta</t>
  </si>
  <si>
    <t>Sky Regional - Air Canada</t>
  </si>
  <si>
    <t>2018 % Cargo</t>
  </si>
  <si>
    <t>Metric Tons 2018</t>
  </si>
  <si>
    <t>Total 2018</t>
  </si>
  <si>
    <t>Horizon Air - Alaska</t>
  </si>
  <si>
    <t>Sky West - American</t>
  </si>
  <si>
    <t>April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</si>
</sst>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5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8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9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9" fillId="0" borderId="71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1" fillId="0" borderId="15" xfId="0" applyFont="1" applyBorder="1"/>
    <xf numFmtId="0" fontId="1" fillId="0" borderId="15" xfId="0" applyFont="1" applyFill="1" applyBorder="1" applyAlignment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3" fontId="13" fillId="0" borderId="75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0" fontId="7" fillId="0" borderId="36" xfId="0" applyFont="1" applyFill="1" applyBorder="1"/>
    <xf numFmtId="0" fontId="4" fillId="0" borderId="0" xfId="0" applyFont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 applyBorder="1"/>
    <xf numFmtId="41" fontId="1" fillId="0" borderId="0" xfId="0" applyNumberFormat="1" applyFont="1"/>
    <xf numFmtId="41" fontId="1" fillId="0" borderId="0" xfId="0" applyNumberFormat="1" applyFont="1" applyBorder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Fill="1" applyBorder="1"/>
    <xf numFmtId="41" fontId="4" fillId="0" borderId="13" xfId="0" applyNumberFormat="1" applyFont="1" applyFill="1" applyBorder="1"/>
    <xf numFmtId="0" fontId="1" fillId="0" borderId="0" xfId="0" applyFont="1" applyFill="1" applyBorder="1"/>
    <xf numFmtId="0" fontId="4" fillId="0" borderId="39" xfId="0" applyFont="1" applyBorder="1"/>
    <xf numFmtId="0" fontId="0" fillId="0" borderId="26" xfId="0" applyFill="1" applyBorder="1"/>
    <xf numFmtId="3" fontId="4" fillId="0" borderId="39" xfId="0" applyNumberFormat="1" applyFont="1" applyFill="1" applyBorder="1"/>
    <xf numFmtId="10" fontId="4" fillId="0" borderId="24" xfId="0" applyNumberFormat="1" applyFont="1" applyFill="1" applyBorder="1"/>
    <xf numFmtId="3" fontId="4" fillId="0" borderId="24" xfId="0" applyNumberFormat="1" applyFont="1" applyFill="1" applyBorder="1"/>
    <xf numFmtId="10" fontId="4" fillId="0" borderId="26" xfId="0" applyNumberFormat="1" applyFont="1" applyFill="1" applyBorder="1"/>
    <xf numFmtId="0" fontId="0" fillId="0" borderId="0" xfId="0" applyFont="1"/>
    <xf numFmtId="0" fontId="28" fillId="11" borderId="0" xfId="0" applyFont="1" applyFill="1" applyAlignment="1">
      <alignment horizontal="center"/>
    </xf>
    <xf numFmtId="3" fontId="29" fillId="0" borderId="76" xfId="0" applyNumberFormat="1" applyFont="1" applyBorder="1"/>
    <xf numFmtId="165" fontId="29" fillId="0" borderId="57" xfId="1" applyNumberFormat="1" applyFont="1" applyBorder="1"/>
    <xf numFmtId="10" fontId="29" fillId="0" borderId="76" xfId="0" applyNumberFormat="1" applyFont="1" applyBorder="1"/>
    <xf numFmtId="10" fontId="29" fillId="0" borderId="58" xfId="3" applyNumberFormat="1" applyFont="1" applyBorder="1"/>
    <xf numFmtId="165" fontId="29" fillId="0" borderId="76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 applyFill="1" applyBorder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Fill="1" applyBorder="1"/>
    <xf numFmtId="10" fontId="13" fillId="0" borderId="24" xfId="0" applyNumberFormat="1" applyFont="1" applyFill="1" applyBorder="1"/>
    <xf numFmtId="0" fontId="2" fillId="0" borderId="0" xfId="0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3" fontId="0" fillId="0" borderId="13" xfId="0" applyNumberFormat="1" applyBorder="1"/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 applyBorder="1"/>
    <xf numFmtId="0" fontId="4" fillId="0" borderId="24" xfId="0" applyFont="1" applyFill="1" applyBorder="1" applyAlignment="1">
      <alignment horizontal="center" vertical="center"/>
    </xf>
    <xf numFmtId="41" fontId="0" fillId="0" borderId="77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3" fontId="0" fillId="0" borderId="1" xfId="0" applyNumberFormat="1" applyFill="1" applyBorder="1"/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Border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7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April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January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February%20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March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2368846</v>
          </cell>
          <cell r="G5">
            <v>8969227</v>
          </cell>
        </row>
        <row r="6">
          <cell r="D6">
            <v>625681</v>
          </cell>
          <cell r="G6">
            <v>2475202</v>
          </cell>
        </row>
        <row r="7">
          <cell r="D7">
            <v>300</v>
          </cell>
          <cell r="G7">
            <v>1035</v>
          </cell>
        </row>
        <row r="10">
          <cell r="D10">
            <v>100237</v>
          </cell>
          <cell r="G10">
            <v>384129</v>
          </cell>
        </row>
        <row r="16">
          <cell r="D16">
            <v>18713</v>
          </cell>
          <cell r="G16">
            <v>70893</v>
          </cell>
        </row>
        <row r="17">
          <cell r="D17">
            <v>12411</v>
          </cell>
          <cell r="G17">
            <v>49816</v>
          </cell>
        </row>
        <row r="18">
          <cell r="D18">
            <v>2</v>
          </cell>
          <cell r="G18">
            <v>12</v>
          </cell>
        </row>
        <row r="19">
          <cell r="D19">
            <v>1146</v>
          </cell>
          <cell r="G19">
            <v>4766</v>
          </cell>
        </row>
        <row r="20">
          <cell r="D20">
            <v>1797</v>
          </cell>
          <cell r="G20">
            <v>6943</v>
          </cell>
        </row>
        <row r="21">
          <cell r="D21">
            <v>40</v>
          </cell>
          <cell r="G21">
            <v>167</v>
          </cell>
        </row>
        <row r="27">
          <cell r="D27">
            <v>16179.68247558278</v>
          </cell>
          <cell r="G27">
            <v>64043.094088183978</v>
          </cell>
        </row>
        <row r="28">
          <cell r="D28">
            <v>2351.9762287714002</v>
          </cell>
          <cell r="G28">
            <v>7576.7511566184903</v>
          </cell>
        </row>
        <row r="32">
          <cell r="B32">
            <v>861091</v>
          </cell>
          <cell r="D32">
            <v>3597247</v>
          </cell>
        </row>
        <row r="33">
          <cell r="B33">
            <v>589155</v>
          </cell>
          <cell r="D33">
            <v>2112509</v>
          </cell>
        </row>
      </sheetData>
      <sheetData sheetId="1"/>
      <sheetData sheetId="2"/>
      <sheetData sheetId="3"/>
      <sheetData sheetId="4"/>
      <sheetData sheetId="5">
        <row r="24">
          <cell r="D24">
            <v>251391</v>
          </cell>
          <cell r="I24">
            <v>2843673</v>
          </cell>
          <cell r="N24">
            <v>3095064</v>
          </cell>
        </row>
      </sheetData>
      <sheetData sheetId="6"/>
      <sheetData sheetId="7">
        <row r="5">
          <cell r="F5">
            <v>8919.2625554709593</v>
          </cell>
          <cell r="I5">
            <v>34367.468268316261</v>
          </cell>
        </row>
        <row r="6">
          <cell r="F6">
            <v>1059.98594808953</v>
          </cell>
          <cell r="I6">
            <v>3297.6895582715697</v>
          </cell>
        </row>
        <row r="10">
          <cell r="F10">
            <v>7260.4199201118199</v>
          </cell>
          <cell r="I10">
            <v>29675.625819867721</v>
          </cell>
        </row>
        <row r="11">
          <cell r="F11">
            <v>1291.99028068187</v>
          </cell>
          <cell r="I11">
            <v>4279.0615983469197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16179.68247558278</v>
          </cell>
        </row>
        <row r="21">
          <cell r="F21">
            <v>2351.9762287713997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6697023</v>
          </cell>
        </row>
        <row r="6">
          <cell r="G6">
            <v>1826949</v>
          </cell>
        </row>
        <row r="7">
          <cell r="G7">
            <v>2145</v>
          </cell>
        </row>
        <row r="10">
          <cell r="G10">
            <v>280933</v>
          </cell>
        </row>
        <row r="16">
          <cell r="G16">
            <v>51566</v>
          </cell>
        </row>
        <row r="17">
          <cell r="G17">
            <v>35906</v>
          </cell>
        </row>
        <row r="18">
          <cell r="G18">
            <v>14</v>
          </cell>
        </row>
        <row r="19">
          <cell r="G19">
            <v>3648</v>
          </cell>
        </row>
        <row r="20">
          <cell r="G20">
            <v>5056</v>
          </cell>
        </row>
        <row r="21">
          <cell r="G21">
            <v>306</v>
          </cell>
        </row>
        <row r="27">
          <cell r="G27">
            <v>49298.69943403636</v>
          </cell>
        </row>
        <row r="28">
          <cell r="G28">
            <v>6087.2799122173492</v>
          </cell>
        </row>
        <row r="32">
          <cell r="D32">
            <v>2860681</v>
          </cell>
        </row>
        <row r="33">
          <cell r="D33">
            <v>1437633</v>
          </cell>
        </row>
      </sheetData>
      <sheetData sheetId="1"/>
      <sheetData sheetId="2"/>
      <sheetData sheetId="3"/>
      <sheetData sheetId="4"/>
      <sheetData sheetId="5">
        <row r="23">
          <cell r="B23">
            <v>183302</v>
          </cell>
          <cell r="C23">
            <v>184526</v>
          </cell>
          <cell r="G23">
            <v>1511202</v>
          </cell>
          <cell r="H23">
            <v>1531837</v>
          </cell>
          <cell r="L23">
            <v>1694504</v>
          </cell>
          <cell r="M23">
            <v>1716363</v>
          </cell>
        </row>
      </sheetData>
      <sheetData sheetId="6"/>
      <sheetData sheetId="7">
        <row r="5">
          <cell r="I5">
            <v>27133.856564456179</v>
          </cell>
        </row>
        <row r="6">
          <cell r="I6">
            <v>2472.9692719146797</v>
          </cell>
        </row>
        <row r="10">
          <cell r="I10">
            <v>22164.842869580178</v>
          </cell>
        </row>
        <row r="11">
          <cell r="I11">
            <v>3614.3106403026704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49298.69943403636</v>
          </cell>
        </row>
        <row r="21">
          <cell r="I21">
            <v>6087.2799122173501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aska"/>
      <sheetName val="America West"/>
      <sheetName val="American"/>
      <sheetName val="Continental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Southwest"/>
      <sheetName val="Spirit"/>
      <sheetName val="Sun Country"/>
      <sheetName val="United"/>
      <sheetName val="US Airways"/>
      <sheetName val="AirCanada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Atlas Air"/>
      <sheetName val="Charter Misc"/>
      <sheetName val="Airborne"/>
      <sheetName val="DHL"/>
      <sheetName val="IF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FQ4">
            <v>86</v>
          </cell>
        </row>
        <row r="5">
          <cell r="FQ5">
            <v>86</v>
          </cell>
        </row>
        <row r="8">
          <cell r="FQ8"/>
        </row>
        <row r="9">
          <cell r="FQ9"/>
        </row>
        <row r="19">
          <cell r="EZ19">
            <v>232</v>
          </cell>
          <cell r="FA19">
            <v>232</v>
          </cell>
          <cell r="FB19">
            <v>254</v>
          </cell>
          <cell r="FC19">
            <v>240</v>
          </cell>
          <cell r="FN19">
            <v>248</v>
          </cell>
          <cell r="FO19">
            <v>210</v>
          </cell>
          <cell r="FP19">
            <v>186</v>
          </cell>
          <cell r="FQ19">
            <v>172</v>
          </cell>
        </row>
        <row r="22">
          <cell r="FQ22">
            <v>346</v>
          </cell>
        </row>
        <row r="23">
          <cell r="FQ23">
            <v>333</v>
          </cell>
        </row>
        <row r="27">
          <cell r="FQ27"/>
        </row>
        <row r="28">
          <cell r="FQ28"/>
        </row>
        <row r="41">
          <cell r="EZ41">
            <v>663</v>
          </cell>
          <cell r="FA41">
            <v>811</v>
          </cell>
          <cell r="FB41">
            <v>857</v>
          </cell>
          <cell r="FC41">
            <v>778</v>
          </cell>
          <cell r="FN41">
            <v>960</v>
          </cell>
          <cell r="FO41">
            <v>755</v>
          </cell>
          <cell r="FP41">
            <v>740</v>
          </cell>
          <cell r="FQ41">
            <v>679</v>
          </cell>
        </row>
        <row r="47">
          <cell r="FQ47"/>
        </row>
        <row r="48">
          <cell r="FQ48"/>
        </row>
        <row r="52">
          <cell r="FQ52"/>
        </row>
        <row r="53">
          <cell r="FQ53"/>
        </row>
        <row r="57">
          <cell r="FQ57"/>
        </row>
        <row r="58">
          <cell r="FQ58"/>
        </row>
      </sheetData>
      <sheetData sheetId="3"/>
      <sheetData sheetId="4">
        <row r="4">
          <cell r="FQ4"/>
        </row>
        <row r="5">
          <cell r="FQ5"/>
        </row>
        <row r="8">
          <cell r="FQ8"/>
        </row>
        <row r="9">
          <cell r="FQ9"/>
        </row>
        <row r="15">
          <cell r="FN15"/>
          <cell r="FO15"/>
          <cell r="FP15"/>
          <cell r="FQ15"/>
        </row>
        <row r="16">
          <cell r="FN16"/>
          <cell r="FO16"/>
          <cell r="FP16"/>
          <cell r="FQ16"/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</row>
        <row r="22">
          <cell r="FQ22"/>
        </row>
        <row r="23">
          <cell r="FQ23"/>
        </row>
        <row r="27">
          <cell r="FQ27"/>
        </row>
        <row r="28">
          <cell r="FQ28"/>
        </row>
        <row r="32">
          <cell r="FN32"/>
          <cell r="FO32"/>
          <cell r="FP32"/>
          <cell r="FQ32"/>
        </row>
        <row r="33">
          <cell r="FN33"/>
          <cell r="FO33"/>
          <cell r="FP33"/>
          <cell r="FQ33"/>
        </row>
        <row r="37">
          <cell r="FN37"/>
          <cell r="FO37"/>
          <cell r="FP37"/>
          <cell r="FQ37"/>
        </row>
        <row r="38">
          <cell r="FN38"/>
          <cell r="FO38"/>
          <cell r="FP38"/>
          <cell r="FQ38"/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</row>
        <row r="47">
          <cell r="FQ47"/>
        </row>
        <row r="48">
          <cell r="FQ48"/>
        </row>
        <row r="52">
          <cell r="FQ52"/>
        </row>
        <row r="53">
          <cell r="FQ53"/>
        </row>
        <row r="57">
          <cell r="FQ57"/>
        </row>
        <row r="58">
          <cell r="FQ58"/>
        </row>
      </sheetData>
      <sheetData sheetId="5">
        <row r="4">
          <cell r="FQ4">
            <v>54</v>
          </cell>
        </row>
        <row r="5">
          <cell r="FQ5">
            <v>54</v>
          </cell>
        </row>
        <row r="8">
          <cell r="FQ8"/>
        </row>
        <row r="9">
          <cell r="FQ9"/>
        </row>
        <row r="19">
          <cell r="EZ19">
            <v>114</v>
          </cell>
          <cell r="FA19">
            <v>62</v>
          </cell>
          <cell r="FB19">
            <v>102</v>
          </cell>
          <cell r="FC19">
            <v>121</v>
          </cell>
          <cell r="FN19">
            <v>120</v>
          </cell>
          <cell r="FO19">
            <v>114</v>
          </cell>
          <cell r="FP19">
            <v>120</v>
          </cell>
          <cell r="FQ19">
            <v>108</v>
          </cell>
        </row>
        <row r="22">
          <cell r="FQ22">
            <v>8459</v>
          </cell>
        </row>
        <row r="23">
          <cell r="FQ23">
            <v>7767</v>
          </cell>
        </row>
        <row r="27">
          <cell r="FQ27">
            <v>227</v>
          </cell>
        </row>
        <row r="28">
          <cell r="FQ28">
            <v>272</v>
          </cell>
        </row>
        <row r="41">
          <cell r="EZ41">
            <v>15185</v>
          </cell>
          <cell r="FA41">
            <v>8520</v>
          </cell>
          <cell r="FB41">
            <v>15746</v>
          </cell>
          <cell r="FC41">
            <v>17638</v>
          </cell>
          <cell r="FN41">
            <v>15815</v>
          </cell>
          <cell r="FO41">
            <v>15209</v>
          </cell>
          <cell r="FP41">
            <v>17525</v>
          </cell>
          <cell r="FQ41">
            <v>16226</v>
          </cell>
        </row>
        <row r="47">
          <cell r="FQ47">
            <v>18233</v>
          </cell>
        </row>
        <row r="48">
          <cell r="FQ48">
            <v>792</v>
          </cell>
        </row>
        <row r="52">
          <cell r="FQ52">
            <v>5873</v>
          </cell>
        </row>
        <row r="53">
          <cell r="FQ53">
            <v>2239</v>
          </cell>
        </row>
        <row r="57">
          <cell r="FQ57"/>
        </row>
        <row r="58">
          <cell r="FQ58"/>
        </row>
      </sheetData>
      <sheetData sheetId="6"/>
      <sheetData sheetId="7">
        <row r="4">
          <cell r="FQ4">
            <v>514</v>
          </cell>
        </row>
        <row r="5">
          <cell r="FQ5">
            <v>516</v>
          </cell>
        </row>
        <row r="8">
          <cell r="FQ8"/>
        </row>
        <row r="9">
          <cell r="FQ9"/>
        </row>
        <row r="19">
          <cell r="EZ19">
            <v>1485</v>
          </cell>
          <cell r="FA19">
            <v>1390</v>
          </cell>
          <cell r="FB19">
            <v>1623</v>
          </cell>
          <cell r="FC19">
            <v>1498</v>
          </cell>
          <cell r="FN19">
            <v>1140</v>
          </cell>
          <cell r="FO19">
            <v>1079</v>
          </cell>
          <cell r="FP19">
            <v>1151</v>
          </cell>
          <cell r="FQ19">
            <v>1030</v>
          </cell>
        </row>
        <row r="22">
          <cell r="FQ22">
            <v>69423</v>
          </cell>
        </row>
        <row r="23">
          <cell r="FQ23">
            <v>61171</v>
          </cell>
        </row>
        <row r="27">
          <cell r="FQ27">
            <v>2204</v>
          </cell>
        </row>
        <row r="28">
          <cell r="FQ28">
            <v>2593</v>
          </cell>
        </row>
        <row r="41">
          <cell r="EZ41">
            <v>159472</v>
          </cell>
          <cell r="FA41">
            <v>160767</v>
          </cell>
          <cell r="FB41">
            <v>201414</v>
          </cell>
          <cell r="FC41">
            <v>175346</v>
          </cell>
          <cell r="FN41">
            <v>137961</v>
          </cell>
          <cell r="FO41">
            <v>135003</v>
          </cell>
          <cell r="FP41">
            <v>150790</v>
          </cell>
          <cell r="FQ41">
            <v>130594</v>
          </cell>
        </row>
        <row r="47">
          <cell r="FQ47">
            <v>55597</v>
          </cell>
        </row>
        <row r="48">
          <cell r="FQ48">
            <v>25435</v>
          </cell>
        </row>
        <row r="52">
          <cell r="FQ52">
            <v>6682</v>
          </cell>
        </row>
        <row r="53">
          <cell r="FQ53">
            <v>75416</v>
          </cell>
        </row>
        <row r="57">
          <cell r="FQ57"/>
        </row>
        <row r="58">
          <cell r="FQ58"/>
        </row>
      </sheetData>
      <sheetData sheetId="8"/>
      <sheetData sheetId="9">
        <row r="4">
          <cell r="FQ4">
            <v>72</v>
          </cell>
        </row>
        <row r="5">
          <cell r="FQ5">
            <v>72</v>
          </cell>
        </row>
        <row r="8">
          <cell r="FQ8"/>
        </row>
        <row r="9">
          <cell r="FQ9"/>
        </row>
        <row r="19">
          <cell r="EZ19">
            <v>151</v>
          </cell>
          <cell r="FA19">
            <v>145</v>
          </cell>
          <cell r="FB19">
            <v>166</v>
          </cell>
          <cell r="FC19">
            <v>146</v>
          </cell>
          <cell r="FN19">
            <v>158</v>
          </cell>
          <cell r="FO19">
            <v>138</v>
          </cell>
          <cell r="FP19">
            <v>148</v>
          </cell>
          <cell r="FQ19">
            <v>144</v>
          </cell>
        </row>
        <row r="22">
          <cell r="FQ22">
            <v>399</v>
          </cell>
        </row>
        <row r="23">
          <cell r="FQ23">
            <v>382</v>
          </cell>
        </row>
        <row r="27">
          <cell r="FQ27"/>
        </row>
        <row r="28">
          <cell r="FQ28"/>
        </row>
        <row r="41">
          <cell r="EZ41">
            <v>1054</v>
          </cell>
          <cell r="FA41">
            <v>983</v>
          </cell>
          <cell r="FB41">
            <v>1085</v>
          </cell>
          <cell r="FC41">
            <v>927</v>
          </cell>
          <cell r="FN41">
            <v>802</v>
          </cell>
          <cell r="FO41">
            <v>682</v>
          </cell>
          <cell r="FP41">
            <v>838</v>
          </cell>
          <cell r="FQ41">
            <v>781</v>
          </cell>
        </row>
        <row r="47">
          <cell r="FQ47"/>
        </row>
        <row r="48">
          <cell r="FQ48"/>
        </row>
        <row r="52">
          <cell r="FQ52"/>
        </row>
        <row r="53">
          <cell r="FQ53"/>
        </row>
        <row r="57">
          <cell r="FQ57"/>
        </row>
        <row r="58">
          <cell r="FQ58"/>
        </row>
      </sheetData>
      <sheetData sheetId="10">
        <row r="4">
          <cell r="FQ4"/>
        </row>
        <row r="5">
          <cell r="FQ5"/>
        </row>
        <row r="8">
          <cell r="FQ8"/>
        </row>
        <row r="9">
          <cell r="FQ9"/>
        </row>
        <row r="15">
          <cell r="FN15"/>
          <cell r="FO15"/>
          <cell r="FP15"/>
          <cell r="FQ15"/>
        </row>
        <row r="16">
          <cell r="FN16"/>
          <cell r="FO16"/>
          <cell r="FP16"/>
          <cell r="FQ16"/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</row>
        <row r="22">
          <cell r="FQ22"/>
        </row>
        <row r="23">
          <cell r="FQ23"/>
        </row>
        <row r="27">
          <cell r="FQ27"/>
        </row>
        <row r="28">
          <cell r="FQ28"/>
        </row>
        <row r="32">
          <cell r="FN32"/>
          <cell r="FO32"/>
          <cell r="FP32"/>
          <cell r="FQ32"/>
        </row>
        <row r="33">
          <cell r="FN33"/>
          <cell r="FO33"/>
          <cell r="FP33"/>
          <cell r="FQ33"/>
        </row>
        <row r="37">
          <cell r="FN37"/>
          <cell r="FO37"/>
          <cell r="FP37"/>
          <cell r="FQ37"/>
        </row>
        <row r="38">
          <cell r="FN38"/>
          <cell r="FO38"/>
          <cell r="FP38"/>
          <cell r="FQ38"/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</row>
        <row r="47">
          <cell r="FQ47"/>
        </row>
        <row r="48">
          <cell r="FQ48"/>
        </row>
        <row r="52">
          <cell r="FQ52"/>
        </row>
        <row r="53">
          <cell r="FQ53"/>
        </row>
        <row r="57">
          <cell r="FQ57"/>
        </row>
        <row r="58">
          <cell r="FQ58"/>
        </row>
      </sheetData>
      <sheetData sheetId="11">
        <row r="4">
          <cell r="FQ4">
            <v>5209</v>
          </cell>
        </row>
        <row r="5">
          <cell r="FQ5">
            <v>5205</v>
          </cell>
        </row>
        <row r="8">
          <cell r="FQ8">
            <v>3</v>
          </cell>
        </row>
        <row r="9">
          <cell r="FQ9">
            <v>10</v>
          </cell>
        </row>
        <row r="15">
          <cell r="FN15">
            <v>551</v>
          </cell>
          <cell r="FO15">
            <v>538</v>
          </cell>
          <cell r="FP15">
            <v>631</v>
          </cell>
          <cell r="FQ15">
            <v>426</v>
          </cell>
        </row>
        <row r="16">
          <cell r="FN16">
            <v>561</v>
          </cell>
          <cell r="FO16">
            <v>536</v>
          </cell>
          <cell r="FP16">
            <v>635</v>
          </cell>
          <cell r="FQ16">
            <v>434</v>
          </cell>
        </row>
        <row r="19">
          <cell r="EZ19">
            <v>10013</v>
          </cell>
          <cell r="FA19">
            <v>9416</v>
          </cell>
          <cell r="FB19">
            <v>11607</v>
          </cell>
          <cell r="FC19">
            <v>11530</v>
          </cell>
          <cell r="FN19">
            <v>10463</v>
          </cell>
          <cell r="FO19">
            <v>9841</v>
          </cell>
          <cell r="FP19">
            <v>11996</v>
          </cell>
          <cell r="FQ19">
            <v>11287</v>
          </cell>
        </row>
        <row r="22">
          <cell r="FQ22">
            <v>708483</v>
          </cell>
        </row>
        <row r="23">
          <cell r="FQ23">
            <v>676567</v>
          </cell>
        </row>
        <row r="27">
          <cell r="FQ27">
            <v>28117</v>
          </cell>
        </row>
        <row r="28">
          <cell r="FQ28">
            <v>27716</v>
          </cell>
        </row>
        <row r="32">
          <cell r="FN32">
            <v>84987</v>
          </cell>
          <cell r="FO32">
            <v>81807</v>
          </cell>
          <cell r="FP32">
            <v>104588</v>
          </cell>
          <cell r="FQ32">
            <v>76269</v>
          </cell>
        </row>
        <row r="33">
          <cell r="FN33">
            <v>80924</v>
          </cell>
          <cell r="FO33">
            <v>80963</v>
          </cell>
          <cell r="FP33">
            <v>103660</v>
          </cell>
          <cell r="FQ33">
            <v>67693</v>
          </cell>
        </row>
        <row r="37">
          <cell r="FN37">
            <v>2439</v>
          </cell>
          <cell r="FO37">
            <v>2388</v>
          </cell>
          <cell r="FP37">
            <v>2172</v>
          </cell>
          <cell r="FQ37">
            <v>2000</v>
          </cell>
        </row>
        <row r="38">
          <cell r="FN38">
            <v>2364</v>
          </cell>
          <cell r="FO38">
            <v>2391</v>
          </cell>
          <cell r="FP38">
            <v>2463</v>
          </cell>
          <cell r="FQ38">
            <v>1917</v>
          </cell>
        </row>
        <row r="41">
          <cell r="EZ41">
            <v>1293152</v>
          </cell>
          <cell r="FA41">
            <v>1245416</v>
          </cell>
          <cell r="FB41">
            <v>1674585</v>
          </cell>
          <cell r="FC41">
            <v>1559075</v>
          </cell>
          <cell r="FN41">
            <v>1348275</v>
          </cell>
          <cell r="FO41">
            <v>1334585</v>
          </cell>
          <cell r="FP41">
            <v>1714964</v>
          </cell>
          <cell r="FQ41">
            <v>1529012</v>
          </cell>
        </row>
        <row r="47">
          <cell r="FQ47">
            <v>4531822</v>
          </cell>
        </row>
        <row r="48">
          <cell r="FQ48">
            <v>1417086</v>
          </cell>
        </row>
        <row r="52">
          <cell r="FQ52">
            <v>2331463</v>
          </cell>
        </row>
        <row r="53">
          <cell r="FQ53">
            <v>1781560</v>
          </cell>
        </row>
        <row r="57">
          <cell r="FQ57"/>
        </row>
        <row r="58">
          <cell r="FQ58"/>
        </row>
        <row r="70">
          <cell r="FQ70">
            <v>359934</v>
          </cell>
        </row>
        <row r="71">
          <cell r="FQ71">
            <v>316633</v>
          </cell>
        </row>
        <row r="73">
          <cell r="FQ73">
            <v>36013</v>
          </cell>
        </row>
        <row r="74">
          <cell r="FQ74">
            <v>31680</v>
          </cell>
        </row>
      </sheetData>
      <sheetData sheetId="12">
        <row r="4">
          <cell r="FQ4">
            <v>150</v>
          </cell>
        </row>
        <row r="5">
          <cell r="FQ5">
            <v>152</v>
          </cell>
        </row>
        <row r="8">
          <cell r="FQ8"/>
        </row>
        <row r="9">
          <cell r="FQ9"/>
        </row>
        <row r="19">
          <cell r="EZ19">
            <v>178</v>
          </cell>
          <cell r="FA19">
            <v>160</v>
          </cell>
          <cell r="FB19">
            <v>172</v>
          </cell>
          <cell r="FC19">
            <v>175</v>
          </cell>
          <cell r="FN19">
            <v>248</v>
          </cell>
          <cell r="FO19">
            <v>222</v>
          </cell>
          <cell r="FP19">
            <v>222</v>
          </cell>
          <cell r="FQ19">
            <v>302</v>
          </cell>
        </row>
        <row r="22">
          <cell r="FQ22">
            <v>20460</v>
          </cell>
        </row>
        <row r="23">
          <cell r="FQ23">
            <v>20210</v>
          </cell>
        </row>
        <row r="27">
          <cell r="FQ27">
            <v>183</v>
          </cell>
        </row>
        <row r="28">
          <cell r="FQ28">
            <v>181</v>
          </cell>
        </row>
        <row r="41">
          <cell r="EZ41">
            <v>29207</v>
          </cell>
          <cell r="FA41">
            <v>27143</v>
          </cell>
          <cell r="FB41">
            <v>31560</v>
          </cell>
          <cell r="FC41">
            <v>27963</v>
          </cell>
          <cell r="FN41">
            <v>38319</v>
          </cell>
          <cell r="FO41">
            <v>35163</v>
          </cell>
          <cell r="FP41">
            <v>38515</v>
          </cell>
          <cell r="FQ41">
            <v>40670</v>
          </cell>
        </row>
        <row r="47">
          <cell r="FQ47"/>
        </row>
        <row r="48">
          <cell r="FQ48"/>
        </row>
        <row r="52">
          <cell r="FQ52"/>
        </row>
        <row r="53">
          <cell r="FQ53"/>
        </row>
        <row r="57">
          <cell r="FQ57"/>
        </row>
        <row r="58">
          <cell r="FQ58"/>
        </row>
      </sheetData>
      <sheetData sheetId="13"/>
      <sheetData sheetId="14">
        <row r="8">
          <cell r="FQ8"/>
        </row>
        <row r="9">
          <cell r="FQ9"/>
        </row>
        <row r="15">
          <cell r="FN15">
            <v>5</v>
          </cell>
          <cell r="FO15"/>
          <cell r="FP15">
            <v>17</v>
          </cell>
          <cell r="FQ15">
            <v>20</v>
          </cell>
        </row>
        <row r="16">
          <cell r="FN16">
            <v>5</v>
          </cell>
          <cell r="FO16"/>
          <cell r="FP16">
            <v>17</v>
          </cell>
          <cell r="FQ16">
            <v>20</v>
          </cell>
        </row>
        <row r="19">
          <cell r="EZ19">
            <v>32</v>
          </cell>
          <cell r="FA19">
            <v>28</v>
          </cell>
          <cell r="FB19">
            <v>38</v>
          </cell>
          <cell r="FC19">
            <v>44</v>
          </cell>
          <cell r="FN19">
            <v>10</v>
          </cell>
          <cell r="FO19">
            <v>0</v>
          </cell>
          <cell r="FP19">
            <v>34</v>
          </cell>
          <cell r="FQ19">
            <v>40</v>
          </cell>
        </row>
        <row r="32">
          <cell r="FN32">
            <v>852</v>
          </cell>
          <cell r="FO32"/>
          <cell r="FP32">
            <v>2019</v>
          </cell>
          <cell r="FQ32">
            <v>2672</v>
          </cell>
        </row>
        <row r="33">
          <cell r="FN33">
            <v>671</v>
          </cell>
          <cell r="FO33"/>
          <cell r="FP33">
            <v>2431</v>
          </cell>
          <cell r="FQ33">
            <v>2690</v>
          </cell>
        </row>
        <row r="37">
          <cell r="FN37">
            <v>20</v>
          </cell>
          <cell r="FO37"/>
          <cell r="FP37">
            <v>75</v>
          </cell>
          <cell r="FQ37">
            <v>52</v>
          </cell>
        </row>
        <row r="38">
          <cell r="FN38">
            <v>13</v>
          </cell>
          <cell r="FO38"/>
          <cell r="FP38">
            <v>54</v>
          </cell>
          <cell r="FQ38">
            <v>60</v>
          </cell>
        </row>
        <row r="41">
          <cell r="EZ41">
            <v>4329</v>
          </cell>
          <cell r="FA41">
            <v>3399</v>
          </cell>
          <cell r="FB41">
            <v>6031</v>
          </cell>
          <cell r="FC41">
            <v>5997</v>
          </cell>
          <cell r="FN41">
            <v>1523</v>
          </cell>
          <cell r="FO41">
            <v>0</v>
          </cell>
          <cell r="FP41">
            <v>4450</v>
          </cell>
          <cell r="FQ41">
            <v>5362</v>
          </cell>
        </row>
        <row r="47">
          <cell r="FQ47">
            <v>28668</v>
          </cell>
        </row>
        <row r="48">
          <cell r="FQ48"/>
        </row>
        <row r="52">
          <cell r="FQ52"/>
        </row>
        <row r="53">
          <cell r="FQ53"/>
        </row>
        <row r="57">
          <cell r="FQ57"/>
        </row>
        <row r="58">
          <cell r="FQ58"/>
        </row>
      </sheetData>
      <sheetData sheetId="15"/>
      <sheetData sheetId="16">
        <row r="4">
          <cell r="FQ4"/>
        </row>
        <row r="5">
          <cell r="FQ5"/>
        </row>
        <row r="8">
          <cell r="FQ8"/>
        </row>
        <row r="9">
          <cell r="FQ9"/>
        </row>
        <row r="15">
          <cell r="FN15">
            <v>14</v>
          </cell>
          <cell r="FO15">
            <v>12</v>
          </cell>
          <cell r="FP15">
            <v>13</v>
          </cell>
          <cell r="FQ15">
            <v>8</v>
          </cell>
        </row>
        <row r="16">
          <cell r="FN16">
            <v>14</v>
          </cell>
          <cell r="FO16">
            <v>12</v>
          </cell>
          <cell r="FP16">
            <v>13</v>
          </cell>
          <cell r="FQ16">
            <v>8</v>
          </cell>
        </row>
        <row r="19">
          <cell r="EZ19">
            <v>0</v>
          </cell>
          <cell r="FA19">
            <v>0</v>
          </cell>
          <cell r="FB19">
            <v>4</v>
          </cell>
          <cell r="FC19">
            <v>26</v>
          </cell>
          <cell r="FN19">
            <v>28</v>
          </cell>
          <cell r="FO19">
            <v>24</v>
          </cell>
          <cell r="FP19">
            <v>26</v>
          </cell>
          <cell r="FQ19">
            <v>16</v>
          </cell>
        </row>
        <row r="22">
          <cell r="FQ22"/>
        </row>
        <row r="23">
          <cell r="FQ23"/>
        </row>
        <row r="27">
          <cell r="FQ27"/>
        </row>
        <row r="28">
          <cell r="FQ28"/>
        </row>
        <row r="32">
          <cell r="FN32">
            <v>3469</v>
          </cell>
          <cell r="FO32">
            <v>2187</v>
          </cell>
          <cell r="FP32">
            <v>3342</v>
          </cell>
          <cell r="FQ32">
            <v>2003</v>
          </cell>
        </row>
        <row r="33">
          <cell r="FN33">
            <v>2510</v>
          </cell>
          <cell r="FO33">
            <v>1897</v>
          </cell>
          <cell r="FP33">
            <v>2851</v>
          </cell>
          <cell r="FQ33">
            <v>1753</v>
          </cell>
        </row>
        <row r="37">
          <cell r="FN37">
            <v>25</v>
          </cell>
          <cell r="FO37">
            <v>24</v>
          </cell>
          <cell r="FP37">
            <v>22</v>
          </cell>
          <cell r="FQ37">
            <v>25</v>
          </cell>
        </row>
        <row r="38">
          <cell r="FN38">
            <v>24</v>
          </cell>
          <cell r="FO38">
            <v>14</v>
          </cell>
          <cell r="FP38">
            <v>28</v>
          </cell>
          <cell r="FQ38">
            <v>16</v>
          </cell>
        </row>
        <row r="41">
          <cell r="EZ41">
            <v>0</v>
          </cell>
          <cell r="FA41">
            <v>0</v>
          </cell>
          <cell r="FB41">
            <v>760</v>
          </cell>
          <cell r="FC41">
            <v>6040</v>
          </cell>
          <cell r="FN41">
            <v>5979</v>
          </cell>
          <cell r="FO41">
            <v>4084</v>
          </cell>
          <cell r="FP41">
            <v>6193</v>
          </cell>
          <cell r="FQ41">
            <v>3756</v>
          </cell>
        </row>
        <row r="47">
          <cell r="FQ47">
            <v>201036</v>
          </cell>
        </row>
        <row r="48">
          <cell r="FQ48"/>
        </row>
        <row r="52">
          <cell r="FQ52">
            <v>57941</v>
          </cell>
        </row>
        <row r="53">
          <cell r="FQ53"/>
        </row>
        <row r="57">
          <cell r="FQ57"/>
        </row>
        <row r="58">
          <cell r="FQ58"/>
        </row>
      </sheetData>
      <sheetData sheetId="17"/>
      <sheetData sheetId="18">
        <row r="4">
          <cell r="FQ4">
            <v>651</v>
          </cell>
        </row>
        <row r="5">
          <cell r="FQ5">
            <v>650</v>
          </cell>
        </row>
        <row r="8">
          <cell r="FQ8"/>
        </row>
        <row r="9">
          <cell r="FQ9"/>
        </row>
        <row r="19">
          <cell r="EZ19">
            <v>1441</v>
          </cell>
          <cell r="FA19">
            <v>1315</v>
          </cell>
          <cell r="FB19">
            <v>1638</v>
          </cell>
          <cell r="FC19">
            <v>1595</v>
          </cell>
          <cell r="FN19">
            <v>1254</v>
          </cell>
          <cell r="FO19">
            <v>1167</v>
          </cell>
          <cell r="FP19">
            <v>1403</v>
          </cell>
          <cell r="FQ19">
            <v>1301</v>
          </cell>
        </row>
        <row r="22">
          <cell r="FQ22">
            <v>81134</v>
          </cell>
        </row>
        <row r="23">
          <cell r="FQ23">
            <v>72683</v>
          </cell>
        </row>
        <row r="27">
          <cell r="FQ27">
            <v>1361</v>
          </cell>
        </row>
        <row r="28">
          <cell r="FQ28">
            <v>1597</v>
          </cell>
        </row>
        <row r="41">
          <cell r="EZ41">
            <v>152893</v>
          </cell>
          <cell r="FA41">
            <v>144226</v>
          </cell>
          <cell r="FB41">
            <v>194062</v>
          </cell>
          <cell r="FC41">
            <v>183819</v>
          </cell>
          <cell r="FN41">
            <v>146732</v>
          </cell>
          <cell r="FO41">
            <v>140011</v>
          </cell>
          <cell r="FP41">
            <v>174299</v>
          </cell>
          <cell r="FQ41">
            <v>153817</v>
          </cell>
        </row>
        <row r="47">
          <cell r="FQ47">
            <v>179052</v>
          </cell>
        </row>
        <row r="48">
          <cell r="FQ48"/>
        </row>
        <row r="52">
          <cell r="FQ52">
            <v>59469</v>
          </cell>
        </row>
        <row r="53">
          <cell r="FQ53"/>
        </row>
        <row r="57">
          <cell r="FQ57"/>
        </row>
        <row r="58">
          <cell r="FQ58"/>
        </row>
        <row r="70">
          <cell r="FQ70">
            <v>72379</v>
          </cell>
        </row>
        <row r="71">
          <cell r="FQ71">
            <v>304</v>
          </cell>
        </row>
        <row r="73">
          <cell r="FQ73"/>
        </row>
        <row r="74">
          <cell r="FQ74"/>
        </row>
      </sheetData>
      <sheetData sheetId="19">
        <row r="4">
          <cell r="FQ4">
            <v>335</v>
          </cell>
        </row>
        <row r="5">
          <cell r="FQ5">
            <v>335</v>
          </cell>
        </row>
        <row r="8">
          <cell r="FQ8"/>
        </row>
        <row r="9">
          <cell r="FQ9"/>
        </row>
        <row r="19">
          <cell r="EZ19">
            <v>792</v>
          </cell>
          <cell r="FA19">
            <v>721</v>
          </cell>
          <cell r="FB19">
            <v>838</v>
          </cell>
          <cell r="FC19">
            <v>820</v>
          </cell>
          <cell r="FN19">
            <v>752</v>
          </cell>
          <cell r="FO19">
            <v>686</v>
          </cell>
          <cell r="FP19">
            <v>776</v>
          </cell>
          <cell r="FQ19">
            <v>670</v>
          </cell>
        </row>
        <row r="22">
          <cell r="FQ22">
            <v>43737</v>
          </cell>
        </row>
        <row r="23">
          <cell r="FQ23">
            <v>37027</v>
          </cell>
        </row>
        <row r="27">
          <cell r="FQ27">
            <v>288</v>
          </cell>
        </row>
        <row r="28">
          <cell r="FQ28">
            <v>260</v>
          </cell>
        </row>
        <row r="41">
          <cell r="EZ41">
            <v>97377</v>
          </cell>
          <cell r="FA41">
            <v>98383</v>
          </cell>
          <cell r="FB41">
            <v>127962</v>
          </cell>
          <cell r="FC41">
            <v>104626</v>
          </cell>
          <cell r="FN41">
            <v>93848</v>
          </cell>
          <cell r="FO41">
            <v>93520</v>
          </cell>
          <cell r="FP41">
            <v>114773</v>
          </cell>
          <cell r="FQ41">
            <v>80764</v>
          </cell>
        </row>
        <row r="47">
          <cell r="FQ47"/>
        </row>
        <row r="48">
          <cell r="FQ48"/>
        </row>
        <row r="52">
          <cell r="FQ52"/>
        </row>
        <row r="53">
          <cell r="FQ53"/>
        </row>
        <row r="57">
          <cell r="FQ57"/>
        </row>
        <row r="58">
          <cell r="FQ58"/>
        </row>
        <row r="70">
          <cell r="FQ70"/>
        </row>
        <row r="71">
          <cell r="FQ71"/>
        </row>
        <row r="73">
          <cell r="FQ73"/>
        </row>
        <row r="74">
          <cell r="FQ74"/>
        </row>
      </sheetData>
      <sheetData sheetId="20">
        <row r="4">
          <cell r="FQ4">
            <v>654</v>
          </cell>
        </row>
        <row r="5">
          <cell r="FQ5">
            <v>657</v>
          </cell>
        </row>
        <row r="8">
          <cell r="FQ8">
            <v>69</v>
          </cell>
        </row>
        <row r="9">
          <cell r="FQ9">
            <v>71</v>
          </cell>
        </row>
        <row r="15">
          <cell r="FN15">
            <v>200</v>
          </cell>
          <cell r="FO15">
            <v>294</v>
          </cell>
          <cell r="FP15">
            <v>332</v>
          </cell>
          <cell r="FQ15">
            <v>149</v>
          </cell>
        </row>
        <row r="16">
          <cell r="FN16">
            <v>198</v>
          </cell>
          <cell r="FO16">
            <v>293</v>
          </cell>
          <cell r="FP16">
            <v>335</v>
          </cell>
          <cell r="FQ16">
            <v>143</v>
          </cell>
        </row>
        <row r="19">
          <cell r="EZ19">
            <v>1901</v>
          </cell>
          <cell r="FA19">
            <v>1909</v>
          </cell>
          <cell r="FB19">
            <v>2199</v>
          </cell>
          <cell r="FC19">
            <v>1894</v>
          </cell>
          <cell r="FN19">
            <v>1836</v>
          </cell>
          <cell r="FO19">
            <v>1984</v>
          </cell>
          <cell r="FP19">
            <v>2216</v>
          </cell>
          <cell r="FQ19">
            <v>1743</v>
          </cell>
        </row>
        <row r="22">
          <cell r="FQ22">
            <v>94480</v>
          </cell>
        </row>
        <row r="23">
          <cell r="FQ23">
            <v>83426</v>
          </cell>
        </row>
        <row r="27">
          <cell r="FQ27">
            <v>1769</v>
          </cell>
        </row>
        <row r="28">
          <cell r="FQ28">
            <v>1729</v>
          </cell>
        </row>
        <row r="32">
          <cell r="FN32">
            <v>22274</v>
          </cell>
          <cell r="FO32">
            <v>32562</v>
          </cell>
          <cell r="FP32">
            <v>43677</v>
          </cell>
          <cell r="FQ32">
            <v>21482</v>
          </cell>
        </row>
        <row r="33">
          <cell r="FN33">
            <v>22273</v>
          </cell>
          <cell r="FO33">
            <v>35468</v>
          </cell>
          <cell r="FP33">
            <v>44681</v>
          </cell>
          <cell r="FQ33">
            <v>11675</v>
          </cell>
        </row>
        <row r="37">
          <cell r="FN37">
            <v>214</v>
          </cell>
          <cell r="FO37">
            <v>188</v>
          </cell>
          <cell r="FP37">
            <v>236</v>
          </cell>
          <cell r="FQ37">
            <v>95</v>
          </cell>
        </row>
        <row r="38">
          <cell r="FN38">
            <v>240</v>
          </cell>
          <cell r="FO38">
            <v>256</v>
          </cell>
          <cell r="FP38">
            <v>270</v>
          </cell>
          <cell r="FQ38">
            <v>132</v>
          </cell>
        </row>
        <row r="41">
          <cell r="EZ41">
            <v>189664</v>
          </cell>
          <cell r="FA41">
            <v>220246</v>
          </cell>
          <cell r="FB41">
            <v>276314</v>
          </cell>
          <cell r="FC41">
            <v>212576</v>
          </cell>
          <cell r="FN41">
            <v>200537</v>
          </cell>
          <cell r="FO41">
            <v>232543</v>
          </cell>
          <cell r="FP41">
            <v>288785</v>
          </cell>
          <cell r="FQ41">
            <v>211063</v>
          </cell>
        </row>
        <row r="47">
          <cell r="FQ47">
            <v>82010</v>
          </cell>
        </row>
        <row r="48">
          <cell r="FQ48">
            <v>311515</v>
          </cell>
        </row>
        <row r="52">
          <cell r="FQ52">
            <v>60327</v>
          </cell>
        </row>
        <row r="53">
          <cell r="FQ53">
            <v>474903</v>
          </cell>
        </row>
        <row r="57">
          <cell r="FQ57"/>
        </row>
        <row r="58">
          <cell r="FQ58"/>
        </row>
        <row r="70">
          <cell r="FQ70">
            <v>80762</v>
          </cell>
        </row>
        <row r="71">
          <cell r="FQ71">
            <v>2664</v>
          </cell>
        </row>
        <row r="73">
          <cell r="FQ73">
            <v>11549</v>
          </cell>
        </row>
        <row r="74">
          <cell r="FQ74">
            <v>126</v>
          </cell>
        </row>
      </sheetData>
      <sheetData sheetId="21">
        <row r="4">
          <cell r="FQ4">
            <v>260</v>
          </cell>
        </row>
        <row r="5">
          <cell r="FQ5">
            <v>260</v>
          </cell>
        </row>
        <row r="8">
          <cell r="FQ8"/>
        </row>
        <row r="9">
          <cell r="FQ9"/>
        </row>
        <row r="19">
          <cell r="EZ19">
            <v>580</v>
          </cell>
          <cell r="FA19">
            <v>594</v>
          </cell>
          <cell r="FB19">
            <v>648</v>
          </cell>
          <cell r="FC19">
            <v>624</v>
          </cell>
          <cell r="FN19">
            <v>458</v>
          </cell>
          <cell r="FO19">
            <v>564</v>
          </cell>
          <cell r="FP19">
            <v>544</v>
          </cell>
          <cell r="FQ19">
            <v>520</v>
          </cell>
        </row>
        <row r="22">
          <cell r="FQ22">
            <v>34263</v>
          </cell>
        </row>
        <row r="23">
          <cell r="FQ23">
            <v>28506</v>
          </cell>
        </row>
        <row r="27">
          <cell r="FQ27">
            <v>815</v>
          </cell>
        </row>
        <row r="28">
          <cell r="FQ28">
            <v>1246</v>
          </cell>
        </row>
        <row r="41">
          <cell r="EZ41">
            <v>67107</v>
          </cell>
          <cell r="FA41">
            <v>67971</v>
          </cell>
          <cell r="FB41">
            <v>82037</v>
          </cell>
          <cell r="FC41">
            <v>74061</v>
          </cell>
          <cell r="FN41">
            <v>57814</v>
          </cell>
          <cell r="FO41">
            <v>70680</v>
          </cell>
          <cell r="FP41">
            <v>74351</v>
          </cell>
          <cell r="FQ41">
            <v>62769</v>
          </cell>
        </row>
        <row r="47">
          <cell r="FQ47">
            <v>55119</v>
          </cell>
        </row>
        <row r="48">
          <cell r="FQ48">
            <v>8978</v>
          </cell>
        </row>
        <row r="52">
          <cell r="FQ52">
            <v>19913</v>
          </cell>
        </row>
        <row r="53">
          <cell r="FQ53">
            <v>47114</v>
          </cell>
        </row>
        <row r="57">
          <cell r="FQ57"/>
        </row>
        <row r="58">
          <cell r="FQ58"/>
        </row>
      </sheetData>
      <sheetData sheetId="22"/>
      <sheetData sheetId="23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</row>
      </sheetData>
      <sheetData sheetId="24"/>
      <sheetData sheetId="25">
        <row r="15">
          <cell r="FN15"/>
          <cell r="FO15"/>
          <cell r="FP15"/>
          <cell r="FQ15"/>
        </row>
        <row r="16">
          <cell r="FN16"/>
          <cell r="FO16"/>
          <cell r="FP16"/>
          <cell r="FQ16"/>
        </row>
        <row r="19">
          <cell r="EZ19">
            <v>172</v>
          </cell>
          <cell r="FA19">
            <v>156</v>
          </cell>
          <cell r="FB19">
            <v>176</v>
          </cell>
          <cell r="FC19">
            <v>170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</row>
        <row r="32">
          <cell r="FN32"/>
          <cell r="FO32"/>
          <cell r="FP32"/>
          <cell r="FQ32"/>
        </row>
        <row r="33">
          <cell r="FN33"/>
          <cell r="FO33"/>
          <cell r="FP33"/>
          <cell r="FQ33"/>
        </row>
        <row r="37">
          <cell r="FN37"/>
          <cell r="FO37"/>
          <cell r="FP37"/>
          <cell r="FQ37"/>
        </row>
        <row r="38">
          <cell r="FN38"/>
          <cell r="FO38"/>
          <cell r="FP38"/>
          <cell r="FQ38"/>
        </row>
        <row r="41">
          <cell r="EZ41">
            <v>6329</v>
          </cell>
          <cell r="FA41">
            <v>5762</v>
          </cell>
          <cell r="FB41">
            <v>6996</v>
          </cell>
          <cell r="FC41">
            <v>6905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</row>
      </sheetData>
      <sheetData sheetId="26">
        <row r="4">
          <cell r="FQ4"/>
        </row>
        <row r="5">
          <cell r="FQ5"/>
        </row>
        <row r="8">
          <cell r="FQ8"/>
        </row>
        <row r="9">
          <cell r="FQ9"/>
        </row>
        <row r="19">
          <cell r="EZ19">
            <v>0</v>
          </cell>
          <cell r="FA19">
            <v>2</v>
          </cell>
          <cell r="FB19">
            <v>0</v>
          </cell>
          <cell r="FC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</row>
        <row r="22">
          <cell r="FQ22"/>
        </row>
        <row r="23">
          <cell r="FQ23"/>
        </row>
        <row r="27">
          <cell r="FQ27"/>
        </row>
        <row r="28">
          <cell r="FQ28"/>
        </row>
        <row r="41">
          <cell r="EZ41">
            <v>0</v>
          </cell>
          <cell r="FA41">
            <v>90</v>
          </cell>
          <cell r="FB41">
            <v>0</v>
          </cell>
          <cell r="FC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</row>
        <row r="47">
          <cell r="FQ47"/>
        </row>
        <row r="48">
          <cell r="FQ48"/>
        </row>
        <row r="52">
          <cell r="BH52"/>
        </row>
        <row r="53">
          <cell r="FQ53"/>
        </row>
        <row r="57">
          <cell r="BG57"/>
        </row>
        <row r="58">
          <cell r="BG58"/>
        </row>
      </sheetData>
      <sheetData sheetId="27">
        <row r="4">
          <cell r="FQ4">
            <v>69</v>
          </cell>
        </row>
        <row r="5">
          <cell r="FQ5">
            <v>68</v>
          </cell>
        </row>
        <row r="8">
          <cell r="FQ8"/>
        </row>
        <row r="9">
          <cell r="FQ9"/>
        </row>
        <row r="19">
          <cell r="EZ19">
            <v>22</v>
          </cell>
          <cell r="FA19">
            <v>17</v>
          </cell>
          <cell r="FB19">
            <v>17</v>
          </cell>
          <cell r="FC19">
            <v>16</v>
          </cell>
          <cell r="FN19">
            <v>12</v>
          </cell>
          <cell r="FO19">
            <v>38</v>
          </cell>
          <cell r="FP19">
            <v>64</v>
          </cell>
          <cell r="FQ19">
            <v>137</v>
          </cell>
        </row>
        <row r="22">
          <cell r="FQ22">
            <v>4664</v>
          </cell>
        </row>
        <row r="23">
          <cell r="FQ23">
            <v>4407</v>
          </cell>
        </row>
        <row r="27">
          <cell r="FQ27">
            <v>196</v>
          </cell>
        </row>
        <row r="28">
          <cell r="FQ28">
            <v>263</v>
          </cell>
        </row>
        <row r="41">
          <cell r="EZ41">
            <v>921</v>
          </cell>
          <cell r="FA41">
            <v>897</v>
          </cell>
          <cell r="FB41">
            <v>840</v>
          </cell>
          <cell r="FC41">
            <v>845</v>
          </cell>
          <cell r="FN41">
            <v>722</v>
          </cell>
          <cell r="FO41">
            <v>2182</v>
          </cell>
          <cell r="FP41">
            <v>3853</v>
          </cell>
          <cell r="FQ41">
            <v>9071</v>
          </cell>
        </row>
        <row r="47">
          <cell r="FQ47"/>
        </row>
        <row r="48">
          <cell r="FQ48"/>
        </row>
        <row r="52">
          <cell r="FQ52"/>
        </row>
        <row r="53">
          <cell r="FQ53"/>
        </row>
        <row r="57">
          <cell r="FQ57"/>
        </row>
        <row r="58">
          <cell r="FQ58"/>
        </row>
      </sheetData>
      <sheetData sheetId="28">
        <row r="4">
          <cell r="FQ4">
            <v>143</v>
          </cell>
        </row>
        <row r="5">
          <cell r="FQ5">
            <v>142</v>
          </cell>
        </row>
        <row r="8">
          <cell r="FQ8"/>
        </row>
        <row r="9">
          <cell r="FQ9"/>
        </row>
        <row r="15">
          <cell r="FN15">
            <v>21</v>
          </cell>
          <cell r="FO15">
            <v>22</v>
          </cell>
          <cell r="FP15">
            <v>2</v>
          </cell>
          <cell r="FQ15"/>
        </row>
        <row r="16">
          <cell r="FN16">
            <v>23</v>
          </cell>
          <cell r="FO16">
            <v>26</v>
          </cell>
          <cell r="FP16">
            <v>5</v>
          </cell>
          <cell r="FQ16"/>
        </row>
        <row r="19">
          <cell r="EZ19">
            <v>666</v>
          </cell>
          <cell r="FA19">
            <v>545</v>
          </cell>
          <cell r="FB19">
            <v>839</v>
          </cell>
          <cell r="FC19">
            <v>971</v>
          </cell>
          <cell r="FN19">
            <v>212</v>
          </cell>
          <cell r="FO19">
            <v>226</v>
          </cell>
          <cell r="FP19">
            <v>298</v>
          </cell>
          <cell r="FQ19">
            <v>285</v>
          </cell>
        </row>
        <row r="22">
          <cell r="FQ22">
            <v>7391</v>
          </cell>
        </row>
        <row r="23">
          <cell r="FQ23">
            <v>7415</v>
          </cell>
        </row>
        <row r="27">
          <cell r="FQ27">
            <v>225</v>
          </cell>
        </row>
        <row r="28">
          <cell r="FQ28">
            <v>212</v>
          </cell>
        </row>
        <row r="32">
          <cell r="FN32">
            <v>1136</v>
          </cell>
          <cell r="FO32">
            <v>1111</v>
          </cell>
          <cell r="FP32">
            <v>122</v>
          </cell>
          <cell r="FQ32"/>
        </row>
        <row r="33">
          <cell r="FN33">
            <v>1362</v>
          </cell>
          <cell r="FO33">
            <v>1562</v>
          </cell>
          <cell r="FP33">
            <v>242</v>
          </cell>
          <cell r="FQ33"/>
        </row>
        <row r="37">
          <cell r="FN37">
            <v>17</v>
          </cell>
          <cell r="FO37">
            <v>30</v>
          </cell>
          <cell r="FP37">
            <v>1</v>
          </cell>
          <cell r="FQ37"/>
        </row>
        <row r="38">
          <cell r="FN38">
            <v>14</v>
          </cell>
          <cell r="FO38">
            <v>17</v>
          </cell>
          <cell r="FP38">
            <v>4</v>
          </cell>
          <cell r="FQ38"/>
        </row>
        <row r="41">
          <cell r="EZ41">
            <v>35725</v>
          </cell>
          <cell r="FA41">
            <v>29090</v>
          </cell>
          <cell r="FB41">
            <v>48915</v>
          </cell>
          <cell r="FC41">
            <v>56285</v>
          </cell>
          <cell r="FN41">
            <v>10387</v>
          </cell>
          <cell r="FO41">
            <v>11697</v>
          </cell>
          <cell r="FP41">
            <v>15186</v>
          </cell>
          <cell r="FQ41">
            <v>14806</v>
          </cell>
        </row>
        <row r="47">
          <cell r="FQ47"/>
        </row>
        <row r="48">
          <cell r="FQ48"/>
        </row>
        <row r="52">
          <cell r="FQ52"/>
        </row>
        <row r="53">
          <cell r="FQ53"/>
        </row>
        <row r="57">
          <cell r="FQ57"/>
        </row>
        <row r="58">
          <cell r="BG58"/>
        </row>
        <row r="70">
          <cell r="FQ70">
            <v>2655</v>
          </cell>
        </row>
        <row r="71">
          <cell r="FQ71">
            <v>4760</v>
          </cell>
        </row>
        <row r="73">
          <cell r="FQ73"/>
        </row>
        <row r="74">
          <cell r="FQ74"/>
        </row>
      </sheetData>
      <sheetData sheetId="29"/>
      <sheetData sheetId="30"/>
      <sheetData sheetId="31"/>
      <sheetData sheetId="32">
        <row r="4">
          <cell r="FQ4"/>
        </row>
        <row r="5">
          <cell r="FQ5"/>
        </row>
        <row r="8">
          <cell r="FQ8"/>
        </row>
        <row r="9">
          <cell r="FQ9"/>
        </row>
        <row r="15">
          <cell r="FN15"/>
          <cell r="FO15">
            <v>1</v>
          </cell>
          <cell r="FP15"/>
          <cell r="FQ15"/>
        </row>
        <row r="16">
          <cell r="FN16"/>
          <cell r="FO16"/>
          <cell r="FP16"/>
          <cell r="FQ16"/>
        </row>
        <row r="19">
          <cell r="EZ19">
            <v>1335</v>
          </cell>
          <cell r="FA19">
            <v>1366</v>
          </cell>
          <cell r="FB19">
            <v>1300</v>
          </cell>
          <cell r="FC19">
            <v>851</v>
          </cell>
          <cell r="FN19">
            <v>0</v>
          </cell>
          <cell r="FO19">
            <v>2</v>
          </cell>
          <cell r="FP19">
            <v>0</v>
          </cell>
          <cell r="FQ19">
            <v>0</v>
          </cell>
        </row>
        <row r="22">
          <cell r="FQ22"/>
        </row>
        <row r="23">
          <cell r="FQ23"/>
        </row>
        <row r="27">
          <cell r="FQ27"/>
        </row>
        <row r="28">
          <cell r="FQ28"/>
        </row>
        <row r="32">
          <cell r="FN32"/>
          <cell r="FO32"/>
          <cell r="FP32"/>
          <cell r="FQ32"/>
        </row>
        <row r="33">
          <cell r="FN33"/>
          <cell r="FO33"/>
          <cell r="FP33"/>
          <cell r="FQ33"/>
        </row>
        <row r="37">
          <cell r="FN37"/>
          <cell r="FO37"/>
          <cell r="FP37"/>
          <cell r="FQ37"/>
        </row>
        <row r="38">
          <cell r="FN38"/>
          <cell r="FO38"/>
          <cell r="FP38"/>
          <cell r="FQ38"/>
        </row>
        <row r="41">
          <cell r="EZ41">
            <v>72674</v>
          </cell>
          <cell r="FA41">
            <v>75801</v>
          </cell>
          <cell r="FB41">
            <v>76058</v>
          </cell>
          <cell r="FC41">
            <v>52010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</row>
        <row r="47">
          <cell r="FQ47"/>
        </row>
        <row r="48">
          <cell r="FQ48"/>
        </row>
        <row r="52">
          <cell r="FQ52"/>
        </row>
        <row r="53">
          <cell r="FQ53"/>
        </row>
        <row r="57">
          <cell r="FQ57"/>
        </row>
        <row r="58">
          <cell r="BG58"/>
        </row>
        <row r="70">
          <cell r="BG70">
            <v>26242</v>
          </cell>
          <cell r="FQ70"/>
        </row>
        <row r="71">
          <cell r="BG71">
            <v>44562</v>
          </cell>
          <cell r="FQ71"/>
        </row>
        <row r="73">
          <cell r="BG73">
            <v>1540</v>
          </cell>
          <cell r="FQ73"/>
        </row>
        <row r="74">
          <cell r="BG74">
            <v>2614</v>
          </cell>
          <cell r="FQ74"/>
        </row>
      </sheetData>
      <sheetData sheetId="33"/>
      <sheetData sheetId="34">
        <row r="4">
          <cell r="FQ4">
            <v>2</v>
          </cell>
        </row>
        <row r="5">
          <cell r="FQ5">
            <v>2</v>
          </cell>
        </row>
        <row r="8">
          <cell r="FQ8"/>
        </row>
        <row r="9">
          <cell r="FQ9"/>
        </row>
        <row r="19">
          <cell r="EZ19">
            <v>24</v>
          </cell>
          <cell r="FA19">
            <v>40</v>
          </cell>
          <cell r="FB19">
            <v>28</v>
          </cell>
          <cell r="FC19">
            <v>20</v>
          </cell>
          <cell r="FN19">
            <v>12</v>
          </cell>
          <cell r="FO19">
            <v>14</v>
          </cell>
          <cell r="FP19">
            <v>22</v>
          </cell>
          <cell r="FQ19">
            <v>4</v>
          </cell>
        </row>
        <row r="22">
          <cell r="FQ22">
            <v>100</v>
          </cell>
        </row>
        <row r="23">
          <cell r="FQ23"/>
        </row>
        <row r="27">
          <cell r="FQ27"/>
        </row>
        <row r="28">
          <cell r="FQ28"/>
        </row>
        <row r="41">
          <cell r="EZ41">
            <v>994</v>
          </cell>
          <cell r="FA41">
            <v>1332</v>
          </cell>
          <cell r="FB41">
            <v>1317</v>
          </cell>
          <cell r="FC41">
            <v>850</v>
          </cell>
          <cell r="FN41">
            <v>487</v>
          </cell>
          <cell r="FO41">
            <v>453</v>
          </cell>
          <cell r="FP41">
            <v>557</v>
          </cell>
          <cell r="FQ41">
            <v>100</v>
          </cell>
        </row>
        <row r="47">
          <cell r="FQ47"/>
        </row>
        <row r="48">
          <cell r="FQ48"/>
        </row>
        <row r="52">
          <cell r="FQ52"/>
        </row>
        <row r="53">
          <cell r="FQ53"/>
        </row>
        <row r="57">
          <cell r="FQ57"/>
        </row>
        <row r="58">
          <cell r="BG58"/>
        </row>
      </sheetData>
      <sheetData sheetId="35"/>
      <sheetData sheetId="36">
        <row r="4">
          <cell r="FQ4">
            <v>295</v>
          </cell>
        </row>
        <row r="5">
          <cell r="FQ5">
            <v>297</v>
          </cell>
        </row>
        <row r="8">
          <cell r="FQ8"/>
        </row>
        <row r="9">
          <cell r="FQ9"/>
        </row>
        <row r="15">
          <cell r="FN15">
            <v>52</v>
          </cell>
          <cell r="FO15">
            <v>46</v>
          </cell>
          <cell r="FP15">
            <v>2</v>
          </cell>
          <cell r="FQ15">
            <v>49</v>
          </cell>
        </row>
        <row r="16">
          <cell r="FN16">
            <v>53</v>
          </cell>
          <cell r="FO16">
            <v>44</v>
          </cell>
          <cell r="FP16">
            <v>2</v>
          </cell>
          <cell r="FQ16">
            <v>47</v>
          </cell>
        </row>
        <row r="19">
          <cell r="EZ19">
            <v>599</v>
          </cell>
          <cell r="FA19">
            <v>574</v>
          </cell>
          <cell r="FB19">
            <v>674</v>
          </cell>
          <cell r="FC19">
            <v>424</v>
          </cell>
          <cell r="FN19">
            <v>602</v>
          </cell>
          <cell r="FO19">
            <v>578</v>
          </cell>
          <cell r="FP19">
            <v>630</v>
          </cell>
          <cell r="FQ19">
            <v>688</v>
          </cell>
        </row>
        <row r="22">
          <cell r="FQ22">
            <v>16991</v>
          </cell>
        </row>
        <row r="23">
          <cell r="FQ23">
            <v>16789</v>
          </cell>
        </row>
        <row r="27">
          <cell r="FQ27">
            <v>627</v>
          </cell>
        </row>
        <row r="28">
          <cell r="FQ28">
            <v>476</v>
          </cell>
        </row>
        <row r="32">
          <cell r="FN32">
            <v>3029</v>
          </cell>
          <cell r="FO32">
            <v>2858</v>
          </cell>
          <cell r="FP32">
            <v>125</v>
          </cell>
          <cell r="FQ32">
            <v>3264</v>
          </cell>
        </row>
        <row r="33">
          <cell r="FN33">
            <v>2891</v>
          </cell>
          <cell r="FO33">
            <v>2444</v>
          </cell>
          <cell r="FP33">
            <v>107</v>
          </cell>
          <cell r="FQ33">
            <v>3000</v>
          </cell>
        </row>
        <row r="37">
          <cell r="FN37">
            <v>47</v>
          </cell>
          <cell r="FO37">
            <v>35</v>
          </cell>
          <cell r="FP37"/>
          <cell r="FQ37">
            <v>53</v>
          </cell>
        </row>
        <row r="38">
          <cell r="FN38">
            <v>46</v>
          </cell>
          <cell r="FO38">
            <v>44</v>
          </cell>
          <cell r="FP38">
            <v>3</v>
          </cell>
          <cell r="FQ38">
            <v>61</v>
          </cell>
        </row>
        <row r="41">
          <cell r="EZ41">
            <v>31136</v>
          </cell>
          <cell r="FA41">
            <v>30347</v>
          </cell>
          <cell r="FB41">
            <v>37657</v>
          </cell>
          <cell r="FC41">
            <v>23560</v>
          </cell>
          <cell r="FN41">
            <v>32883</v>
          </cell>
          <cell r="FO41">
            <v>32413</v>
          </cell>
          <cell r="FP41">
            <v>36065</v>
          </cell>
          <cell r="FQ41">
            <v>40044</v>
          </cell>
        </row>
        <row r="47">
          <cell r="FQ47">
            <v>173</v>
          </cell>
        </row>
        <row r="48">
          <cell r="FQ48"/>
        </row>
        <row r="52">
          <cell r="FQ52"/>
        </row>
        <row r="53">
          <cell r="FQ53"/>
        </row>
        <row r="57">
          <cell r="FQ57"/>
        </row>
        <row r="58">
          <cell r="BK58"/>
        </row>
        <row r="70">
          <cell r="FQ70">
            <v>8546</v>
          </cell>
        </row>
        <row r="71">
          <cell r="FQ71">
            <v>8243</v>
          </cell>
        </row>
        <row r="73">
          <cell r="FQ73">
            <v>1527</v>
          </cell>
        </row>
        <row r="74">
          <cell r="FQ74">
            <v>1473</v>
          </cell>
        </row>
      </sheetData>
      <sheetData sheetId="37">
        <row r="4">
          <cell r="FQ4">
            <v>6</v>
          </cell>
        </row>
        <row r="5">
          <cell r="FQ5">
            <v>6</v>
          </cell>
        </row>
        <row r="8">
          <cell r="FQ8"/>
        </row>
        <row r="9">
          <cell r="FQ9"/>
        </row>
        <row r="19">
          <cell r="EZ19">
            <v>26</v>
          </cell>
          <cell r="FA19">
            <v>10</v>
          </cell>
          <cell r="FB19">
            <v>38</v>
          </cell>
          <cell r="FC19">
            <v>2</v>
          </cell>
          <cell r="FN19">
            <v>42</v>
          </cell>
          <cell r="FO19">
            <v>38</v>
          </cell>
          <cell r="FP19">
            <v>58</v>
          </cell>
          <cell r="FQ19">
            <v>12</v>
          </cell>
        </row>
        <row r="22">
          <cell r="FQ22">
            <v>406</v>
          </cell>
        </row>
        <row r="23">
          <cell r="FQ23">
            <v>409</v>
          </cell>
        </row>
        <row r="27">
          <cell r="FQ27">
            <v>9</v>
          </cell>
        </row>
        <row r="28">
          <cell r="FQ28">
            <v>7</v>
          </cell>
        </row>
        <row r="41">
          <cell r="EZ41">
            <v>1669</v>
          </cell>
          <cell r="FA41">
            <v>590</v>
          </cell>
          <cell r="FB41">
            <v>2493</v>
          </cell>
          <cell r="FC41">
            <v>133</v>
          </cell>
          <cell r="FN41">
            <v>2732</v>
          </cell>
          <cell r="FO41">
            <v>2495</v>
          </cell>
          <cell r="FP41">
            <v>3871</v>
          </cell>
          <cell r="FQ41">
            <v>815</v>
          </cell>
        </row>
        <row r="47">
          <cell r="FQ47"/>
        </row>
        <row r="48">
          <cell r="FQ48"/>
        </row>
        <row r="52">
          <cell r="FQ52"/>
        </row>
        <row r="53">
          <cell r="FQ53"/>
        </row>
        <row r="57">
          <cell r="AJ57"/>
        </row>
        <row r="58">
          <cell r="AJ58"/>
        </row>
      </sheetData>
      <sheetData sheetId="38">
        <row r="4">
          <cell r="FQ4">
            <v>58</v>
          </cell>
        </row>
        <row r="5">
          <cell r="FQ5">
            <v>58</v>
          </cell>
        </row>
        <row r="8">
          <cell r="FQ8"/>
        </row>
        <row r="9">
          <cell r="FQ9"/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N19">
            <v>65</v>
          </cell>
          <cell r="FO19">
            <v>78</v>
          </cell>
          <cell r="FP19">
            <v>123</v>
          </cell>
          <cell r="FQ19">
            <v>116</v>
          </cell>
        </row>
        <row r="22">
          <cell r="FQ22">
            <v>3839</v>
          </cell>
        </row>
        <row r="23">
          <cell r="FQ23">
            <v>3447</v>
          </cell>
        </row>
        <row r="27">
          <cell r="FQ27">
            <v>90</v>
          </cell>
        </row>
        <row r="28">
          <cell r="FQ28">
            <v>92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N41">
            <v>3640</v>
          </cell>
          <cell r="FO41">
            <v>5251</v>
          </cell>
          <cell r="FP41">
            <v>7748</v>
          </cell>
          <cell r="FQ41">
            <v>7286</v>
          </cell>
        </row>
        <row r="47">
          <cell r="FQ47">
            <v>2046</v>
          </cell>
        </row>
        <row r="48">
          <cell r="FQ48"/>
        </row>
        <row r="52">
          <cell r="FQ52">
            <v>291</v>
          </cell>
        </row>
        <row r="53">
          <cell r="FQ53">
            <v>434</v>
          </cell>
        </row>
        <row r="57">
          <cell r="FQ57"/>
        </row>
        <row r="58">
          <cell r="BF58"/>
        </row>
      </sheetData>
      <sheetData sheetId="39">
        <row r="4">
          <cell r="FQ4">
            <v>172</v>
          </cell>
        </row>
        <row r="5">
          <cell r="FQ5">
            <v>172</v>
          </cell>
        </row>
        <row r="8">
          <cell r="FQ8"/>
        </row>
        <row r="9">
          <cell r="FQ9"/>
        </row>
        <row r="19">
          <cell r="EZ19">
            <v>308</v>
          </cell>
          <cell r="FA19">
            <v>274</v>
          </cell>
          <cell r="FB19">
            <v>366</v>
          </cell>
          <cell r="FC19">
            <v>306</v>
          </cell>
          <cell r="FN19">
            <v>216</v>
          </cell>
          <cell r="FO19">
            <v>262</v>
          </cell>
          <cell r="FP19">
            <v>244</v>
          </cell>
          <cell r="FQ19">
            <v>344</v>
          </cell>
        </row>
        <row r="22">
          <cell r="FQ22">
            <v>11155</v>
          </cell>
        </row>
        <row r="23">
          <cell r="FQ23">
            <v>10368</v>
          </cell>
        </row>
        <row r="27">
          <cell r="FQ27">
            <v>303</v>
          </cell>
        </row>
        <row r="28">
          <cell r="FQ28">
            <v>316</v>
          </cell>
        </row>
        <row r="41">
          <cell r="EZ41">
            <v>18312</v>
          </cell>
          <cell r="FA41">
            <v>15679</v>
          </cell>
          <cell r="FB41">
            <v>22620</v>
          </cell>
          <cell r="FC41">
            <v>17625</v>
          </cell>
          <cell r="FN41">
            <v>13139</v>
          </cell>
          <cell r="FO41">
            <v>15549</v>
          </cell>
          <cell r="FP41">
            <v>15303</v>
          </cell>
          <cell r="FQ41">
            <v>21523</v>
          </cell>
        </row>
        <row r="47">
          <cell r="FQ47"/>
        </row>
        <row r="48">
          <cell r="FQ48"/>
        </row>
        <row r="52">
          <cell r="FQ52"/>
        </row>
        <row r="53">
          <cell r="FQ53"/>
        </row>
        <row r="57">
          <cell r="FQ57"/>
        </row>
        <row r="58">
          <cell r="FQ58"/>
        </row>
      </sheetData>
      <sheetData sheetId="40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</row>
        <row r="57">
          <cell r="AJ57"/>
        </row>
        <row r="58">
          <cell r="AJ58"/>
        </row>
      </sheetData>
      <sheetData sheetId="41"/>
      <sheetData sheetId="42">
        <row r="4">
          <cell r="FQ4">
            <v>756</v>
          </cell>
        </row>
        <row r="5">
          <cell r="FQ5">
            <v>754</v>
          </cell>
        </row>
        <row r="8">
          <cell r="FQ8">
            <v>1</v>
          </cell>
        </row>
        <row r="9">
          <cell r="FQ9">
            <v>1</v>
          </cell>
        </row>
        <row r="15">
          <cell r="FN15">
            <v>33</v>
          </cell>
          <cell r="FO15">
            <v>36</v>
          </cell>
          <cell r="FP15">
            <v>171</v>
          </cell>
          <cell r="FQ15">
            <v>92</v>
          </cell>
        </row>
        <row r="16">
          <cell r="FN16">
            <v>31</v>
          </cell>
          <cell r="FO16">
            <v>34</v>
          </cell>
          <cell r="FP16">
            <v>170</v>
          </cell>
          <cell r="FQ16">
            <v>95</v>
          </cell>
        </row>
        <row r="19">
          <cell r="EZ19">
            <v>3344</v>
          </cell>
          <cell r="FA19">
            <v>2955</v>
          </cell>
          <cell r="FB19">
            <v>3574</v>
          </cell>
          <cell r="FC19">
            <v>2461</v>
          </cell>
          <cell r="FN19">
            <v>2156</v>
          </cell>
          <cell r="FO19">
            <v>2030</v>
          </cell>
          <cell r="FP19">
            <v>2570</v>
          </cell>
          <cell r="FQ19">
            <v>1699</v>
          </cell>
        </row>
        <row r="22">
          <cell r="FQ22">
            <v>44317</v>
          </cell>
        </row>
        <row r="23">
          <cell r="FQ23">
            <v>43715</v>
          </cell>
        </row>
        <row r="27">
          <cell r="FQ27">
            <v>1977</v>
          </cell>
        </row>
        <row r="28">
          <cell r="FQ28">
            <v>1766</v>
          </cell>
        </row>
        <row r="32">
          <cell r="FN32">
            <v>1877</v>
          </cell>
          <cell r="FO32">
            <v>2203</v>
          </cell>
          <cell r="FP32">
            <v>11121</v>
          </cell>
          <cell r="FQ32">
            <v>5998</v>
          </cell>
        </row>
        <row r="33">
          <cell r="FN33">
            <v>1763</v>
          </cell>
          <cell r="FO33">
            <v>2158</v>
          </cell>
          <cell r="FP33">
            <v>11212</v>
          </cell>
          <cell r="FQ33">
            <v>6196</v>
          </cell>
        </row>
        <row r="37">
          <cell r="FN37">
            <v>28</v>
          </cell>
          <cell r="FO37">
            <v>29</v>
          </cell>
          <cell r="FP37">
            <v>170</v>
          </cell>
          <cell r="FQ37">
            <v>114</v>
          </cell>
        </row>
        <row r="38">
          <cell r="FN38">
            <v>29</v>
          </cell>
          <cell r="FO38">
            <v>29</v>
          </cell>
          <cell r="FP38">
            <v>181</v>
          </cell>
          <cell r="FQ38">
            <v>87</v>
          </cell>
        </row>
        <row r="41">
          <cell r="EZ41">
            <v>162729</v>
          </cell>
          <cell r="FA41">
            <v>143573</v>
          </cell>
          <cell r="FB41">
            <v>178581</v>
          </cell>
          <cell r="FC41">
            <v>122227</v>
          </cell>
          <cell r="FN41">
            <v>114265</v>
          </cell>
          <cell r="FO41">
            <v>112882</v>
          </cell>
          <cell r="FP41">
            <v>151810</v>
          </cell>
          <cell r="FQ41">
            <v>100226</v>
          </cell>
        </row>
        <row r="47">
          <cell r="FQ47"/>
        </row>
        <row r="48">
          <cell r="FQ48"/>
        </row>
        <row r="52">
          <cell r="FQ52"/>
        </row>
        <row r="53">
          <cell r="FQ53"/>
        </row>
        <row r="57">
          <cell r="FQ57"/>
        </row>
        <row r="58">
          <cell r="FQ58"/>
        </row>
        <row r="70">
          <cell r="FQ70">
            <v>19978</v>
          </cell>
        </row>
        <row r="71">
          <cell r="FQ71">
            <v>23737</v>
          </cell>
        </row>
        <row r="73">
          <cell r="FQ73">
            <v>2832</v>
          </cell>
        </row>
        <row r="74">
          <cell r="FQ74">
            <v>3364</v>
          </cell>
        </row>
      </sheetData>
      <sheetData sheetId="43">
        <row r="4">
          <cell r="FQ4">
            <v>2</v>
          </cell>
        </row>
        <row r="5">
          <cell r="FQ5">
            <v>2</v>
          </cell>
        </row>
        <row r="8">
          <cell r="FQ8"/>
        </row>
        <row r="9">
          <cell r="FQ9"/>
        </row>
        <row r="19">
          <cell r="EZ19">
            <v>34</v>
          </cell>
          <cell r="FA19">
            <v>40</v>
          </cell>
          <cell r="FB19">
            <v>44</v>
          </cell>
          <cell r="FC19">
            <v>36</v>
          </cell>
          <cell r="FN19">
            <v>50</v>
          </cell>
          <cell r="FO19">
            <v>60</v>
          </cell>
          <cell r="FP19">
            <v>64</v>
          </cell>
          <cell r="FQ19">
            <v>4</v>
          </cell>
        </row>
        <row r="22">
          <cell r="FQ22">
            <v>106</v>
          </cell>
        </row>
        <row r="23">
          <cell r="FQ23">
            <v>106</v>
          </cell>
        </row>
        <row r="27">
          <cell r="FQ27">
            <v>5</v>
          </cell>
        </row>
        <row r="28">
          <cell r="FQ28">
            <v>7</v>
          </cell>
        </row>
        <row r="41">
          <cell r="EZ41">
            <v>1314</v>
          </cell>
          <cell r="FA41">
            <v>1518</v>
          </cell>
          <cell r="FB41">
            <v>2139</v>
          </cell>
          <cell r="FC41">
            <v>1675</v>
          </cell>
          <cell r="FN41">
            <v>1731</v>
          </cell>
          <cell r="FO41">
            <v>2492</v>
          </cell>
          <cell r="FP41">
            <v>3130</v>
          </cell>
          <cell r="FQ41">
            <v>212</v>
          </cell>
        </row>
        <row r="47">
          <cell r="FQ47"/>
        </row>
        <row r="48">
          <cell r="FQ48"/>
        </row>
        <row r="52">
          <cell r="FQ52"/>
        </row>
        <row r="53">
          <cell r="FQ53"/>
        </row>
        <row r="57">
          <cell r="FQ57"/>
        </row>
        <row r="58">
          <cell r="BG58"/>
        </row>
      </sheetData>
      <sheetData sheetId="44">
        <row r="4">
          <cell r="FQ4">
            <v>217</v>
          </cell>
        </row>
        <row r="5">
          <cell r="FQ5">
            <v>217</v>
          </cell>
        </row>
        <row r="8">
          <cell r="FQ8"/>
        </row>
        <row r="9">
          <cell r="FQ9"/>
        </row>
        <row r="19">
          <cell r="EZ19">
            <v>270</v>
          </cell>
          <cell r="FA19">
            <v>242</v>
          </cell>
          <cell r="FB19">
            <v>276</v>
          </cell>
          <cell r="FC19">
            <v>422</v>
          </cell>
          <cell r="FN19">
            <v>377</v>
          </cell>
          <cell r="FO19">
            <v>379</v>
          </cell>
          <cell r="FP19">
            <v>399</v>
          </cell>
          <cell r="FQ19">
            <v>434</v>
          </cell>
        </row>
        <row r="22">
          <cell r="FQ22">
            <v>13217</v>
          </cell>
        </row>
        <row r="23">
          <cell r="FQ23">
            <v>11532</v>
          </cell>
        </row>
        <row r="27">
          <cell r="FQ27">
            <v>421</v>
          </cell>
        </row>
        <row r="28">
          <cell r="FQ28">
            <v>443</v>
          </cell>
        </row>
        <row r="41">
          <cell r="EZ41">
            <v>9578</v>
          </cell>
          <cell r="FA41">
            <v>10413</v>
          </cell>
          <cell r="FB41">
            <v>14235</v>
          </cell>
          <cell r="FC41">
            <v>22218</v>
          </cell>
          <cell r="FN41">
            <v>19544</v>
          </cell>
          <cell r="FO41">
            <v>19784</v>
          </cell>
          <cell r="FP41">
            <v>23541</v>
          </cell>
          <cell r="FQ41">
            <v>24749</v>
          </cell>
        </row>
        <row r="47">
          <cell r="FQ47"/>
        </row>
        <row r="48">
          <cell r="FQ48"/>
        </row>
        <row r="52">
          <cell r="FQ52"/>
        </row>
        <row r="53">
          <cell r="FQ53"/>
        </row>
        <row r="57">
          <cell r="FQ57"/>
        </row>
        <row r="58">
          <cell r="FQ58"/>
        </row>
      </sheetData>
      <sheetData sheetId="45">
        <row r="4">
          <cell r="FQ4">
            <v>159</v>
          </cell>
        </row>
        <row r="5">
          <cell r="FQ5">
            <v>159</v>
          </cell>
        </row>
        <row r="8">
          <cell r="FQ8"/>
        </row>
        <row r="9">
          <cell r="FQ9"/>
        </row>
        <row r="19">
          <cell r="EZ19">
            <v>234</v>
          </cell>
          <cell r="FA19">
            <v>198</v>
          </cell>
          <cell r="FB19">
            <v>252</v>
          </cell>
          <cell r="FC19">
            <v>314</v>
          </cell>
          <cell r="FN19">
            <v>388</v>
          </cell>
          <cell r="FO19">
            <v>350</v>
          </cell>
          <cell r="FP19">
            <v>428</v>
          </cell>
          <cell r="FQ19">
            <v>318</v>
          </cell>
        </row>
        <row r="22">
          <cell r="FQ22">
            <v>10102</v>
          </cell>
        </row>
        <row r="23">
          <cell r="FQ23">
            <v>10476</v>
          </cell>
        </row>
        <row r="27">
          <cell r="FQ27">
            <v>393</v>
          </cell>
        </row>
        <row r="28">
          <cell r="FQ28">
            <v>416</v>
          </cell>
        </row>
        <row r="41">
          <cell r="EZ41">
            <v>13131</v>
          </cell>
          <cell r="FA41">
            <v>10499</v>
          </cell>
          <cell r="FB41">
            <v>15128</v>
          </cell>
          <cell r="FC41">
            <v>18279</v>
          </cell>
          <cell r="FN41">
            <v>24560</v>
          </cell>
          <cell r="FO41">
            <v>21276</v>
          </cell>
          <cell r="FP41">
            <v>26796</v>
          </cell>
          <cell r="FQ41">
            <v>20578</v>
          </cell>
        </row>
        <row r="47">
          <cell r="FQ47"/>
        </row>
        <row r="48">
          <cell r="FQ48"/>
        </row>
        <row r="52">
          <cell r="FQ52"/>
        </row>
        <row r="53">
          <cell r="FQ53"/>
        </row>
      </sheetData>
      <sheetData sheetId="46">
        <row r="8">
          <cell r="FQ8"/>
        </row>
        <row r="9">
          <cell r="FQ9"/>
        </row>
        <row r="15">
          <cell r="FN15">
            <v>81</v>
          </cell>
          <cell r="FO15">
            <v>74</v>
          </cell>
          <cell r="FP15">
            <v>86</v>
          </cell>
          <cell r="FQ15">
            <v>81</v>
          </cell>
        </row>
        <row r="16">
          <cell r="FN16">
            <v>81</v>
          </cell>
          <cell r="FO16">
            <v>74</v>
          </cell>
          <cell r="FP16">
            <v>86</v>
          </cell>
          <cell r="FQ16">
            <v>81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N19">
            <v>162</v>
          </cell>
          <cell r="FO19">
            <v>148</v>
          </cell>
          <cell r="FP19">
            <v>172</v>
          </cell>
          <cell r="FQ19">
            <v>162</v>
          </cell>
        </row>
        <row r="32">
          <cell r="FN32">
            <v>3937</v>
          </cell>
          <cell r="FO32">
            <v>3744</v>
          </cell>
          <cell r="FP32">
            <v>4418</v>
          </cell>
          <cell r="FQ32">
            <v>4630</v>
          </cell>
        </row>
        <row r="33">
          <cell r="FN33">
            <v>3798</v>
          </cell>
          <cell r="FO33">
            <v>3598</v>
          </cell>
          <cell r="FP33">
            <v>4675</v>
          </cell>
          <cell r="FQ33">
            <v>3717</v>
          </cell>
        </row>
        <row r="37">
          <cell r="FN37">
            <v>50</v>
          </cell>
          <cell r="FO37">
            <v>31</v>
          </cell>
          <cell r="FP37">
            <v>57</v>
          </cell>
          <cell r="FQ37">
            <v>60</v>
          </cell>
        </row>
        <row r="38">
          <cell r="FN38">
            <v>60</v>
          </cell>
          <cell r="FO38">
            <v>29</v>
          </cell>
          <cell r="FP38">
            <v>52</v>
          </cell>
          <cell r="FQ38">
            <v>68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N41">
            <v>7735</v>
          </cell>
          <cell r="FO41">
            <v>7342</v>
          </cell>
          <cell r="FP41">
            <v>9093</v>
          </cell>
          <cell r="FQ41">
            <v>8347</v>
          </cell>
        </row>
        <row r="47">
          <cell r="FQ47"/>
        </row>
        <row r="48">
          <cell r="FQ48"/>
        </row>
        <row r="52">
          <cell r="FQ52"/>
        </row>
        <row r="53">
          <cell r="FQ53"/>
        </row>
      </sheetData>
      <sheetData sheetId="47">
        <row r="4">
          <cell r="FQ4">
            <v>3934</v>
          </cell>
        </row>
        <row r="5">
          <cell r="FQ5">
            <v>3924</v>
          </cell>
        </row>
        <row r="8">
          <cell r="FQ8"/>
        </row>
        <row r="9">
          <cell r="FQ9">
            <v>4</v>
          </cell>
        </row>
        <row r="15">
          <cell r="FN15">
            <v>215</v>
          </cell>
          <cell r="FO15">
            <v>200</v>
          </cell>
          <cell r="FP15">
            <v>177</v>
          </cell>
          <cell r="FQ15">
            <v>190</v>
          </cell>
        </row>
        <row r="16">
          <cell r="FN16">
            <v>215</v>
          </cell>
          <cell r="FO16">
            <v>200</v>
          </cell>
          <cell r="FP16">
            <v>177</v>
          </cell>
          <cell r="FQ16">
            <v>193</v>
          </cell>
        </row>
        <row r="19">
          <cell r="EZ19">
            <v>4715</v>
          </cell>
          <cell r="FA19">
            <v>4481</v>
          </cell>
          <cell r="FB19">
            <v>6005</v>
          </cell>
          <cell r="FC19">
            <v>6054</v>
          </cell>
          <cell r="FN19">
            <v>6516</v>
          </cell>
          <cell r="FO19">
            <v>6406</v>
          </cell>
          <cell r="FP19">
            <v>8354</v>
          </cell>
          <cell r="FQ19">
            <v>8245</v>
          </cell>
        </row>
        <row r="22">
          <cell r="FQ22">
            <v>180775</v>
          </cell>
        </row>
        <row r="23">
          <cell r="FQ23">
            <v>181738</v>
          </cell>
        </row>
        <row r="27">
          <cell r="FQ27">
            <v>7523</v>
          </cell>
        </row>
        <row r="28">
          <cell r="FQ28">
            <v>7449</v>
          </cell>
        </row>
        <row r="32">
          <cell r="FN32">
            <v>12640</v>
          </cell>
          <cell r="FO32">
            <v>12342</v>
          </cell>
          <cell r="FP32">
            <v>11042</v>
          </cell>
          <cell r="FQ32">
            <v>11833</v>
          </cell>
        </row>
        <row r="33">
          <cell r="FN33">
            <v>12556</v>
          </cell>
          <cell r="FO33">
            <v>12494</v>
          </cell>
          <cell r="FP33">
            <v>11504</v>
          </cell>
          <cell r="FQ33">
            <v>12526</v>
          </cell>
        </row>
        <row r="37">
          <cell r="FN37">
            <v>138</v>
          </cell>
          <cell r="FO37">
            <v>104</v>
          </cell>
          <cell r="FP37">
            <v>115</v>
          </cell>
          <cell r="FQ37">
            <v>115</v>
          </cell>
        </row>
        <row r="38">
          <cell r="FN38">
            <v>120</v>
          </cell>
          <cell r="FO38">
            <v>108</v>
          </cell>
          <cell r="FP38">
            <v>108</v>
          </cell>
          <cell r="FQ38">
            <v>125</v>
          </cell>
        </row>
        <row r="41">
          <cell r="EZ41">
            <v>204085</v>
          </cell>
          <cell r="FA41">
            <v>198392</v>
          </cell>
          <cell r="FB41">
            <v>284341</v>
          </cell>
          <cell r="FC41">
            <v>280105</v>
          </cell>
          <cell r="FN41">
            <v>286592</v>
          </cell>
          <cell r="FO41">
            <v>307779</v>
          </cell>
          <cell r="FP41">
            <v>401094</v>
          </cell>
          <cell r="FQ41">
            <v>386872</v>
          </cell>
        </row>
        <row r="47">
          <cell r="FQ47"/>
        </row>
        <row r="48">
          <cell r="FQ48"/>
        </row>
        <row r="52">
          <cell r="FQ52"/>
        </row>
        <row r="53">
          <cell r="FQ53"/>
        </row>
        <row r="57">
          <cell r="FQ57"/>
        </row>
        <row r="58">
          <cell r="FQ58"/>
        </row>
        <row r="70">
          <cell r="FQ70">
            <v>63972</v>
          </cell>
        </row>
        <row r="71">
          <cell r="FQ71">
            <v>117766</v>
          </cell>
        </row>
        <row r="73">
          <cell r="FQ73">
            <v>4409</v>
          </cell>
        </row>
        <row r="74">
          <cell r="FQ74">
            <v>8117</v>
          </cell>
        </row>
      </sheetData>
      <sheetData sheetId="48">
        <row r="4">
          <cell r="FQ4">
            <v>94</v>
          </cell>
        </row>
        <row r="5">
          <cell r="FQ5">
            <v>94</v>
          </cell>
        </row>
        <row r="8">
          <cell r="FQ8"/>
        </row>
        <row r="9">
          <cell r="FQ9"/>
        </row>
        <row r="19">
          <cell r="EZ19">
            <v>274</v>
          </cell>
          <cell r="FA19">
            <v>252</v>
          </cell>
          <cell r="FB19">
            <v>274</v>
          </cell>
          <cell r="FC19">
            <v>280</v>
          </cell>
          <cell r="FN19">
            <v>200</v>
          </cell>
          <cell r="FO19">
            <v>142</v>
          </cell>
          <cell r="FP19">
            <v>184</v>
          </cell>
          <cell r="FQ19">
            <v>188</v>
          </cell>
        </row>
        <row r="22">
          <cell r="FQ22">
            <v>6176</v>
          </cell>
        </row>
        <row r="23">
          <cell r="FQ23">
            <v>5771</v>
          </cell>
        </row>
        <row r="27">
          <cell r="FQ27">
            <v>180</v>
          </cell>
        </row>
        <row r="28">
          <cell r="FQ28">
            <v>222</v>
          </cell>
        </row>
        <row r="41">
          <cell r="EZ41">
            <v>18583</v>
          </cell>
          <cell r="FA41">
            <v>16596</v>
          </cell>
          <cell r="FB41">
            <v>19125</v>
          </cell>
          <cell r="FC41">
            <v>17549</v>
          </cell>
          <cell r="FN41">
            <v>13680</v>
          </cell>
          <cell r="FO41">
            <v>9737</v>
          </cell>
          <cell r="FP41">
            <v>11977</v>
          </cell>
          <cell r="FQ41">
            <v>11947</v>
          </cell>
        </row>
        <row r="47">
          <cell r="FQ47"/>
        </row>
        <row r="48">
          <cell r="FQ48"/>
        </row>
        <row r="52">
          <cell r="FQ52"/>
        </row>
        <row r="53">
          <cell r="FQ53"/>
        </row>
        <row r="57">
          <cell r="FQ57"/>
        </row>
        <row r="58">
          <cell r="FQ58"/>
        </row>
      </sheetData>
      <sheetData sheetId="49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</row>
      </sheetData>
      <sheetData sheetId="50">
        <row r="4">
          <cell r="FQ4">
            <v>30</v>
          </cell>
        </row>
        <row r="5">
          <cell r="FQ5">
            <v>30</v>
          </cell>
        </row>
        <row r="8">
          <cell r="FQ8"/>
        </row>
        <row r="9">
          <cell r="FQ9"/>
        </row>
        <row r="19">
          <cell r="EZ19">
            <v>0</v>
          </cell>
          <cell r="FA19">
            <v>4</v>
          </cell>
          <cell r="FB19">
            <v>10</v>
          </cell>
          <cell r="FC19">
            <v>20</v>
          </cell>
          <cell r="FN19">
            <v>44</v>
          </cell>
          <cell r="FO19">
            <v>48</v>
          </cell>
          <cell r="FP19">
            <v>61</v>
          </cell>
          <cell r="FQ19">
            <v>60</v>
          </cell>
        </row>
        <row r="22">
          <cell r="FQ22">
            <v>1853</v>
          </cell>
        </row>
        <row r="23">
          <cell r="FQ23">
            <v>1908</v>
          </cell>
        </row>
        <row r="27">
          <cell r="FQ27">
            <v>87</v>
          </cell>
        </row>
        <row r="28">
          <cell r="FQ28">
            <v>113</v>
          </cell>
        </row>
        <row r="41">
          <cell r="EZ41">
            <v>0</v>
          </cell>
          <cell r="FA41">
            <v>232</v>
          </cell>
          <cell r="FB41">
            <v>431</v>
          </cell>
          <cell r="FC41">
            <v>1089</v>
          </cell>
          <cell r="FN41">
            <v>2634</v>
          </cell>
          <cell r="FO41">
            <v>3110</v>
          </cell>
          <cell r="FP41">
            <v>3714</v>
          </cell>
          <cell r="FQ41">
            <v>3761</v>
          </cell>
        </row>
        <row r="47">
          <cell r="FQ47">
            <v>535</v>
          </cell>
        </row>
        <row r="48">
          <cell r="FQ48"/>
        </row>
        <row r="52">
          <cell r="FQ52"/>
        </row>
        <row r="53">
          <cell r="FQ53"/>
        </row>
        <row r="57">
          <cell r="FQ57"/>
        </row>
        <row r="58">
          <cell r="FQ58"/>
        </row>
      </sheetData>
      <sheetData sheetId="51">
        <row r="4">
          <cell r="FQ4">
            <v>57</v>
          </cell>
        </row>
        <row r="5">
          <cell r="FQ5">
            <v>57</v>
          </cell>
        </row>
        <row r="8">
          <cell r="FQ8"/>
        </row>
        <row r="9">
          <cell r="FQ9"/>
        </row>
        <row r="19">
          <cell r="EZ19">
            <v>57</v>
          </cell>
          <cell r="FA19">
            <v>56</v>
          </cell>
          <cell r="FB19">
            <v>62</v>
          </cell>
          <cell r="FC19">
            <v>60</v>
          </cell>
          <cell r="FN19">
            <v>120</v>
          </cell>
          <cell r="FO19">
            <v>86</v>
          </cell>
          <cell r="FP19">
            <v>102</v>
          </cell>
          <cell r="FQ19">
            <v>114</v>
          </cell>
        </row>
        <row r="22">
          <cell r="FQ22">
            <v>3924</v>
          </cell>
        </row>
        <row r="23">
          <cell r="FQ23">
            <v>3752</v>
          </cell>
        </row>
        <row r="27">
          <cell r="FQ27">
            <v>59</v>
          </cell>
        </row>
        <row r="28">
          <cell r="FQ28">
            <v>66</v>
          </cell>
        </row>
        <row r="41">
          <cell r="EZ41">
            <v>3510</v>
          </cell>
          <cell r="FA41">
            <v>3407</v>
          </cell>
          <cell r="FB41">
            <v>4221</v>
          </cell>
          <cell r="FC41">
            <v>4073</v>
          </cell>
          <cell r="FN41">
            <v>7126</v>
          </cell>
          <cell r="FO41">
            <v>5696</v>
          </cell>
          <cell r="FP41">
            <v>6764</v>
          </cell>
          <cell r="FQ41">
            <v>7676</v>
          </cell>
        </row>
        <row r="47">
          <cell r="FQ47">
            <v>653</v>
          </cell>
        </row>
        <row r="48">
          <cell r="FQ48">
            <v>1006</v>
          </cell>
        </row>
        <row r="52">
          <cell r="FQ52">
            <v>244</v>
          </cell>
        </row>
        <row r="53">
          <cell r="FQ53">
            <v>1437</v>
          </cell>
        </row>
        <row r="57">
          <cell r="FQ57"/>
        </row>
        <row r="58">
          <cell r="FQ58"/>
        </row>
      </sheetData>
      <sheetData sheetId="52">
        <row r="4">
          <cell r="FQ4">
            <v>1</v>
          </cell>
        </row>
        <row r="5">
          <cell r="FQ5">
            <v>1</v>
          </cell>
        </row>
        <row r="8">
          <cell r="FQ8"/>
        </row>
        <row r="9">
          <cell r="FQ9"/>
        </row>
        <row r="19">
          <cell r="EZ19">
            <v>138</v>
          </cell>
          <cell r="FA19">
            <v>6</v>
          </cell>
          <cell r="FB19">
            <v>10</v>
          </cell>
          <cell r="FC19">
            <v>4</v>
          </cell>
          <cell r="FN19">
            <v>30</v>
          </cell>
          <cell r="FO19">
            <v>40</v>
          </cell>
          <cell r="FP19">
            <v>4</v>
          </cell>
          <cell r="FQ19">
            <v>2</v>
          </cell>
        </row>
        <row r="22">
          <cell r="FQ22">
            <v>23</v>
          </cell>
        </row>
        <row r="23">
          <cell r="FQ23">
            <v>53</v>
          </cell>
        </row>
        <row r="27">
          <cell r="FQ27">
            <v>2</v>
          </cell>
        </row>
        <row r="28">
          <cell r="FQ28">
            <v>10</v>
          </cell>
        </row>
        <row r="41">
          <cell r="EZ41">
            <v>7577</v>
          </cell>
          <cell r="FA41">
            <v>241</v>
          </cell>
          <cell r="FB41">
            <v>425</v>
          </cell>
          <cell r="FC41">
            <v>253</v>
          </cell>
          <cell r="FN41">
            <v>1815</v>
          </cell>
          <cell r="FO41">
            <v>2390</v>
          </cell>
          <cell r="FP41">
            <v>247</v>
          </cell>
          <cell r="FQ41">
            <v>76</v>
          </cell>
        </row>
        <row r="47">
          <cell r="FQ47"/>
        </row>
        <row r="48">
          <cell r="FQ48"/>
        </row>
        <row r="52">
          <cell r="FQ52"/>
        </row>
        <row r="53">
          <cell r="FQ53"/>
        </row>
        <row r="57">
          <cell r="FQ57"/>
        </row>
        <row r="58">
          <cell r="BH58"/>
        </row>
        <row r="70">
          <cell r="FQ70">
            <v>40</v>
          </cell>
        </row>
        <row r="71">
          <cell r="FQ71">
            <v>13</v>
          </cell>
        </row>
        <row r="73">
          <cell r="FQ73"/>
        </row>
        <row r="74">
          <cell r="FQ74"/>
        </row>
      </sheetData>
      <sheetData sheetId="53">
        <row r="4">
          <cell r="FQ4"/>
        </row>
        <row r="5">
          <cell r="FQ5"/>
        </row>
        <row r="8">
          <cell r="FQ8"/>
        </row>
        <row r="9">
          <cell r="FQ9"/>
        </row>
        <row r="19">
          <cell r="EZ19">
            <v>24</v>
          </cell>
          <cell r="FA19">
            <v>0</v>
          </cell>
          <cell r="FB19">
            <v>0</v>
          </cell>
          <cell r="FC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</row>
        <row r="22">
          <cell r="FQ22"/>
        </row>
        <row r="23">
          <cell r="FQ23"/>
        </row>
        <row r="27">
          <cell r="FQ27"/>
        </row>
        <row r="28">
          <cell r="FQ28"/>
        </row>
        <row r="41">
          <cell r="EZ41">
            <v>1273</v>
          </cell>
          <cell r="FA41">
            <v>0</v>
          </cell>
          <cell r="FB41">
            <v>0</v>
          </cell>
          <cell r="FC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</row>
        <row r="47">
          <cell r="FQ47"/>
        </row>
        <row r="48">
          <cell r="FQ48"/>
        </row>
        <row r="52">
          <cell r="FQ52"/>
        </row>
        <row r="53">
          <cell r="FQ53"/>
        </row>
        <row r="57">
          <cell r="FQ57"/>
        </row>
        <row r="58">
          <cell r="BG58"/>
        </row>
      </sheetData>
      <sheetData sheetId="54"/>
      <sheetData sheetId="55"/>
      <sheetData sheetId="56"/>
      <sheetData sheetId="57">
        <row r="4">
          <cell r="FQ4"/>
        </row>
        <row r="5">
          <cell r="FQ5"/>
        </row>
        <row r="15">
          <cell r="FN15"/>
          <cell r="FO15"/>
          <cell r="FP15"/>
          <cell r="FQ15"/>
        </row>
        <row r="16">
          <cell r="FN16"/>
          <cell r="FO16"/>
          <cell r="FP16"/>
          <cell r="FQ16"/>
        </row>
        <row r="22">
          <cell r="FQ22"/>
        </row>
        <row r="23">
          <cell r="FQ23"/>
        </row>
        <row r="32">
          <cell r="FN32"/>
          <cell r="FO32"/>
          <cell r="FP32"/>
          <cell r="FQ32"/>
        </row>
        <row r="33">
          <cell r="FN33"/>
          <cell r="FO33"/>
          <cell r="FP33"/>
          <cell r="FQ33"/>
        </row>
        <row r="37">
          <cell r="FN37"/>
          <cell r="FO37"/>
          <cell r="FP37"/>
          <cell r="FQ37"/>
        </row>
        <row r="38">
          <cell r="FN38"/>
          <cell r="FO38"/>
          <cell r="FP38"/>
          <cell r="FQ38"/>
        </row>
      </sheetData>
      <sheetData sheetId="58">
        <row r="4">
          <cell r="FQ4"/>
        </row>
        <row r="5">
          <cell r="FQ5"/>
        </row>
        <row r="15">
          <cell r="FQ15"/>
        </row>
        <row r="16">
          <cell r="FQ16"/>
        </row>
        <row r="22">
          <cell r="FQ22"/>
        </row>
        <row r="23">
          <cell r="FQ23"/>
        </row>
        <row r="32">
          <cell r="FQ32"/>
        </row>
        <row r="33">
          <cell r="FQ33"/>
        </row>
      </sheetData>
      <sheetData sheetId="59">
        <row r="15">
          <cell r="FN15"/>
          <cell r="FO15"/>
          <cell r="FP15"/>
          <cell r="FQ15"/>
        </row>
        <row r="16">
          <cell r="FN16"/>
          <cell r="FO16"/>
          <cell r="FP16"/>
          <cell r="FQ16"/>
        </row>
        <row r="32">
          <cell r="FN32"/>
          <cell r="FO32"/>
          <cell r="FP32"/>
          <cell r="FQ32"/>
        </row>
        <row r="33">
          <cell r="FN33"/>
          <cell r="FO33"/>
          <cell r="FP33"/>
          <cell r="FQ33"/>
        </row>
        <row r="37">
          <cell r="FN37"/>
          <cell r="FO37"/>
          <cell r="FP37"/>
          <cell r="FQ37"/>
        </row>
        <row r="38">
          <cell r="FN38"/>
          <cell r="FO38"/>
          <cell r="FP38"/>
          <cell r="FQ38"/>
        </row>
      </sheetData>
      <sheetData sheetId="60"/>
      <sheetData sheetId="61">
        <row r="4">
          <cell r="FQ4">
            <v>1</v>
          </cell>
        </row>
        <row r="5">
          <cell r="FQ5">
            <v>1</v>
          </cell>
        </row>
        <row r="15">
          <cell r="FN15"/>
          <cell r="FO15"/>
          <cell r="FP15"/>
          <cell r="FQ15"/>
        </row>
        <row r="16">
          <cell r="FN16"/>
          <cell r="FO16"/>
          <cell r="FP16"/>
          <cell r="FQ16"/>
        </row>
        <row r="22">
          <cell r="FQ22">
            <v>150</v>
          </cell>
        </row>
        <row r="23">
          <cell r="FQ23"/>
        </row>
        <row r="32">
          <cell r="FN32"/>
          <cell r="FO32"/>
          <cell r="FP32"/>
          <cell r="FQ32">
            <v>37</v>
          </cell>
        </row>
        <row r="33">
          <cell r="FN33"/>
          <cell r="FO33"/>
          <cell r="FP33"/>
          <cell r="FQ33"/>
        </row>
        <row r="37">
          <cell r="FN37"/>
          <cell r="FO37"/>
          <cell r="FP37"/>
          <cell r="FQ37"/>
        </row>
        <row r="38">
          <cell r="FN38"/>
          <cell r="FO38"/>
          <cell r="FP38"/>
          <cell r="FQ38"/>
        </row>
      </sheetData>
      <sheetData sheetId="62"/>
      <sheetData sheetId="63">
        <row r="4">
          <cell r="FQ4">
            <v>20</v>
          </cell>
        </row>
        <row r="5">
          <cell r="FQ5">
            <v>20</v>
          </cell>
        </row>
        <row r="12">
          <cell r="EZ12">
            <v>44</v>
          </cell>
          <cell r="FA12">
            <v>40</v>
          </cell>
          <cell r="FB12">
            <v>44</v>
          </cell>
          <cell r="FC12">
            <v>40</v>
          </cell>
          <cell r="FN12">
            <v>42</v>
          </cell>
          <cell r="FO12">
            <v>40</v>
          </cell>
          <cell r="FP12">
            <v>32</v>
          </cell>
          <cell r="FQ12">
            <v>40</v>
          </cell>
        </row>
        <row r="47">
          <cell r="FQ47">
            <v>757611</v>
          </cell>
        </row>
        <row r="48">
          <cell r="FQ48"/>
        </row>
        <row r="52">
          <cell r="FQ52">
            <v>515191</v>
          </cell>
        </row>
        <row r="53">
          <cell r="FQ53"/>
        </row>
        <row r="57">
          <cell r="FQ57"/>
        </row>
        <row r="58">
          <cell r="FQ58"/>
        </row>
        <row r="64">
          <cell r="EZ64">
            <v>1093963</v>
          </cell>
          <cell r="FA64">
            <v>1067092</v>
          </cell>
          <cell r="FB64">
            <v>1346354</v>
          </cell>
          <cell r="FC64">
            <v>1210759</v>
          </cell>
          <cell r="FN64">
            <v>1155517</v>
          </cell>
          <cell r="FO64">
            <v>1092417</v>
          </cell>
          <cell r="FP64">
            <v>1011296</v>
          </cell>
          <cell r="FQ64">
            <v>1272802</v>
          </cell>
        </row>
      </sheetData>
      <sheetData sheetId="64">
        <row r="4">
          <cell r="FQ4">
            <v>20</v>
          </cell>
        </row>
        <row r="5">
          <cell r="FQ5">
            <v>20</v>
          </cell>
        </row>
        <row r="12">
          <cell r="EZ12">
            <v>62</v>
          </cell>
          <cell r="FA12">
            <v>64</v>
          </cell>
          <cell r="FB12">
            <v>72</v>
          </cell>
          <cell r="FC12">
            <v>60</v>
          </cell>
          <cell r="FN12">
            <v>38</v>
          </cell>
          <cell r="FO12">
            <v>52</v>
          </cell>
          <cell r="FP12">
            <v>48</v>
          </cell>
          <cell r="FQ12">
            <v>40</v>
          </cell>
        </row>
        <row r="15">
          <cell r="FQ15"/>
        </row>
        <row r="47">
          <cell r="FQ47">
            <v>18598</v>
          </cell>
        </row>
        <row r="48">
          <cell r="FQ48"/>
        </row>
        <row r="52">
          <cell r="FQ52"/>
        </row>
        <row r="53">
          <cell r="FQ53"/>
        </row>
        <row r="57">
          <cell r="FQ57"/>
        </row>
        <row r="58">
          <cell r="FQ58"/>
        </row>
        <row r="64">
          <cell r="EZ64">
            <v>79728</v>
          </cell>
          <cell r="FA64">
            <v>82812</v>
          </cell>
          <cell r="FB64">
            <v>95553</v>
          </cell>
          <cell r="FC64">
            <v>85264</v>
          </cell>
          <cell r="FN64">
            <v>23766</v>
          </cell>
          <cell r="FO64">
            <v>18968</v>
          </cell>
          <cell r="FP64">
            <v>15913</v>
          </cell>
          <cell r="FQ64">
            <v>18598</v>
          </cell>
        </row>
      </sheetData>
      <sheetData sheetId="65">
        <row r="12"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</row>
        <row r="15">
          <cell r="FQ15"/>
        </row>
        <row r="16">
          <cell r="FQ16"/>
        </row>
        <row r="47">
          <cell r="FQ47"/>
        </row>
        <row r="48">
          <cell r="FQ48"/>
        </row>
        <row r="52">
          <cell r="FQ52"/>
        </row>
        <row r="53">
          <cell r="FQ53"/>
        </row>
        <row r="57">
          <cell r="FQ57"/>
        </row>
        <row r="58">
          <cell r="FQ58"/>
        </row>
        <row r="64">
          <cell r="EZ64">
            <v>91167</v>
          </cell>
          <cell r="FA64">
            <v>84036</v>
          </cell>
          <cell r="FB64">
            <v>106256</v>
          </cell>
          <cell r="FC64">
            <v>111141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</row>
      </sheetData>
      <sheetData sheetId="66">
        <row r="4">
          <cell r="FQ4">
            <v>101</v>
          </cell>
        </row>
        <row r="5">
          <cell r="FQ5">
            <v>101</v>
          </cell>
        </row>
        <row r="12">
          <cell r="EZ12">
            <v>176</v>
          </cell>
          <cell r="FA12">
            <v>168</v>
          </cell>
          <cell r="FB12">
            <v>198</v>
          </cell>
          <cell r="FC12">
            <v>176</v>
          </cell>
          <cell r="FN12">
            <v>258</v>
          </cell>
          <cell r="FO12">
            <v>242</v>
          </cell>
          <cell r="FP12">
            <v>270</v>
          </cell>
          <cell r="FQ12">
            <v>202</v>
          </cell>
        </row>
        <row r="15">
          <cell r="FQ15"/>
        </row>
        <row r="47">
          <cell r="FQ47">
            <v>8388065</v>
          </cell>
        </row>
        <row r="48">
          <cell r="FQ48"/>
        </row>
        <row r="52">
          <cell r="FQ52">
            <v>7467565</v>
          </cell>
        </row>
        <row r="53">
          <cell r="FQ53"/>
        </row>
        <row r="57">
          <cell r="FQ57"/>
        </row>
        <row r="58">
          <cell r="FQ58"/>
        </row>
        <row r="64">
          <cell r="EZ64">
            <v>16128912</v>
          </cell>
          <cell r="FA64">
            <v>15428532</v>
          </cell>
          <cell r="FB64">
            <v>18335805</v>
          </cell>
          <cell r="FC64">
            <v>16563701</v>
          </cell>
          <cell r="FN64">
            <v>16987230</v>
          </cell>
          <cell r="FO64">
            <v>15694855</v>
          </cell>
          <cell r="FP64">
            <v>18229115</v>
          </cell>
          <cell r="FQ64">
            <v>15855630</v>
          </cell>
        </row>
      </sheetData>
      <sheetData sheetId="67">
        <row r="4">
          <cell r="FQ4">
            <v>94</v>
          </cell>
        </row>
        <row r="5">
          <cell r="FQ5">
            <v>94</v>
          </cell>
        </row>
        <row r="12">
          <cell r="EZ12">
            <v>182</v>
          </cell>
          <cell r="FA12">
            <v>166</v>
          </cell>
          <cell r="FB12">
            <v>204</v>
          </cell>
          <cell r="FC12">
            <v>180</v>
          </cell>
          <cell r="FN12">
            <v>198</v>
          </cell>
          <cell r="FO12">
            <v>184</v>
          </cell>
          <cell r="FP12">
            <v>206</v>
          </cell>
          <cell r="FQ12">
            <v>188</v>
          </cell>
        </row>
        <row r="15">
          <cell r="FQ15">
            <v>16</v>
          </cell>
        </row>
        <row r="16">
          <cell r="FQ16">
            <v>16</v>
          </cell>
        </row>
        <row r="47">
          <cell r="FQ47">
            <v>5295626</v>
          </cell>
        </row>
        <row r="48">
          <cell r="FQ48">
            <v>808</v>
          </cell>
        </row>
        <row r="52">
          <cell r="FQ52">
            <v>4383624</v>
          </cell>
        </row>
        <row r="53">
          <cell r="FQ53">
            <v>536503</v>
          </cell>
        </row>
        <row r="57">
          <cell r="FQ57"/>
        </row>
        <row r="58">
          <cell r="FQ58"/>
        </row>
        <row r="64">
          <cell r="EZ64">
            <v>8668992</v>
          </cell>
          <cell r="FA64">
            <v>9141105</v>
          </cell>
          <cell r="FB64">
            <v>11583602</v>
          </cell>
          <cell r="FC64">
            <v>9526510</v>
          </cell>
          <cell r="FN64">
            <v>10765966</v>
          </cell>
          <cell r="FO64">
            <v>9812321</v>
          </cell>
          <cell r="FP64">
            <v>11072920</v>
          </cell>
          <cell r="FQ64">
            <v>10216561</v>
          </cell>
        </row>
      </sheetData>
      <sheetData sheetId="68"/>
      <sheetData sheetId="69"/>
      <sheetData sheetId="70"/>
      <sheetData sheetId="71">
        <row r="4">
          <cell r="FQ4">
            <v>260</v>
          </cell>
        </row>
        <row r="5">
          <cell r="FQ5">
            <v>260</v>
          </cell>
        </row>
        <row r="12">
          <cell r="EZ12">
            <v>540</v>
          </cell>
          <cell r="FA12">
            <v>492</v>
          </cell>
          <cell r="FB12">
            <v>566</v>
          </cell>
          <cell r="FC12">
            <v>494</v>
          </cell>
          <cell r="FN12">
            <v>614</v>
          </cell>
          <cell r="FO12">
            <v>520</v>
          </cell>
          <cell r="FP12">
            <v>554</v>
          </cell>
          <cell r="FQ12">
            <v>520</v>
          </cell>
        </row>
      </sheetData>
      <sheetData sheetId="72">
        <row r="4">
          <cell r="FQ4"/>
        </row>
        <row r="5">
          <cell r="FQ5"/>
        </row>
        <row r="12">
          <cell r="EZ12">
            <v>40</v>
          </cell>
          <cell r="FA12">
            <v>42</v>
          </cell>
          <cell r="FB12">
            <v>48</v>
          </cell>
          <cell r="FC12">
            <v>40</v>
          </cell>
          <cell r="FN12">
            <v>0</v>
          </cell>
          <cell r="FO12">
            <v>2</v>
          </cell>
          <cell r="FP12">
            <v>0</v>
          </cell>
          <cell r="FQ12">
            <v>0</v>
          </cell>
        </row>
        <row r="47">
          <cell r="FQ47"/>
        </row>
        <row r="48">
          <cell r="FQ48"/>
        </row>
        <row r="52">
          <cell r="FQ52"/>
        </row>
        <row r="53">
          <cell r="FQ53"/>
        </row>
        <row r="57">
          <cell r="FQ57"/>
        </row>
        <row r="58">
          <cell r="FQ58"/>
        </row>
        <row r="64">
          <cell r="EZ64">
            <v>60838</v>
          </cell>
          <cell r="FA64">
            <v>59935</v>
          </cell>
          <cell r="FB64">
            <v>70245</v>
          </cell>
          <cell r="FC64">
            <v>56790</v>
          </cell>
          <cell r="FN64">
            <v>0</v>
          </cell>
          <cell r="FO64">
            <v>3414</v>
          </cell>
          <cell r="FP64">
            <v>0</v>
          </cell>
          <cell r="FQ64">
            <v>0</v>
          </cell>
        </row>
      </sheetData>
      <sheetData sheetId="73">
        <row r="4">
          <cell r="FQ4">
            <v>19</v>
          </cell>
        </row>
        <row r="5">
          <cell r="FQ5">
            <v>19</v>
          </cell>
        </row>
        <row r="12">
          <cell r="EZ12">
            <v>40</v>
          </cell>
          <cell r="FA12">
            <v>34</v>
          </cell>
          <cell r="FB12">
            <v>46</v>
          </cell>
          <cell r="FC12">
            <v>42</v>
          </cell>
          <cell r="FN12">
            <v>38</v>
          </cell>
          <cell r="FO12">
            <v>38</v>
          </cell>
          <cell r="FP12">
            <v>38</v>
          </cell>
          <cell r="FQ12">
            <v>38</v>
          </cell>
        </row>
        <row r="47">
          <cell r="FQ47">
            <v>45713</v>
          </cell>
        </row>
        <row r="48">
          <cell r="FQ48"/>
        </row>
        <row r="52">
          <cell r="FQ52">
            <v>69051</v>
          </cell>
        </row>
        <row r="53">
          <cell r="FQ53"/>
        </row>
        <row r="57">
          <cell r="FQ57"/>
        </row>
        <row r="58">
          <cell r="FQ58"/>
        </row>
        <row r="64">
          <cell r="EZ64">
            <v>158796</v>
          </cell>
          <cell r="FA64">
            <v>143386</v>
          </cell>
          <cell r="FB64">
            <v>208041</v>
          </cell>
          <cell r="FC64">
            <v>147209</v>
          </cell>
          <cell r="FN64">
            <v>135846</v>
          </cell>
          <cell r="FO64">
            <v>119854</v>
          </cell>
          <cell r="FP64">
            <v>137313</v>
          </cell>
          <cell r="FQ64">
            <v>114764</v>
          </cell>
        </row>
      </sheetData>
      <sheetData sheetId="74">
        <row r="4">
          <cell r="FQ4">
            <v>45</v>
          </cell>
        </row>
        <row r="5">
          <cell r="FQ5">
            <v>45</v>
          </cell>
        </row>
        <row r="8">
          <cell r="FQ8"/>
        </row>
        <row r="9">
          <cell r="FQ9"/>
        </row>
        <row r="12">
          <cell r="EZ12">
            <v>43</v>
          </cell>
          <cell r="FA12">
            <v>40</v>
          </cell>
          <cell r="FB12">
            <v>46</v>
          </cell>
          <cell r="FC12">
            <v>40</v>
          </cell>
          <cell r="FN12">
            <v>48</v>
          </cell>
          <cell r="FO12">
            <v>1</v>
          </cell>
          <cell r="FP12">
            <v>88</v>
          </cell>
          <cell r="FQ12">
            <v>90</v>
          </cell>
        </row>
        <row r="47">
          <cell r="FQ47">
            <v>86113</v>
          </cell>
        </row>
        <row r="48">
          <cell r="FQ48"/>
        </row>
        <row r="52">
          <cell r="FQ52">
            <v>40847</v>
          </cell>
        </row>
        <row r="53">
          <cell r="FQ53"/>
        </row>
        <row r="57">
          <cell r="FQ57"/>
        </row>
        <row r="58">
          <cell r="FQ58"/>
        </row>
        <row r="64">
          <cell r="EZ64">
            <v>49029</v>
          </cell>
          <cell r="FA64">
            <v>86453</v>
          </cell>
          <cell r="FB64">
            <v>105620</v>
          </cell>
          <cell r="FC64">
            <v>87379</v>
          </cell>
          <cell r="FN64">
            <v>91916</v>
          </cell>
          <cell r="FO64">
            <v>14442</v>
          </cell>
          <cell r="FP64">
            <v>120115</v>
          </cell>
          <cell r="FQ64">
            <v>126960</v>
          </cell>
        </row>
      </sheetData>
      <sheetData sheetId="75">
        <row r="4">
          <cell r="FQ4">
            <v>51</v>
          </cell>
        </row>
        <row r="5">
          <cell r="FQ5">
            <v>51</v>
          </cell>
        </row>
      </sheetData>
      <sheetData sheetId="76">
        <row r="4">
          <cell r="FQ4">
            <v>775</v>
          </cell>
        </row>
        <row r="5">
          <cell r="FQ5">
            <v>776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137179</v>
          </cell>
          <cell r="C21">
            <v>131658</v>
          </cell>
          <cell r="G21">
            <v>1202691</v>
          </cell>
          <cell r="H21">
            <v>1213282</v>
          </cell>
          <cell r="L21">
            <v>1339870</v>
          </cell>
          <cell r="M21">
            <v>1344940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256747</v>
          </cell>
          <cell r="I21">
            <v>2435679</v>
          </cell>
          <cell r="N21">
            <v>2692426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141643</v>
          </cell>
          <cell r="C22">
            <v>143472</v>
          </cell>
          <cell r="G22">
            <v>1192631</v>
          </cell>
          <cell r="H22">
            <v>1233627</v>
          </cell>
          <cell r="L22">
            <v>1334274</v>
          </cell>
          <cell r="M22">
            <v>1377099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272463</v>
          </cell>
          <cell r="I22">
            <v>2337959</v>
          </cell>
          <cell r="N22">
            <v>2610422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348451</v>
          </cell>
          <cell r="I23">
            <v>3083230</v>
          </cell>
          <cell r="N23">
            <v>3431681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D21" sqref="D21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79">
        <v>43191</v>
      </c>
      <c r="B2" s="17"/>
      <c r="C2" s="17"/>
      <c r="D2" s="518" t="s">
        <v>211</v>
      </c>
      <c r="E2" s="518" t="s">
        <v>188</v>
      </c>
      <c r="F2" s="8"/>
      <c r="G2" s="8"/>
      <c r="H2" s="8"/>
      <c r="I2" s="8"/>
      <c r="J2" s="23"/>
    </row>
    <row r="3" spans="1:14" ht="13.5" thickBot="1" x14ac:dyDescent="0.25">
      <c r="A3" s="385"/>
      <c r="B3" s="8" t="s">
        <v>0</v>
      </c>
      <c r="C3" s="8" t="s">
        <v>1</v>
      </c>
      <c r="D3" s="519"/>
      <c r="E3" s="520"/>
      <c r="F3" s="8" t="s">
        <v>2</v>
      </c>
      <c r="G3" s="8" t="s">
        <v>212</v>
      </c>
      <c r="H3" s="8" t="s">
        <v>189</v>
      </c>
      <c r="I3" s="8" t="s">
        <v>2</v>
      </c>
      <c r="J3" s="20"/>
    </row>
    <row r="4" spans="1:14" ht="12.75" customHeight="1" x14ac:dyDescent="0.25">
      <c r="A4" s="64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7" t="s">
        <v>4</v>
      </c>
      <c r="B5" s="294">
        <f>'Major Airline Stats'!J4</f>
        <v>1163610</v>
      </c>
      <c r="C5" s="296">
        <f>'Major Airline Stats'!J5</f>
        <v>1071883</v>
      </c>
      <c r="D5" s="5">
        <f>'Major Airline Stats'!J6</f>
        <v>2235493</v>
      </c>
      <c r="E5" s="9">
        <f>'[1]Monthly Summary'!D5</f>
        <v>2368846</v>
      </c>
      <c r="F5" s="39">
        <f>(D5-E5)/E5</f>
        <v>-5.6294499515797986E-2</v>
      </c>
      <c r="G5" s="9">
        <f>+D5+'[2]Monthly Summary'!G5</f>
        <v>8932516</v>
      </c>
      <c r="H5" s="9">
        <f>'[1]Monthly Summary'!G5</f>
        <v>8969227</v>
      </c>
      <c r="I5" s="85">
        <f>(G5-H5)/H5</f>
        <v>-4.0929948589772565E-3</v>
      </c>
      <c r="J5" s="9"/>
    </row>
    <row r="6" spans="1:14" x14ac:dyDescent="0.2">
      <c r="A6" s="67" t="s">
        <v>5</v>
      </c>
      <c r="B6" s="294">
        <f>'Regional Major'!M5</f>
        <v>330764</v>
      </c>
      <c r="C6" s="294">
        <f>'Regional Major'!M6</f>
        <v>327325</v>
      </c>
      <c r="D6" s="5">
        <f>B6+C6</f>
        <v>658089</v>
      </c>
      <c r="E6" s="9">
        <f>'[1]Monthly Summary'!D6</f>
        <v>625681</v>
      </c>
      <c r="F6" s="39">
        <f>(D6-E6)/E6</f>
        <v>5.1796362683220361E-2</v>
      </c>
      <c r="G6" s="9">
        <f>+D6+'[2]Monthly Summary'!G6</f>
        <v>2485038</v>
      </c>
      <c r="H6" s="9">
        <f>'[1]Monthly Summary'!G6</f>
        <v>2475202</v>
      </c>
      <c r="I6" s="85">
        <f>(G6-H6)/H6</f>
        <v>3.973817086443854E-3</v>
      </c>
      <c r="J6" s="20"/>
      <c r="K6" s="2"/>
    </row>
    <row r="7" spans="1:14" x14ac:dyDescent="0.2">
      <c r="A7" s="67" t="s">
        <v>6</v>
      </c>
      <c r="B7" s="9">
        <f>Charter!G5</f>
        <v>187</v>
      </c>
      <c r="C7" s="295">
        <f>Charter!G6</f>
        <v>0</v>
      </c>
      <c r="D7" s="5">
        <f>B7+C7</f>
        <v>187</v>
      </c>
      <c r="E7" s="9">
        <f>'[1]Monthly Summary'!D7</f>
        <v>300</v>
      </c>
      <c r="F7" s="39">
        <f>(D7-E7)/E7</f>
        <v>-0.37666666666666665</v>
      </c>
      <c r="G7" s="9">
        <f>+D7+'[2]Monthly Summary'!G7</f>
        <v>2332</v>
      </c>
      <c r="H7" s="9">
        <f>'[1]Monthly Summary'!G7</f>
        <v>1035</v>
      </c>
      <c r="I7" s="85">
        <f>(G7-H7)/H7</f>
        <v>1.2531400966183575</v>
      </c>
      <c r="J7" s="20"/>
      <c r="K7" s="2"/>
    </row>
    <row r="8" spans="1:14" x14ac:dyDescent="0.2">
      <c r="A8" s="70" t="s">
        <v>7</v>
      </c>
      <c r="B8" s="148">
        <f>SUM(B5:B7)</f>
        <v>1494561</v>
      </c>
      <c r="C8" s="148">
        <f>SUM(C5:C7)</f>
        <v>1399208</v>
      </c>
      <c r="D8" s="148">
        <f>SUM(D5:D7)</f>
        <v>2893769</v>
      </c>
      <c r="E8" s="148">
        <f>SUM(E5:E7)</f>
        <v>2994827</v>
      </c>
      <c r="F8" s="92">
        <f>(D8-E8)/E8</f>
        <v>-3.3744186225114173E-2</v>
      </c>
      <c r="G8" s="148">
        <f>SUM(G5:G7)</f>
        <v>11419886</v>
      </c>
      <c r="H8" s="148">
        <f>SUM(H5:H7)</f>
        <v>11445464</v>
      </c>
      <c r="I8" s="91">
        <f>(G8-H8)/H8</f>
        <v>-2.2347717838263263E-3</v>
      </c>
      <c r="J8" s="20"/>
    </row>
    <row r="9" spans="1:14" x14ac:dyDescent="0.2">
      <c r="A9" s="67"/>
      <c r="B9" s="118"/>
      <c r="C9" s="118"/>
      <c r="D9" s="118"/>
      <c r="E9" s="146"/>
      <c r="F9" s="6"/>
      <c r="G9" s="146"/>
      <c r="H9" s="146"/>
      <c r="I9" s="85"/>
      <c r="J9" s="20"/>
    </row>
    <row r="10" spans="1:14" x14ac:dyDescent="0.2">
      <c r="A10" s="67" t="s">
        <v>8</v>
      </c>
      <c r="B10" s="297">
        <f>'Major Airline Stats'!J9+'Regional Major'!M10</f>
        <v>49575</v>
      </c>
      <c r="C10" s="297">
        <f>'Major Airline Stats'!J10+'Regional Major'!M11</f>
        <v>49918</v>
      </c>
      <c r="D10" s="120">
        <f>SUM(B10:C10)</f>
        <v>99493</v>
      </c>
      <c r="E10" s="120">
        <f>'[1]Monthly Summary'!D10</f>
        <v>100237</v>
      </c>
      <c r="F10" s="93">
        <f>(D10-E10)/E10</f>
        <v>-7.4224088909284995E-3</v>
      </c>
      <c r="G10" s="512">
        <f>+D10+'[2]Monthly Summary'!G10</f>
        <v>380426</v>
      </c>
      <c r="H10" s="120">
        <f>'[1]Monthly Summary'!G10</f>
        <v>384129</v>
      </c>
      <c r="I10" s="96">
        <f>(G10-H10)/H10</f>
        <v>-9.6399907322800415E-3</v>
      </c>
      <c r="J10" s="264"/>
    </row>
    <row r="11" spans="1:14" ht="15.75" thickBot="1" x14ac:dyDescent="0.3">
      <c r="A11" s="69" t="s">
        <v>13</v>
      </c>
      <c r="B11" s="273">
        <f>B10+B8</f>
        <v>1544136</v>
      </c>
      <c r="C11" s="273">
        <f>C10+C8</f>
        <v>1449126</v>
      </c>
      <c r="D11" s="273">
        <f>D10+D8</f>
        <v>2993262</v>
      </c>
      <c r="E11" s="273">
        <f>E10+E8</f>
        <v>3095064</v>
      </c>
      <c r="F11" s="94">
        <f>(D11-E11)/E11</f>
        <v>-3.2891726956211564E-2</v>
      </c>
      <c r="G11" s="273">
        <f>G8+G10</f>
        <v>11800312</v>
      </c>
      <c r="H11" s="273">
        <f>H8+H10</f>
        <v>11829593</v>
      </c>
      <c r="I11" s="97">
        <f>(G11-H11)/H11</f>
        <v>-2.4752330870554885E-3</v>
      </c>
      <c r="J11" s="7"/>
    </row>
    <row r="12" spans="1:14" ht="15" x14ac:dyDescent="0.25">
      <c r="A12" s="15"/>
      <c r="B12" s="124"/>
      <c r="C12" s="124"/>
      <c r="D12" s="124"/>
      <c r="E12" s="124"/>
      <c r="F12" s="275"/>
      <c r="G12" s="124"/>
      <c r="H12" s="124"/>
      <c r="I12" s="276"/>
      <c r="J12" s="7"/>
      <c r="K12" s="130"/>
    </row>
    <row r="13" spans="1:14" ht="16.5" customHeight="1" x14ac:dyDescent="0.2">
      <c r="B13" s="17"/>
      <c r="C13" s="17"/>
      <c r="D13" s="518" t="s">
        <v>211</v>
      </c>
      <c r="E13" s="518" t="s">
        <v>188</v>
      </c>
      <c r="F13" s="452"/>
      <c r="G13" s="452"/>
      <c r="H13" s="452"/>
      <c r="I13" s="452"/>
    </row>
    <row r="14" spans="1:14" ht="13.5" thickBot="1" x14ac:dyDescent="0.25">
      <c r="A14" s="16"/>
      <c r="B14" s="452" t="s">
        <v>208</v>
      </c>
      <c r="C14" s="452" t="s">
        <v>209</v>
      </c>
      <c r="D14" s="519"/>
      <c r="E14" s="520"/>
      <c r="F14" s="452" t="s">
        <v>2</v>
      </c>
      <c r="G14" s="503" t="s">
        <v>212</v>
      </c>
      <c r="H14" s="503" t="s">
        <v>189</v>
      </c>
      <c r="I14" s="452" t="s">
        <v>2</v>
      </c>
    </row>
    <row r="15" spans="1:14" ht="15" x14ac:dyDescent="0.25">
      <c r="A15" s="61" t="s">
        <v>9</v>
      </c>
      <c r="B15" s="45"/>
      <c r="C15" s="45"/>
      <c r="D15" s="45"/>
      <c r="E15" s="45"/>
      <c r="F15" s="46"/>
      <c r="G15" s="45"/>
      <c r="H15" s="45"/>
      <c r="I15" s="261"/>
    </row>
    <row r="16" spans="1:14" x14ac:dyDescent="0.2">
      <c r="A16" s="68" t="s">
        <v>4</v>
      </c>
      <c r="B16" s="305">
        <f>'Major Airline Stats'!J15+'Major Airline Stats'!J19</f>
        <v>8660</v>
      </c>
      <c r="C16" s="305">
        <f>'Major Airline Stats'!J16+'Major Airline Stats'!J20</f>
        <v>8673</v>
      </c>
      <c r="D16" s="47">
        <f t="shared" ref="D16:D21" si="0">SUM(B16:C16)</f>
        <v>17333</v>
      </c>
      <c r="E16" s="9">
        <f>'[1]Monthly Summary'!D16</f>
        <v>18713</v>
      </c>
      <c r="F16" s="95">
        <f t="shared" ref="F16:F22" si="1">(D16-E16)/E16</f>
        <v>-7.3745524501683327E-2</v>
      </c>
      <c r="G16" s="9">
        <f>+D16+'[2]Monthly Summary'!G16</f>
        <v>68899</v>
      </c>
      <c r="H16" s="9">
        <f>'[1]Monthly Summary'!G16</f>
        <v>70893</v>
      </c>
      <c r="I16" s="262">
        <f t="shared" ref="I16:I22" si="2">(G16-H16)/H16</f>
        <v>-2.8126895462175391E-2</v>
      </c>
      <c r="N16" s="130"/>
    </row>
    <row r="17" spans="1:12" x14ac:dyDescent="0.2">
      <c r="A17" s="68" t="s">
        <v>5</v>
      </c>
      <c r="B17" s="47">
        <f>'Regional Major'!M15+'Regional Major'!M18</f>
        <v>6408</v>
      </c>
      <c r="C17" s="47">
        <f>'Regional Major'!M16+'Regional Major'!M19</f>
        <v>6404</v>
      </c>
      <c r="D17" s="47">
        <f>SUM(B17:C17)</f>
        <v>12812</v>
      </c>
      <c r="E17" s="9">
        <f>'[1]Monthly Summary'!D17</f>
        <v>12411</v>
      </c>
      <c r="F17" s="95">
        <f t="shared" si="1"/>
        <v>3.2310047538473934E-2</v>
      </c>
      <c r="G17" s="9">
        <f>+D17+'[2]Monthly Summary'!G17</f>
        <v>48718</v>
      </c>
      <c r="H17" s="9">
        <f>'[1]Monthly Summary'!G17</f>
        <v>49816</v>
      </c>
      <c r="I17" s="262">
        <f t="shared" si="2"/>
        <v>-2.2041111289545529E-2</v>
      </c>
    </row>
    <row r="18" spans="1:12" x14ac:dyDescent="0.2">
      <c r="A18" s="68" t="s">
        <v>10</v>
      </c>
      <c r="B18" s="47">
        <f>Charter!G10</f>
        <v>1</v>
      </c>
      <c r="C18" s="47">
        <f>Charter!G11</f>
        <v>1</v>
      </c>
      <c r="D18" s="47">
        <f t="shared" si="0"/>
        <v>2</v>
      </c>
      <c r="E18" s="9">
        <f>'[1]Monthly Summary'!D18</f>
        <v>2</v>
      </c>
      <c r="F18" s="95">
        <f t="shared" si="1"/>
        <v>0</v>
      </c>
      <c r="G18" s="9">
        <f>+D18+'[2]Monthly Summary'!G18</f>
        <v>16</v>
      </c>
      <c r="H18" s="9">
        <f>'[1]Monthly Summary'!G18</f>
        <v>12</v>
      </c>
      <c r="I18" s="262">
        <f t="shared" si="2"/>
        <v>0.33333333333333331</v>
      </c>
    </row>
    <row r="19" spans="1:12" x14ac:dyDescent="0.2">
      <c r="A19" s="68" t="s">
        <v>11</v>
      </c>
      <c r="B19" s="47">
        <f>Cargo!M4</f>
        <v>575</v>
      </c>
      <c r="C19" s="47">
        <f>Cargo!M5</f>
        <v>575</v>
      </c>
      <c r="D19" s="47">
        <f t="shared" si="0"/>
        <v>1150</v>
      </c>
      <c r="E19" s="9">
        <f>'[1]Monthly Summary'!D19</f>
        <v>1146</v>
      </c>
      <c r="F19" s="95">
        <f t="shared" si="1"/>
        <v>3.4904013961605585E-3</v>
      </c>
      <c r="G19" s="9">
        <f>+D19+'[2]Monthly Summary'!G19</f>
        <v>4798</v>
      </c>
      <c r="H19" s="9">
        <f>'[1]Monthly Summary'!G19</f>
        <v>4766</v>
      </c>
      <c r="I19" s="262">
        <f t="shared" si="2"/>
        <v>6.7142257658413763E-3</v>
      </c>
    </row>
    <row r="20" spans="1:12" x14ac:dyDescent="0.2">
      <c r="A20" s="68" t="s">
        <v>153</v>
      </c>
      <c r="B20" s="47">
        <f>'[3]General Avation'!$FQ$4</f>
        <v>775</v>
      </c>
      <c r="C20" s="47">
        <f>'[3]General Avation'!$FQ$5</f>
        <v>776</v>
      </c>
      <c r="D20" s="47">
        <f t="shared" si="0"/>
        <v>1551</v>
      </c>
      <c r="E20" s="9">
        <f>'[1]Monthly Summary'!D20</f>
        <v>1797</v>
      </c>
      <c r="F20" s="95">
        <f t="shared" si="1"/>
        <v>-0.13689482470784642</v>
      </c>
      <c r="G20" s="9">
        <f>+D20+'[2]Monthly Summary'!G20</f>
        <v>6607</v>
      </c>
      <c r="H20" s="9">
        <f>'[1]Monthly Summary'!G20</f>
        <v>6943</v>
      </c>
      <c r="I20" s="262">
        <f t="shared" si="2"/>
        <v>-4.8394065965720871E-2</v>
      </c>
    </row>
    <row r="21" spans="1:12" ht="12.75" customHeight="1" x14ac:dyDescent="0.2">
      <c r="A21" s="68" t="s">
        <v>12</v>
      </c>
      <c r="B21" s="18">
        <f>'[3]Military '!$FQ$4</f>
        <v>51</v>
      </c>
      <c r="C21" s="18">
        <f>'[3]Military '!$FQ$5</f>
        <v>51</v>
      </c>
      <c r="D21" s="18">
        <f t="shared" si="0"/>
        <v>102</v>
      </c>
      <c r="E21" s="120">
        <f>'[1]Monthly Summary'!D21</f>
        <v>40</v>
      </c>
      <c r="F21" s="260">
        <f t="shared" si="1"/>
        <v>1.55</v>
      </c>
      <c r="G21" s="120">
        <f>+D21+'[2]Monthly Summary'!G21</f>
        <v>408</v>
      </c>
      <c r="H21" s="120">
        <f>'[1]Monthly Summary'!G21</f>
        <v>167</v>
      </c>
      <c r="I21" s="263">
        <f t="shared" si="2"/>
        <v>1.4431137724550898</v>
      </c>
    </row>
    <row r="22" spans="1:12" ht="15.75" thickBot="1" x14ac:dyDescent="0.3">
      <c r="A22" s="69" t="s">
        <v>28</v>
      </c>
      <c r="B22" s="274">
        <f>SUM(B16:B21)</f>
        <v>16470</v>
      </c>
      <c r="C22" s="274">
        <f>SUM(C16:C21)</f>
        <v>16480</v>
      </c>
      <c r="D22" s="274">
        <f>SUM(D16:D21)</f>
        <v>32950</v>
      </c>
      <c r="E22" s="274">
        <f>SUM(E16:E21)</f>
        <v>34109</v>
      </c>
      <c r="F22" s="270">
        <f t="shared" si="1"/>
        <v>-3.3979301650590751E-2</v>
      </c>
      <c r="G22" s="274">
        <f>SUM(G16:G21)</f>
        <v>129446</v>
      </c>
      <c r="H22" s="274">
        <f>SUM(H16:H21)</f>
        <v>132597</v>
      </c>
      <c r="I22" s="271">
        <f t="shared" si="2"/>
        <v>-2.3763735227795502E-2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17"/>
      <c r="C24" s="17"/>
      <c r="D24" s="518" t="s">
        <v>211</v>
      </c>
      <c r="E24" s="518" t="s">
        <v>188</v>
      </c>
      <c r="F24" s="452"/>
      <c r="G24" s="452"/>
      <c r="H24" s="452"/>
      <c r="I24" s="452"/>
    </row>
    <row r="25" spans="1:12" ht="13.5" thickBot="1" x14ac:dyDescent="0.25">
      <c r="B25" s="452" t="s">
        <v>0</v>
      </c>
      <c r="C25" s="452" t="s">
        <v>1</v>
      </c>
      <c r="D25" s="519"/>
      <c r="E25" s="520"/>
      <c r="F25" s="452" t="s">
        <v>2</v>
      </c>
      <c r="G25" s="503" t="s">
        <v>212</v>
      </c>
      <c r="H25" s="503" t="s">
        <v>189</v>
      </c>
      <c r="I25" s="452" t="s">
        <v>2</v>
      </c>
    </row>
    <row r="26" spans="1:12" ht="15" x14ac:dyDescent="0.25">
      <c r="A26" s="65" t="s">
        <v>129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2" t="s">
        <v>15</v>
      </c>
      <c r="B27" s="22">
        <f>(Cargo!M16+'Major Airline Stats'!J28+'Regional Major'!M25)*0.00045359237</f>
        <v>8956.9388449078997</v>
      </c>
      <c r="C27" s="22">
        <f>(Cargo!M21+'Major Airline Stats'!J33+'Regional Major'!M30)*0.00045359237</f>
        <v>6812.2683905899694</v>
      </c>
      <c r="D27" s="22">
        <f>(SUM(B27:C27)+('Cargo Summary'!E17*0.00045359237))</f>
        <v>15769.20723549787</v>
      </c>
      <c r="E27" s="9">
        <f>'[1]Monthly Summary'!D27</f>
        <v>16179.68247558278</v>
      </c>
      <c r="F27" s="98">
        <f>(D27-E27)/E27</f>
        <v>-2.5369795773456622E-2</v>
      </c>
      <c r="G27" s="9">
        <f>+D27+'[2]Monthly Summary'!G27</f>
        <v>65067.906669534234</v>
      </c>
      <c r="H27" s="9">
        <f>'[1]Monthly Summary'!G27</f>
        <v>64043.094088183978</v>
      </c>
      <c r="I27" s="100">
        <f>(G27-H27)/H27</f>
        <v>1.6001921767538941E-2</v>
      </c>
    </row>
    <row r="28" spans="1:12" x14ac:dyDescent="0.2">
      <c r="A28" s="62" t="s">
        <v>16</v>
      </c>
      <c r="B28" s="22">
        <f>(Cargo!M17+'Major Airline Stats'!J29+'Regional Major'!M26)*0.00045359237</f>
        <v>800.87176031939998</v>
      </c>
      <c r="C28" s="22">
        <f>(Cargo!M22+'Major Airline Stats'!J34+'Regional Major'!M31)*0.00045359237</f>
        <v>1324.3110050062201</v>
      </c>
      <c r="D28" s="22">
        <f>SUM(B28:C28)</f>
        <v>2125.18276532562</v>
      </c>
      <c r="E28" s="9">
        <f>'[1]Monthly Summary'!D28</f>
        <v>2351.9762287714002</v>
      </c>
      <c r="F28" s="98">
        <f>(D28-E28)/E28</f>
        <v>-9.6426766848851223E-2</v>
      </c>
      <c r="G28" s="120">
        <f>+D28+'[2]Monthly Summary'!G28</f>
        <v>8212.4626775429697</v>
      </c>
      <c r="H28" s="9">
        <f>'[1]Monthly Summary'!G28</f>
        <v>7576.7511566184903</v>
      </c>
      <c r="I28" s="100">
        <f>(G28-H28)/H28</f>
        <v>8.3902916670183722E-2</v>
      </c>
    </row>
    <row r="29" spans="1:12" ht="15.75" thickBot="1" x14ac:dyDescent="0.3">
      <c r="A29" s="63" t="s">
        <v>62</v>
      </c>
      <c r="B29" s="54">
        <f>SUM(B27:B28)</f>
        <v>9757.8106052272997</v>
      </c>
      <c r="C29" s="54">
        <f>SUM(C27:C28)</f>
        <v>8136.579395596189</v>
      </c>
      <c r="D29" s="54">
        <f>SUM(D27:D28)</f>
        <v>17894.390000823489</v>
      </c>
      <c r="E29" s="54">
        <f>SUM(E27:E28)</f>
        <v>18531.65870435418</v>
      </c>
      <c r="F29" s="99">
        <f>(D29-E29)/E29</f>
        <v>-3.4388109218791069E-2</v>
      </c>
      <c r="G29" s="54">
        <f>SUM(G27:G28)</f>
        <v>73280.369347077198</v>
      </c>
      <c r="H29" s="54">
        <f>SUM(H27:H28)</f>
        <v>71619.845244802462</v>
      </c>
      <c r="I29" s="101">
        <f>(G29-H29)/H29</f>
        <v>2.3185251191187712E-2</v>
      </c>
    </row>
    <row r="30" spans="1:12" s="7" customFormat="1" ht="4.5" customHeight="1" thickBot="1" x14ac:dyDescent="0.3">
      <c r="A30" s="59"/>
      <c r="B30" s="387"/>
      <c r="C30" s="387"/>
      <c r="D30" s="387"/>
      <c r="E30" s="387"/>
      <c r="F30" s="275"/>
      <c r="G30" s="387"/>
      <c r="H30" s="387"/>
      <c r="I30" s="275"/>
    </row>
    <row r="31" spans="1:12" ht="13.5" thickBot="1" x14ac:dyDescent="0.25">
      <c r="B31" s="517" t="s">
        <v>149</v>
      </c>
      <c r="C31" s="516"/>
      <c r="D31" s="517" t="s">
        <v>156</v>
      </c>
      <c r="E31" s="516"/>
      <c r="F31" s="410"/>
      <c r="G31" s="411"/>
      <c r="H31" s="409"/>
      <c r="I31" s="409"/>
    </row>
    <row r="32" spans="1:12" x14ac:dyDescent="0.2">
      <c r="A32" s="391" t="s">
        <v>150</v>
      </c>
      <c r="B32" s="392">
        <f>C8-B33</f>
        <v>880328</v>
      </c>
      <c r="C32" s="393">
        <f>B32/C8</f>
        <v>0.6291616400134934</v>
      </c>
      <c r="D32" s="394">
        <f>+B32+'[2]Monthly Summary'!$D$32</f>
        <v>3741009</v>
      </c>
      <c r="E32" s="395">
        <f>+D32/D34</f>
        <v>0.65660281785660501</v>
      </c>
      <c r="G32" s="417"/>
      <c r="H32" s="409"/>
      <c r="I32" s="408"/>
    </row>
    <row r="33" spans="1:14" ht="13.5" thickBot="1" x14ac:dyDescent="0.25">
      <c r="A33" s="396" t="s">
        <v>151</v>
      </c>
      <c r="B33" s="397">
        <f>'Major Airline Stats'!J51+'Regional Major'!M45</f>
        <v>518880</v>
      </c>
      <c r="C33" s="398">
        <f>+B33/C8</f>
        <v>0.37083835998650666</v>
      </c>
      <c r="D33" s="399">
        <f>+B33+'[2]Monthly Summary'!$D$33</f>
        <v>1956513</v>
      </c>
      <c r="E33" s="400">
        <f>+D33/D34</f>
        <v>0.34339718214339499</v>
      </c>
      <c r="G33" s="409"/>
      <c r="H33" s="409"/>
      <c r="I33" s="408"/>
    </row>
    <row r="34" spans="1:14" ht="13.5" thickBot="1" x14ac:dyDescent="0.25">
      <c r="B34" s="309"/>
      <c r="D34" s="401">
        <f>SUM(D32:D33)</f>
        <v>5697522</v>
      </c>
    </row>
    <row r="35" spans="1:14" ht="13.5" thickBot="1" x14ac:dyDescent="0.25">
      <c r="B35" s="515" t="s">
        <v>229</v>
      </c>
      <c r="C35" s="516"/>
      <c r="D35" s="517" t="s">
        <v>213</v>
      </c>
      <c r="E35" s="516"/>
    </row>
    <row r="36" spans="1:14" x14ac:dyDescent="0.2">
      <c r="A36" s="391" t="s">
        <v>150</v>
      </c>
      <c r="B36" s="392">
        <f>'[1]Monthly Summary'!$B$32</f>
        <v>861091</v>
      </c>
      <c r="C36" s="393">
        <f>+B36/B38</f>
        <v>0.59375512844027845</v>
      </c>
      <c r="D36" s="394">
        <f>'[1]Monthly Summary'!$D$32</f>
        <v>3597247</v>
      </c>
      <c r="E36" s="395">
        <f>+D36/D38</f>
        <v>0.63001763998321469</v>
      </c>
    </row>
    <row r="37" spans="1:14" ht="13.5" thickBot="1" x14ac:dyDescent="0.25">
      <c r="A37" s="396" t="s">
        <v>151</v>
      </c>
      <c r="B37" s="397">
        <f>'[1]Monthly Summary'!$B$33</f>
        <v>589155</v>
      </c>
      <c r="C37" s="400">
        <f>+B37/B38</f>
        <v>0.40624487155972161</v>
      </c>
      <c r="D37" s="399">
        <f>'[1]Monthly Summary'!$D$33</f>
        <v>2112509</v>
      </c>
      <c r="E37" s="400">
        <f>+D37/D38</f>
        <v>0.36998236001678531</v>
      </c>
      <c r="M37" s="13"/>
    </row>
    <row r="38" spans="1:14" x14ac:dyDescent="0.2">
      <c r="B38" s="416">
        <f>+SUM(B36:B37)</f>
        <v>1450246</v>
      </c>
      <c r="D38" s="401">
        <f>SUM(D36:D37)</f>
        <v>5709756</v>
      </c>
    </row>
    <row r="39" spans="1:14" x14ac:dyDescent="0.2">
      <c r="A39" s="405" t="s">
        <v>152</v>
      </c>
    </row>
    <row r="40" spans="1:14" x14ac:dyDescent="0.2">
      <c r="A40" s="229" t="s">
        <v>154</v>
      </c>
      <c r="I40" s="2"/>
    </row>
    <row r="41" spans="1:14" x14ac:dyDescent="0.2">
      <c r="N41" s="406"/>
    </row>
    <row r="42" spans="1:14" x14ac:dyDescent="0.2">
      <c r="G42" s="2"/>
      <c r="N42" s="406"/>
    </row>
    <row r="43" spans="1:14" x14ac:dyDescent="0.2">
      <c r="B43" s="309"/>
      <c r="J43" s="2"/>
      <c r="N43" s="406"/>
    </row>
    <row r="44" spans="1:14" x14ac:dyDescent="0.2">
      <c r="B44" s="309"/>
      <c r="N44" s="406"/>
    </row>
    <row r="45" spans="1:14" x14ac:dyDescent="0.2">
      <c r="J45" s="2"/>
      <c r="N45" s="406"/>
    </row>
    <row r="46" spans="1:14" x14ac:dyDescent="0.2">
      <c r="B46" s="2"/>
      <c r="F46" s="309"/>
    </row>
    <row r="47" spans="1:14" x14ac:dyDescent="0.2">
      <c r="N47" s="406"/>
    </row>
    <row r="51" spans="12:12" x14ac:dyDescent="0.2">
      <c r="L51" s="407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6" priority="11" stopIfTrue="1">
      <formula>"*.*"</formula>
    </cfRule>
  </conditionalFormatting>
  <conditionalFormatting sqref="B13:C13 F13:I13 F14 I14">
    <cfRule type="expression" dxfId="5" priority="6" stopIfTrue="1">
      <formula>"*.*"</formula>
    </cfRule>
  </conditionalFormatting>
  <conditionalFormatting sqref="B24:C24 F24:I24 F25 I25">
    <cfRule type="expression" dxfId="4" priority="5" stopIfTrue="1">
      <formula>"*.*"</formula>
    </cfRule>
  </conditionalFormatting>
  <conditionalFormatting sqref="E13 D13:D14">
    <cfRule type="expression" dxfId="3" priority="4" stopIfTrue="1">
      <formula>"*.*"</formula>
    </cfRule>
  </conditionalFormatting>
  <conditionalFormatting sqref="E24 D24:D25">
    <cfRule type="expression" dxfId="2" priority="3" stopIfTrue="1">
      <formula>"*.*"</formula>
    </cfRule>
  </conditionalFormatting>
  <conditionalFormatting sqref="G14:H14">
    <cfRule type="expression" dxfId="1" priority="2" stopIfTrue="1">
      <formula>"*.*"</formula>
    </cfRule>
  </conditionalFormatting>
  <conditionalFormatting sqref="G25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April 2018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opLeftCell="A7" zoomScaleNormal="100" zoomScaleSheetLayoutView="100" workbookViewId="0">
      <selection activeCell="P27" sqref="P27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7" width="11.28515625" customWidth="1"/>
    <col min="8" max="8" width="11.85546875" bestFit="1" customWidth="1"/>
    <col min="9" max="14" width="11.28515625" customWidth="1"/>
    <col min="15" max="15" width="8.5703125" bestFit="1" customWidth="1"/>
    <col min="16" max="16" width="13.85546875" customWidth="1"/>
  </cols>
  <sheetData>
    <row r="1" spans="1:16" ht="39" thickBot="1" x14ac:dyDescent="0.25">
      <c r="A1" s="379">
        <v>43191</v>
      </c>
      <c r="B1" s="12" t="s">
        <v>18</v>
      </c>
      <c r="C1" s="502" t="s">
        <v>222</v>
      </c>
      <c r="D1" s="424" t="s">
        <v>163</v>
      </c>
      <c r="E1" s="272" t="s">
        <v>170</v>
      </c>
      <c r="F1" s="272" t="s">
        <v>171</v>
      </c>
      <c r="G1" s="272" t="s">
        <v>169</v>
      </c>
      <c r="H1" s="272" t="s">
        <v>49</v>
      </c>
      <c r="I1" s="272" t="s">
        <v>116</v>
      </c>
      <c r="J1" s="272" t="s">
        <v>216</v>
      </c>
      <c r="K1" s="272" t="s">
        <v>210</v>
      </c>
      <c r="L1" s="272" t="s">
        <v>223</v>
      </c>
      <c r="M1" s="272" t="s">
        <v>168</v>
      </c>
      <c r="N1" s="272" t="s">
        <v>162</v>
      </c>
      <c r="O1" s="272" t="s">
        <v>143</v>
      </c>
      <c r="P1" s="272" t="s">
        <v>21</v>
      </c>
    </row>
    <row r="2" spans="1:16" ht="15" x14ac:dyDescent="0.25">
      <c r="A2" s="552" t="s">
        <v>144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4"/>
    </row>
    <row r="3" spans="1:16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55"/>
    </row>
    <row r="4" spans="1:16" x14ac:dyDescent="0.2">
      <c r="A4" s="62" t="s">
        <v>30</v>
      </c>
      <c r="B4" s="21">
        <f>[3]Delta!$FQ$32</f>
        <v>76269</v>
      </c>
      <c r="C4" s="21">
        <f>'[3]Atlantic Southeast'!$FQ$32</f>
        <v>0</v>
      </c>
      <c r="D4" s="21">
        <f>[3]Pinnacle!$FQ$32</f>
        <v>5998</v>
      </c>
      <c r="E4" s="21">
        <f>[3]Compass!$FQ$32</f>
        <v>0</v>
      </c>
      <c r="F4" s="21">
        <f>'[3]Sky West'!$FQ$32</f>
        <v>11833</v>
      </c>
      <c r="G4" s="21">
        <f>'[3]Go Jet'!$FQ$32</f>
        <v>3264</v>
      </c>
      <c r="H4" s="21">
        <f>'[3]Sun Country'!$FQ$32</f>
        <v>21482</v>
      </c>
      <c r="I4" s="21">
        <f>[3]Icelandair!$FQ$32</f>
        <v>2672</v>
      </c>
      <c r="J4" s="21">
        <f>[3]KLM!$FQ$32</f>
        <v>2003</v>
      </c>
      <c r="K4" s="21">
        <f>'[3]Air Georgian'!$FQ$32</f>
        <v>0</v>
      </c>
      <c r="L4" s="21">
        <f>'[3]Sky Regional'!$FQ$32</f>
        <v>4630</v>
      </c>
      <c r="M4" s="21">
        <f>[3]Condor!$FQ$32</f>
        <v>0</v>
      </c>
      <c r="N4" s="21">
        <f>'[3]Air France'!$FQ$32</f>
        <v>0</v>
      </c>
      <c r="O4" s="21">
        <f>'[3]Charter Misc'!$FQ$32+[3]Ryan!$FQ$32+[3]Omni!$FQ$32</f>
        <v>37</v>
      </c>
      <c r="P4" s="281">
        <f>SUM(B4:O4)</f>
        <v>128188</v>
      </c>
    </row>
    <row r="5" spans="1:16" x14ac:dyDescent="0.2">
      <c r="A5" s="62" t="s">
        <v>31</v>
      </c>
      <c r="B5" s="14">
        <f>[3]Delta!$FQ$33</f>
        <v>67693</v>
      </c>
      <c r="C5" s="14">
        <f>'[3]Atlantic Southeast'!$FQ$33</f>
        <v>0</v>
      </c>
      <c r="D5" s="14">
        <f>[3]Pinnacle!$FQ$33</f>
        <v>6196</v>
      </c>
      <c r="E5" s="14">
        <f>[3]Compass!$FQ$33</f>
        <v>0</v>
      </c>
      <c r="F5" s="14">
        <f>'[3]Sky West'!$FQ$33</f>
        <v>12526</v>
      </c>
      <c r="G5" s="14">
        <f>'[3]Go Jet'!$FQ$33</f>
        <v>3000</v>
      </c>
      <c r="H5" s="14">
        <f>'[3]Sun Country'!$FQ$33</f>
        <v>11675</v>
      </c>
      <c r="I5" s="14">
        <f>[3]Icelandair!$FQ$33</f>
        <v>2690</v>
      </c>
      <c r="J5" s="14">
        <f>[3]KLM!$FQ$33</f>
        <v>1753</v>
      </c>
      <c r="K5" s="14">
        <f>'[3]Air Georgian'!$FQ$33</f>
        <v>0</v>
      </c>
      <c r="L5" s="14">
        <f>'[3]Sky Regional'!$FQ$33</f>
        <v>3717</v>
      </c>
      <c r="M5" s="14">
        <f>[3]Condor!$FQ$33</f>
        <v>0</v>
      </c>
      <c r="N5" s="14">
        <f>'[3]Air France'!$FQ$33</f>
        <v>0</v>
      </c>
      <c r="O5" s="14">
        <f>'[3]Charter Misc'!$FQ$33++[3]Ryan!$FQ$33+[3]Omni!$FQ$33</f>
        <v>0</v>
      </c>
      <c r="P5" s="282">
        <f>SUM(B5:O5)</f>
        <v>109250</v>
      </c>
    </row>
    <row r="6" spans="1:16" ht="15" x14ac:dyDescent="0.25">
      <c r="A6" s="60" t="s">
        <v>7</v>
      </c>
      <c r="B6" s="34">
        <f t="shared" ref="B6:O6" si="0">SUM(B4:B5)</f>
        <v>143962</v>
      </c>
      <c r="C6" s="34">
        <f t="shared" si="0"/>
        <v>0</v>
      </c>
      <c r="D6" s="34">
        <f t="shared" si="0"/>
        <v>12194</v>
      </c>
      <c r="E6" s="34">
        <f t="shared" si="0"/>
        <v>0</v>
      </c>
      <c r="F6" s="34">
        <f t="shared" si="0"/>
        <v>24359</v>
      </c>
      <c r="G6" s="34">
        <f t="shared" ref="G6" si="1">SUM(G4:G5)</f>
        <v>6264</v>
      </c>
      <c r="H6" s="34">
        <f t="shared" si="0"/>
        <v>33157</v>
      </c>
      <c r="I6" s="34">
        <f t="shared" si="0"/>
        <v>5362</v>
      </c>
      <c r="J6" s="34">
        <f t="shared" ref="J6" si="2">SUM(J4:J5)</f>
        <v>3756</v>
      </c>
      <c r="K6" s="34">
        <f t="shared" si="0"/>
        <v>0</v>
      </c>
      <c r="L6" s="34">
        <f t="shared" ref="L6" si="3">SUM(L4:L5)</f>
        <v>8347</v>
      </c>
      <c r="M6" s="34">
        <f t="shared" ref="M6" si="4">SUM(M4:M5)</f>
        <v>0</v>
      </c>
      <c r="N6" s="34">
        <f t="shared" si="0"/>
        <v>0</v>
      </c>
      <c r="O6" s="34">
        <f t="shared" si="0"/>
        <v>37</v>
      </c>
      <c r="P6" s="283">
        <f>SUM(B6:O6)</f>
        <v>237438</v>
      </c>
    </row>
    <row r="7" spans="1:16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81"/>
    </row>
    <row r="8" spans="1:16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81">
        <f>SUM(B8:O8)</f>
        <v>0</v>
      </c>
    </row>
    <row r="9" spans="1:16" x14ac:dyDescent="0.2">
      <c r="A9" s="62" t="s">
        <v>30</v>
      </c>
      <c r="B9" s="21">
        <f>[3]Delta!$FQ$37</f>
        <v>2000</v>
      </c>
      <c r="C9" s="21">
        <f>'[3]Atlantic Southeast'!$FQ$37</f>
        <v>0</v>
      </c>
      <c r="D9" s="21">
        <f>[3]Pinnacle!$FQ$37</f>
        <v>114</v>
      </c>
      <c r="E9" s="21">
        <f>[3]Compass!$FQ$37</f>
        <v>0</v>
      </c>
      <c r="F9" s="21">
        <f>'[3]Sky West'!$FQ$37</f>
        <v>115</v>
      </c>
      <c r="G9" s="21">
        <f>'[3]Go Jet'!$FQ$37</f>
        <v>53</v>
      </c>
      <c r="H9" s="21">
        <f>'[3]Sun Country'!$FQ$37</f>
        <v>95</v>
      </c>
      <c r="I9" s="21">
        <f>[3]Icelandair!$FQ$37</f>
        <v>52</v>
      </c>
      <c r="J9" s="21">
        <f>[3]KLM!$FQ$37</f>
        <v>25</v>
      </c>
      <c r="K9" s="21">
        <f>'[3]Air Georgian'!$FQ$37</f>
        <v>0</v>
      </c>
      <c r="L9" s="21">
        <f>'[3]Sky Regional'!$FQ$37</f>
        <v>60</v>
      </c>
      <c r="M9" s="21">
        <f>[3]Condor!$FQ$37</f>
        <v>0</v>
      </c>
      <c r="N9" s="21">
        <f>'[3]Air France'!$FQ$37</f>
        <v>0</v>
      </c>
      <c r="O9" s="21">
        <f>'[3]Charter Misc'!$FQ$37+[3]Ryan!$FQ$37+[3]Omni!$FQ$37</f>
        <v>0</v>
      </c>
      <c r="P9" s="281">
        <f>SUM(B9:O9)</f>
        <v>2514</v>
      </c>
    </row>
    <row r="10" spans="1:16" x14ac:dyDescent="0.2">
      <c r="A10" s="62" t="s">
        <v>33</v>
      </c>
      <c r="B10" s="14">
        <f>[3]Delta!$FQ$38</f>
        <v>1917</v>
      </c>
      <c r="C10" s="14">
        <f>'[3]Atlantic Southeast'!$FQ$38</f>
        <v>0</v>
      </c>
      <c r="D10" s="14">
        <f>[3]Pinnacle!$FQ$38</f>
        <v>87</v>
      </c>
      <c r="E10" s="14">
        <f>[3]Compass!$FQ$38</f>
        <v>0</v>
      </c>
      <c r="F10" s="14">
        <f>'[3]Sky West'!$FQ$38</f>
        <v>125</v>
      </c>
      <c r="G10" s="14">
        <f>'[3]Go Jet'!$FQ$38</f>
        <v>61</v>
      </c>
      <c r="H10" s="14">
        <f>'[3]Sun Country'!$FQ$38</f>
        <v>132</v>
      </c>
      <c r="I10" s="14">
        <f>[3]Icelandair!$FQ$38</f>
        <v>60</v>
      </c>
      <c r="J10" s="14">
        <f>[3]KLM!$FQ$38</f>
        <v>16</v>
      </c>
      <c r="K10" s="14">
        <f>'[3]Air Georgian'!$FQ$38</f>
        <v>0</v>
      </c>
      <c r="L10" s="14">
        <f>'[3]Sky Regional'!$FQ$38</f>
        <v>68</v>
      </c>
      <c r="M10" s="14">
        <f>[3]Condor!$FQ$38</f>
        <v>0</v>
      </c>
      <c r="N10" s="14">
        <f>'[3]Air France'!$FQ$38</f>
        <v>0</v>
      </c>
      <c r="O10" s="14">
        <f>'[3]Charter Misc'!$FQ$38+[3]Ryan!$FQ$38+[3]Omni!$FQ$38</f>
        <v>0</v>
      </c>
      <c r="P10" s="282">
        <f>SUM(B10:O10)</f>
        <v>2466</v>
      </c>
    </row>
    <row r="11" spans="1:16" ht="15.75" thickBot="1" x14ac:dyDescent="0.3">
      <c r="A11" s="63" t="s">
        <v>34</v>
      </c>
      <c r="B11" s="284">
        <f t="shared" ref="B11:H11" si="5">SUM(B9:B10)</f>
        <v>3917</v>
      </c>
      <c r="C11" s="284">
        <f t="shared" si="5"/>
        <v>0</v>
      </c>
      <c r="D11" s="284">
        <f t="shared" si="5"/>
        <v>201</v>
      </c>
      <c r="E11" s="284">
        <f t="shared" si="5"/>
        <v>0</v>
      </c>
      <c r="F11" s="284">
        <f t="shared" si="5"/>
        <v>240</v>
      </c>
      <c r="G11" s="284">
        <f t="shared" ref="G11" si="6">SUM(G9:G10)</f>
        <v>114</v>
      </c>
      <c r="H11" s="284">
        <f t="shared" si="5"/>
        <v>227</v>
      </c>
      <c r="I11" s="284">
        <f t="shared" ref="I11:O11" si="7">SUM(I9:I10)</f>
        <v>112</v>
      </c>
      <c r="J11" s="284">
        <f t="shared" ref="J11" si="8">SUM(J9:J10)</f>
        <v>41</v>
      </c>
      <c r="K11" s="284">
        <f t="shared" si="7"/>
        <v>0</v>
      </c>
      <c r="L11" s="284">
        <f t="shared" ref="L11" si="9">SUM(L9:L10)</f>
        <v>128</v>
      </c>
      <c r="M11" s="284">
        <f t="shared" si="7"/>
        <v>0</v>
      </c>
      <c r="N11" s="284">
        <f t="shared" si="7"/>
        <v>0</v>
      </c>
      <c r="O11" s="284">
        <f t="shared" si="7"/>
        <v>0</v>
      </c>
      <c r="P11" s="285">
        <f>SUM(B11:O11)</f>
        <v>4980</v>
      </c>
    </row>
    <row r="12" spans="1:16" ht="15" x14ac:dyDescent="0.25">
      <c r="A12" s="384"/>
      <c r="B12" s="380"/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1"/>
    </row>
    <row r="13" spans="1:16" ht="39" thickBot="1" x14ac:dyDescent="0.25">
      <c r="B13" s="12" t="s">
        <v>18</v>
      </c>
      <c r="C13" s="502" t="s">
        <v>222</v>
      </c>
      <c r="D13" s="424" t="s">
        <v>163</v>
      </c>
      <c r="E13" s="12" t="s">
        <v>120</v>
      </c>
      <c r="F13" s="12" t="s">
        <v>100</v>
      </c>
      <c r="G13" s="272" t="s">
        <v>169</v>
      </c>
      <c r="H13" s="12" t="s">
        <v>142</v>
      </c>
      <c r="I13" s="12" t="s">
        <v>116</v>
      </c>
      <c r="J13" s="272" t="s">
        <v>216</v>
      </c>
      <c r="K13" s="272" t="s">
        <v>210</v>
      </c>
      <c r="L13" s="272" t="s">
        <v>223</v>
      </c>
      <c r="M13" s="272" t="s">
        <v>168</v>
      </c>
      <c r="N13" s="12" t="s">
        <v>162</v>
      </c>
      <c r="O13" s="12" t="s">
        <v>143</v>
      </c>
      <c r="P13" s="272" t="s">
        <v>145</v>
      </c>
    </row>
    <row r="14" spans="1:16" ht="15" x14ac:dyDescent="0.25">
      <c r="A14" s="555" t="s">
        <v>146</v>
      </c>
      <c r="B14" s="556"/>
      <c r="C14" s="556"/>
      <c r="D14" s="556"/>
      <c r="E14" s="556"/>
      <c r="F14" s="556"/>
      <c r="G14" s="556"/>
      <c r="H14" s="556"/>
      <c r="I14" s="556"/>
      <c r="J14" s="556"/>
      <c r="K14" s="556"/>
      <c r="L14" s="556"/>
      <c r="M14" s="556"/>
      <c r="N14" s="556"/>
      <c r="O14" s="556"/>
      <c r="P14" s="557"/>
    </row>
    <row r="15" spans="1:16" x14ac:dyDescent="0.2">
      <c r="A15" s="62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55"/>
    </row>
    <row r="16" spans="1:16" x14ac:dyDescent="0.2">
      <c r="A16" s="62" t="s">
        <v>30</v>
      </c>
      <c r="B16" s="21">
        <f>SUM([3]Delta!$FN$32:$FQ$32)</f>
        <v>347651</v>
      </c>
      <c r="C16" s="21">
        <f>SUM('[3]Atlantic Southeast'!$FN$32:$FQ$32)</f>
        <v>2369</v>
      </c>
      <c r="D16" s="21">
        <f>SUM([3]Pinnacle!$FN$32:$FQ$32)</f>
        <v>21199</v>
      </c>
      <c r="E16" s="21">
        <f>SUM([3]Compass!$FN$32:$FQ$32)</f>
        <v>0</v>
      </c>
      <c r="F16" s="21">
        <f>SUM('[3]Sky West'!$FN$32:$FQ$32)</f>
        <v>47857</v>
      </c>
      <c r="G16" s="21">
        <f>SUM('[3]Go Jet'!$FN$32:$FQ$32)</f>
        <v>9276</v>
      </c>
      <c r="H16" s="21">
        <f>SUM('[3]Sun Country'!$FN$32:$FQ$32)</f>
        <v>119995</v>
      </c>
      <c r="I16" s="21">
        <f>SUM([3]Icelandair!$FN$32:$FQ$32)</f>
        <v>5543</v>
      </c>
      <c r="J16" s="21">
        <f>SUM([3]KLM!$FN$32:$FQ$32)</f>
        <v>11001</v>
      </c>
      <c r="K16" s="21">
        <f>SUM('[3]Air Georgian'!$FN$32:$FQ$32)</f>
        <v>0</v>
      </c>
      <c r="L16" s="21">
        <f>SUM('[3]Sky Regional'!$FN$32:$FQ$32)</f>
        <v>16729</v>
      </c>
      <c r="M16" s="21">
        <f>SUM([3]Condor!$FN$32:$FQ$32)</f>
        <v>0</v>
      </c>
      <c r="N16" s="21">
        <f>SUM('[3]Air France'!$FN$32:$FQ$32)</f>
        <v>0</v>
      </c>
      <c r="O16" s="21">
        <f>SUM('[3]Charter Misc'!$FN$32:$FQ$32)+SUM([3]Ryan!$FN$32:$FQ$32)+SUM([3]Omni!$FN$32:$FQ$32)</f>
        <v>37</v>
      </c>
      <c r="P16" s="281">
        <f>SUM(B16:O16)</f>
        <v>581657</v>
      </c>
    </row>
    <row r="17" spans="1:19" x14ac:dyDescent="0.2">
      <c r="A17" s="62" t="s">
        <v>31</v>
      </c>
      <c r="B17" s="14">
        <f>SUM([3]Delta!$FN$33:$FQ$33)</f>
        <v>333240</v>
      </c>
      <c r="C17" s="14">
        <f>SUM('[3]Atlantic Southeast'!$FN$33:$FQ$33)</f>
        <v>3166</v>
      </c>
      <c r="D17" s="14">
        <f>SUM([3]Pinnacle!$FN$33:$FQ$33)</f>
        <v>21329</v>
      </c>
      <c r="E17" s="14">
        <f>SUM([3]Compass!$FN$33:$FQ$33)</f>
        <v>0</v>
      </c>
      <c r="F17" s="14">
        <f>SUM('[3]Sky West'!$FN$33:$FQ$33)</f>
        <v>49080</v>
      </c>
      <c r="G17" s="14">
        <f>SUM('[3]Go Jet'!$FN$33:$FQ$33)</f>
        <v>8442</v>
      </c>
      <c r="H17" s="14">
        <f>SUM('[3]Sun Country'!$FN$33:$FQ$33)</f>
        <v>114097</v>
      </c>
      <c r="I17" s="14">
        <f>SUM([3]Icelandair!$FN$33:$FQ$33)</f>
        <v>5792</v>
      </c>
      <c r="J17" s="14">
        <f>SUM([3]KLM!$FN$33:$FQ$33)</f>
        <v>9011</v>
      </c>
      <c r="K17" s="14">
        <f>SUM('[3]Air Georgian'!$FN$33:$FQ$33)</f>
        <v>0</v>
      </c>
      <c r="L17" s="14">
        <f>SUM('[3]Sky Regional'!$FN$33:$FQ$33)</f>
        <v>15788</v>
      </c>
      <c r="M17" s="14">
        <f>SUM([3]Condor!$FN$33:$FQ$33)</f>
        <v>0</v>
      </c>
      <c r="N17" s="14">
        <f>SUM('[3]Air France'!$FN$33:$FQ$33)</f>
        <v>0</v>
      </c>
      <c r="O17" s="14">
        <f>SUM('[3]Charter Misc'!$FN$33:$FQ$33)++SUM([3]Ryan!$FN$33:$FQ$33)+SUM([3]Omni!$FN$33:$FQ$33)</f>
        <v>0</v>
      </c>
      <c r="P17" s="282">
        <f>SUM(B17:O17)</f>
        <v>559945</v>
      </c>
    </row>
    <row r="18" spans="1:19" ht="15" x14ac:dyDescent="0.25">
      <c r="A18" s="60" t="s">
        <v>7</v>
      </c>
      <c r="B18" s="34">
        <f t="shared" ref="B18:O18" si="10">SUM(B16:B17)</f>
        <v>680891</v>
      </c>
      <c r="C18" s="34">
        <f t="shared" si="10"/>
        <v>5535</v>
      </c>
      <c r="D18" s="34">
        <f t="shared" si="10"/>
        <v>42528</v>
      </c>
      <c r="E18" s="34">
        <f t="shared" si="10"/>
        <v>0</v>
      </c>
      <c r="F18" s="34">
        <f t="shared" si="10"/>
        <v>96937</v>
      </c>
      <c r="G18" s="34">
        <f t="shared" ref="G18" si="11">SUM(G16:G17)</f>
        <v>17718</v>
      </c>
      <c r="H18" s="34">
        <f t="shared" si="10"/>
        <v>234092</v>
      </c>
      <c r="I18" s="34">
        <f t="shared" si="10"/>
        <v>11335</v>
      </c>
      <c r="J18" s="34">
        <f t="shared" ref="J18" si="12">SUM(J16:J17)</f>
        <v>20012</v>
      </c>
      <c r="K18" s="34">
        <f t="shared" si="10"/>
        <v>0</v>
      </c>
      <c r="L18" s="34">
        <f t="shared" ref="L18" si="13">SUM(L16:L17)</f>
        <v>32517</v>
      </c>
      <c r="M18" s="34">
        <f t="shared" ref="M18" si="14">SUM(M16:M17)</f>
        <v>0</v>
      </c>
      <c r="N18" s="34">
        <f t="shared" si="10"/>
        <v>0</v>
      </c>
      <c r="O18" s="34">
        <f t="shared" si="10"/>
        <v>37</v>
      </c>
      <c r="P18" s="283">
        <f>SUM(B18:O18)</f>
        <v>1141602</v>
      </c>
      <c r="S18" s="309"/>
    </row>
    <row r="19" spans="1:19" x14ac:dyDescent="0.2">
      <c r="A19" s="6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81"/>
      <c r="S19" s="130"/>
    </row>
    <row r="20" spans="1:19" x14ac:dyDescent="0.2">
      <c r="A20" s="62" t="s">
        <v>32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81">
        <f>SUM(B20:O20)</f>
        <v>0</v>
      </c>
    </row>
    <row r="21" spans="1:19" x14ac:dyDescent="0.2">
      <c r="A21" s="62" t="s">
        <v>30</v>
      </c>
      <c r="B21" s="21">
        <f>SUM([3]Delta!$FN$37:$FQ$37)</f>
        <v>8999</v>
      </c>
      <c r="C21" s="21">
        <f>SUM('[3]Atlantic Southeast'!$FN$37:$FQ$37)</f>
        <v>48</v>
      </c>
      <c r="D21" s="21">
        <f>SUM([3]Pinnacle!$FN$37:$FQ$37)</f>
        <v>341</v>
      </c>
      <c r="E21" s="21">
        <f>SUM([3]Compass!$FN$37:$FQ$37)</f>
        <v>0</v>
      </c>
      <c r="F21" s="21">
        <f>SUM('[3]Sky West'!$FN$37:$FQ$37)</f>
        <v>472</v>
      </c>
      <c r="G21" s="21">
        <f>SUM('[3]Go Jet'!$FN$37:$FQ$37)</f>
        <v>135</v>
      </c>
      <c r="H21" s="21">
        <f>SUM('[3]Sun Country'!$FN$37:$FQ$37)</f>
        <v>733</v>
      </c>
      <c r="I21" s="21">
        <f>SUM([3]Icelandair!$FN$37:$FQ$37)</f>
        <v>147</v>
      </c>
      <c r="J21" s="21">
        <f>SUM([3]KLM!$FN$37:$FQ$37)</f>
        <v>96</v>
      </c>
      <c r="K21" s="21">
        <f>SUM('[3]Air Georgian'!$FN$37:$FQ$37)</f>
        <v>0</v>
      </c>
      <c r="L21" s="21">
        <f>SUM('[3]Sky Regional'!$FN$37:$FQ$37)</f>
        <v>198</v>
      </c>
      <c r="M21" s="21">
        <f>SUM([3]Condor!$FN$37:$FQ$37)</f>
        <v>0</v>
      </c>
      <c r="N21" s="21">
        <f>SUM('[3]Air France'!$FN$37:$FQ$37)</f>
        <v>0</v>
      </c>
      <c r="O21" s="21">
        <f>SUM('[3]Charter Misc'!$FN$37:$FQ$37)++SUM([3]Ryan!$FN$37:$FQ$37)+SUM([3]Omni!$FN$37:$FQ$37)</f>
        <v>0</v>
      </c>
      <c r="P21" s="281">
        <f>SUM(B21:O21)</f>
        <v>11169</v>
      </c>
    </row>
    <row r="22" spans="1:19" x14ac:dyDescent="0.2">
      <c r="A22" s="62" t="s">
        <v>33</v>
      </c>
      <c r="B22" s="14">
        <f>SUM([3]Delta!$FN$38:$FQ$38)</f>
        <v>9135</v>
      </c>
      <c r="C22" s="14">
        <f>SUM('[3]Atlantic Southeast'!$FN$38:$FQ$38)</f>
        <v>35</v>
      </c>
      <c r="D22" s="14">
        <f>SUM([3]Pinnacle!$FN$38:$FQ$38)</f>
        <v>326</v>
      </c>
      <c r="E22" s="14">
        <f>SUM([3]Compass!$FN$38:$FQ$38)</f>
        <v>0</v>
      </c>
      <c r="F22" s="14">
        <f>SUM('[3]Sky West'!$FN$38:$FQ$38)</f>
        <v>461</v>
      </c>
      <c r="G22" s="14">
        <f>SUM('[3]Go Jet'!$FN$38:$FQ$38)</f>
        <v>154</v>
      </c>
      <c r="H22" s="14">
        <f>SUM('[3]Sun Country'!$FN$38:$FQ$38)</f>
        <v>898</v>
      </c>
      <c r="I22" s="14">
        <f>SUM([3]Icelandair!$FN$38:$FQ$38)</f>
        <v>127</v>
      </c>
      <c r="J22" s="14">
        <f>SUM([3]KLM!$FN$38:$FQ$38)</f>
        <v>82</v>
      </c>
      <c r="K22" s="14">
        <f>SUM('[3]Air Georgian'!$FN$38:$FQ$38)</f>
        <v>0</v>
      </c>
      <c r="L22" s="14">
        <f>SUM('[3]Sky Regional'!$FN$38:$FQ$38)</f>
        <v>209</v>
      </c>
      <c r="M22" s="14">
        <f>SUM([3]Condor!$FN$38:$FQ$38)</f>
        <v>0</v>
      </c>
      <c r="N22" s="14">
        <f>SUM('[3]Air France'!$FN$38:$FQ$38)</f>
        <v>0</v>
      </c>
      <c r="O22" s="14">
        <f>SUM('[3]Charter Misc'!$FN$38:$FQ$38)++SUM([3]Ryan!$FN$38:$FQ$38)+SUM([3]Omni!$FN$38:$FQ$38)</f>
        <v>0</v>
      </c>
      <c r="P22" s="282">
        <f>SUM(B22:O22)</f>
        <v>11427</v>
      </c>
    </row>
    <row r="23" spans="1:19" ht="15.75" thickBot="1" x14ac:dyDescent="0.3">
      <c r="A23" s="63" t="s">
        <v>34</v>
      </c>
      <c r="B23" s="284">
        <f t="shared" ref="B23:O23" si="15">SUM(B21:B22)</f>
        <v>18134</v>
      </c>
      <c r="C23" s="284">
        <f t="shared" si="15"/>
        <v>83</v>
      </c>
      <c r="D23" s="284">
        <f t="shared" si="15"/>
        <v>667</v>
      </c>
      <c r="E23" s="284">
        <f t="shared" si="15"/>
        <v>0</v>
      </c>
      <c r="F23" s="284">
        <f t="shared" si="15"/>
        <v>933</v>
      </c>
      <c r="G23" s="284">
        <f t="shared" ref="G23" si="16">SUM(G21:G22)</f>
        <v>289</v>
      </c>
      <c r="H23" s="284">
        <f t="shared" si="15"/>
        <v>1631</v>
      </c>
      <c r="I23" s="284">
        <f t="shared" si="15"/>
        <v>274</v>
      </c>
      <c r="J23" s="284">
        <f t="shared" ref="J23" si="17">SUM(J21:J22)</f>
        <v>178</v>
      </c>
      <c r="K23" s="284">
        <f t="shared" si="15"/>
        <v>0</v>
      </c>
      <c r="L23" s="284">
        <f t="shared" ref="L23" si="18">SUM(L21:L22)</f>
        <v>407</v>
      </c>
      <c r="M23" s="284">
        <f t="shared" ref="M23" si="19">SUM(M21:M22)</f>
        <v>0</v>
      </c>
      <c r="N23" s="284">
        <f t="shared" si="15"/>
        <v>0</v>
      </c>
      <c r="O23" s="284">
        <f t="shared" si="15"/>
        <v>0</v>
      </c>
      <c r="P23" s="285">
        <f>SUM(B23:O23)</f>
        <v>22596</v>
      </c>
    </row>
    <row r="25" spans="1:19" ht="39" thickBot="1" x14ac:dyDescent="0.25">
      <c r="B25" s="12" t="s">
        <v>18</v>
      </c>
      <c r="C25" s="502" t="s">
        <v>222</v>
      </c>
      <c r="D25" s="424" t="s">
        <v>163</v>
      </c>
      <c r="E25" s="12" t="s">
        <v>120</v>
      </c>
      <c r="F25" s="12" t="s">
        <v>100</v>
      </c>
      <c r="G25" s="272" t="s">
        <v>169</v>
      </c>
      <c r="H25" s="12" t="s">
        <v>142</v>
      </c>
      <c r="I25" s="12" t="s">
        <v>116</v>
      </c>
      <c r="J25" s="272" t="s">
        <v>216</v>
      </c>
      <c r="K25" s="272" t="s">
        <v>210</v>
      </c>
      <c r="L25" s="272" t="s">
        <v>223</v>
      </c>
      <c r="M25" s="272" t="s">
        <v>168</v>
      </c>
      <c r="N25" s="12" t="s">
        <v>162</v>
      </c>
      <c r="O25" s="12" t="s">
        <v>143</v>
      </c>
      <c r="P25" s="272" t="s">
        <v>21</v>
      </c>
    </row>
    <row r="26" spans="1:19" ht="15" x14ac:dyDescent="0.25">
      <c r="A26" s="558" t="s">
        <v>147</v>
      </c>
      <c r="B26" s="559"/>
      <c r="C26" s="559"/>
      <c r="D26" s="559"/>
      <c r="E26" s="559"/>
      <c r="F26" s="559"/>
      <c r="G26" s="559"/>
      <c r="H26" s="559"/>
      <c r="I26" s="559"/>
      <c r="J26" s="559"/>
      <c r="K26" s="559"/>
      <c r="L26" s="559"/>
      <c r="M26" s="559"/>
      <c r="N26" s="559"/>
      <c r="O26" s="559"/>
      <c r="P26" s="560"/>
    </row>
    <row r="27" spans="1:19" x14ac:dyDescent="0.2">
      <c r="A27" s="62" t="s">
        <v>22</v>
      </c>
      <c r="B27" s="21">
        <f>[3]Delta!$FQ$15</f>
        <v>426</v>
      </c>
      <c r="C27" s="21">
        <f>'[3]Atlantic Southeast'!$FQ$15</f>
        <v>0</v>
      </c>
      <c r="D27" s="21">
        <f>[3]Pinnacle!$FQ$15</f>
        <v>92</v>
      </c>
      <c r="E27" s="21">
        <f>[3]Compass!$FQ$15</f>
        <v>0</v>
      </c>
      <c r="F27" s="21">
        <f>'[3]Sky West'!$FQ$15</f>
        <v>190</v>
      </c>
      <c r="G27" s="21">
        <f>'[3]Go Jet'!$FQ$15</f>
        <v>49</v>
      </c>
      <c r="H27" s="21">
        <f>'[3]Sun Country'!$FQ$15</f>
        <v>149</v>
      </c>
      <c r="I27" s="21">
        <f>[3]Icelandair!$FQ$15</f>
        <v>20</v>
      </c>
      <c r="J27" s="21">
        <f>[3]KLM!$FQ$15</f>
        <v>8</v>
      </c>
      <c r="K27" s="21">
        <f>'[3]Air Georgian'!$FQ$15</f>
        <v>0</v>
      </c>
      <c r="L27" s="21">
        <f>'[3]Sky Regional'!$FQ$15</f>
        <v>81</v>
      </c>
      <c r="M27" s="21">
        <f>[3]Condor!$FQ$15</f>
        <v>0</v>
      </c>
      <c r="N27" s="21">
        <f>'[3]Air France'!$FQ$15</f>
        <v>0</v>
      </c>
      <c r="O27" s="21">
        <f>'[3]Charter Misc'!$FQ$15+[3]Ryan!$FQ$15+[3]Omni!$FQ$15</f>
        <v>0</v>
      </c>
      <c r="P27" s="281">
        <f>SUM(B27:O27)</f>
        <v>1015</v>
      </c>
    </row>
    <row r="28" spans="1:19" x14ac:dyDescent="0.2">
      <c r="A28" s="62" t="s">
        <v>23</v>
      </c>
      <c r="B28" s="21">
        <f>[3]Delta!$FQ$16</f>
        <v>434</v>
      </c>
      <c r="C28" s="21">
        <f>'[3]Atlantic Southeast'!$FQ$16</f>
        <v>0</v>
      </c>
      <c r="D28" s="21">
        <f>[3]Pinnacle!$FQ$16</f>
        <v>95</v>
      </c>
      <c r="E28" s="21">
        <f>[3]Compass!$FQ$16</f>
        <v>0</v>
      </c>
      <c r="F28" s="21">
        <f>'[3]Sky West'!$FQ$16</f>
        <v>193</v>
      </c>
      <c r="G28" s="21">
        <f>'[3]Go Jet'!$FQ$16</f>
        <v>47</v>
      </c>
      <c r="H28" s="21">
        <f>'[3]Sun Country'!$FQ$16</f>
        <v>143</v>
      </c>
      <c r="I28" s="21">
        <f>[3]Icelandair!$FQ$16</f>
        <v>20</v>
      </c>
      <c r="J28" s="21">
        <f>[3]KLM!$FQ$16</f>
        <v>8</v>
      </c>
      <c r="K28" s="21">
        <f>'[3]Air Georgian'!$FQ$16</f>
        <v>0</v>
      </c>
      <c r="L28" s="21">
        <f>'[3]Sky Regional'!$FQ$16</f>
        <v>81</v>
      </c>
      <c r="M28" s="21">
        <f>[3]Condor!$FQ$16</f>
        <v>0</v>
      </c>
      <c r="N28" s="21">
        <f>'[3]Air France'!$FQ$16</f>
        <v>0</v>
      </c>
      <c r="O28" s="21">
        <f>'[3]Charter Misc'!$FQ$16+[3]Ryan!$FQ$16+[3]Omni!$FQ$16</f>
        <v>0</v>
      </c>
      <c r="P28" s="281">
        <f>SUM(B28:O28)</f>
        <v>1021</v>
      </c>
    </row>
    <row r="29" spans="1:19" x14ac:dyDescent="0.2">
      <c r="A29" s="6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81"/>
    </row>
    <row r="30" spans="1:19" ht="15.75" thickBot="1" x14ac:dyDescent="0.3">
      <c r="A30" s="63" t="s">
        <v>28</v>
      </c>
      <c r="B30" s="382">
        <f t="shared" ref="B30:K30" si="20">SUM(B27:B28)</f>
        <v>860</v>
      </c>
      <c r="C30" s="382">
        <f t="shared" si="20"/>
        <v>0</v>
      </c>
      <c r="D30" s="382">
        <f t="shared" si="20"/>
        <v>187</v>
      </c>
      <c r="E30" s="382">
        <f t="shared" si="20"/>
        <v>0</v>
      </c>
      <c r="F30" s="382">
        <f>SUM(F27:F28)</f>
        <v>383</v>
      </c>
      <c r="G30" s="382">
        <f>SUM(G27:G28)</f>
        <v>96</v>
      </c>
      <c r="H30" s="382">
        <f t="shared" si="20"/>
        <v>292</v>
      </c>
      <c r="I30" s="382">
        <f t="shared" si="20"/>
        <v>40</v>
      </c>
      <c r="J30" s="382">
        <f t="shared" ref="J30" si="21">SUM(J27:J28)</f>
        <v>16</v>
      </c>
      <c r="K30" s="382">
        <f t="shared" si="20"/>
        <v>0</v>
      </c>
      <c r="L30" s="382">
        <f t="shared" ref="L30" si="22">SUM(L27:L28)</f>
        <v>162</v>
      </c>
      <c r="M30" s="382">
        <f>SUM(M27:M28)</f>
        <v>0</v>
      </c>
      <c r="N30" s="382">
        <f>SUM(N27:N28)</f>
        <v>0</v>
      </c>
      <c r="O30" s="382">
        <f>SUM(O27:O28)</f>
        <v>0</v>
      </c>
      <c r="P30" s="383">
        <f>SUM(B30:O30)</f>
        <v>2036</v>
      </c>
    </row>
    <row r="31" spans="1:19" ht="15" x14ac:dyDescent="0.25">
      <c r="A31" s="384"/>
    </row>
    <row r="32" spans="1:19" ht="39" thickBot="1" x14ac:dyDescent="0.25">
      <c r="B32" s="12" t="s">
        <v>18</v>
      </c>
      <c r="C32" s="502" t="s">
        <v>222</v>
      </c>
      <c r="D32" s="424" t="s">
        <v>163</v>
      </c>
      <c r="E32" s="12" t="s">
        <v>120</v>
      </c>
      <c r="F32" s="12" t="s">
        <v>100</v>
      </c>
      <c r="G32" s="272" t="s">
        <v>169</v>
      </c>
      <c r="H32" s="12" t="s">
        <v>142</v>
      </c>
      <c r="I32" s="12" t="s">
        <v>116</v>
      </c>
      <c r="J32" s="272" t="s">
        <v>216</v>
      </c>
      <c r="K32" s="272" t="s">
        <v>210</v>
      </c>
      <c r="L32" s="272" t="s">
        <v>223</v>
      </c>
      <c r="M32" s="272" t="s">
        <v>168</v>
      </c>
      <c r="N32" s="12" t="s">
        <v>162</v>
      </c>
      <c r="O32" s="12" t="s">
        <v>143</v>
      </c>
      <c r="P32" s="272" t="s">
        <v>145</v>
      </c>
    </row>
    <row r="33" spans="1:16" ht="15" x14ac:dyDescent="0.25">
      <c r="A33" s="561" t="s">
        <v>148</v>
      </c>
      <c r="B33" s="562"/>
      <c r="C33" s="562"/>
      <c r="D33" s="562"/>
      <c r="E33" s="562"/>
      <c r="F33" s="562"/>
      <c r="G33" s="562"/>
      <c r="H33" s="562"/>
      <c r="I33" s="562"/>
      <c r="J33" s="562"/>
      <c r="K33" s="562"/>
      <c r="L33" s="562"/>
      <c r="M33" s="562"/>
      <c r="N33" s="562"/>
      <c r="O33" s="562"/>
      <c r="P33" s="563"/>
    </row>
    <row r="34" spans="1:16" x14ac:dyDescent="0.2">
      <c r="A34" s="62" t="s">
        <v>22</v>
      </c>
      <c r="B34" s="21">
        <f>SUM([3]Delta!$FN$15:$FQ$15)</f>
        <v>2146</v>
      </c>
      <c r="C34" s="21">
        <f>SUM('[3]Atlantic Southeast'!$FN$15:$FQ$15)</f>
        <v>45</v>
      </c>
      <c r="D34" s="21">
        <f>SUM([3]Pinnacle!$FN$15:$FQ$15)</f>
        <v>332</v>
      </c>
      <c r="E34" s="21">
        <f>SUM([3]Compass!$FN$15:$FQ$15)</f>
        <v>1</v>
      </c>
      <c r="F34" s="21">
        <f>SUM('[3]Sky West'!$FN$15:$FQ$15)</f>
        <v>782</v>
      </c>
      <c r="G34" s="21">
        <f>SUM('[3]Go Jet'!$FN$15:$FQ$15)</f>
        <v>149</v>
      </c>
      <c r="H34" s="21">
        <f>SUM('[3]Sun Country'!$FN$15:$FQ$15)</f>
        <v>975</v>
      </c>
      <c r="I34" s="21">
        <f>SUM([3]Icelandair!$FN$15:$FQ$15)</f>
        <v>42</v>
      </c>
      <c r="J34" s="21">
        <f>SUM([3]KLM!$FN$15:$FQ$15)</f>
        <v>47</v>
      </c>
      <c r="K34" s="21">
        <f>SUM('[3]Air Georgian'!$FN$15:$FQ$15)</f>
        <v>0</v>
      </c>
      <c r="L34" s="21">
        <f>SUM('[3]Sky Regional'!$FN$15:$FQ$15)</f>
        <v>322</v>
      </c>
      <c r="M34" s="21">
        <f>SUM([3]Condor!$FN$15:$FQ$15)</f>
        <v>0</v>
      </c>
      <c r="N34" s="21">
        <f>SUM('[3]Air France'!$FN$15:$FQ$15)</f>
        <v>0</v>
      </c>
      <c r="O34" s="21">
        <f>SUM('[3]Charter Misc'!$FN$15:$FQ$15)+SUM([3]Ryan!$FN$15:$FQ$15)+SUM([3]Omni!$FN$15:$FQ$15)</f>
        <v>0</v>
      </c>
      <c r="P34" s="281">
        <f>SUM(B34:O34)</f>
        <v>4841</v>
      </c>
    </row>
    <row r="35" spans="1:16" x14ac:dyDescent="0.2">
      <c r="A35" s="62" t="s">
        <v>23</v>
      </c>
      <c r="B35" s="21">
        <f>SUM([3]Delta!$FN$16:$FQ$16)</f>
        <v>2166</v>
      </c>
      <c r="C35" s="21">
        <f>SUM('[3]Atlantic Southeast'!$FN$16:$FQ$16)</f>
        <v>54</v>
      </c>
      <c r="D35" s="21">
        <f>SUM([3]Pinnacle!$FN$16:$FQ$16)</f>
        <v>330</v>
      </c>
      <c r="E35" s="21">
        <f>SUM([3]Compass!$FN$16:$FQ$16)</f>
        <v>0</v>
      </c>
      <c r="F35" s="21">
        <f>SUM('[3]Sky West'!$FN$16:$FQ$16)</f>
        <v>785</v>
      </c>
      <c r="G35" s="21">
        <f>SUM('[3]Go Jet'!$FN$16:$FQ$16)</f>
        <v>146</v>
      </c>
      <c r="H35" s="21">
        <f>SUM('[3]Sun Country'!$FN$16:$FQ$16)</f>
        <v>969</v>
      </c>
      <c r="I35" s="21">
        <f>SUM([3]Icelandair!$FN$16:$FQ$16)</f>
        <v>42</v>
      </c>
      <c r="J35" s="21">
        <f>SUM([3]KLM!$FN$16:$FQ$16)</f>
        <v>47</v>
      </c>
      <c r="K35" s="21">
        <f>SUM('[3]Air Georgian'!$FN$16:$FQ$16)</f>
        <v>0</v>
      </c>
      <c r="L35" s="21">
        <f>SUM('[3]Sky Regional'!$FN$16:$FQ$16)</f>
        <v>322</v>
      </c>
      <c r="M35" s="21">
        <f>SUM([3]Condor!$FN$16:$FQ$16)</f>
        <v>0</v>
      </c>
      <c r="N35" s="21">
        <f>SUM('[3]Air France'!$FN$16:$FQ$16)</f>
        <v>0</v>
      </c>
      <c r="O35" s="21">
        <f>SUM('[3]Charter Misc'!$FN$16:$FQ$16)+SUM([3]Ryan!$FN$16:$FQ$16)+SUM([3]Omni!$FN$16:$FQ$16)</f>
        <v>0</v>
      </c>
      <c r="P35" s="281">
        <f>SUM(B35:O35)</f>
        <v>4861</v>
      </c>
    </row>
    <row r="36" spans="1:16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81"/>
    </row>
    <row r="37" spans="1:16" ht="15.75" thickBot="1" x14ac:dyDescent="0.3">
      <c r="A37" s="63" t="s">
        <v>28</v>
      </c>
      <c r="B37" s="382">
        <f t="shared" ref="B37:K37" si="23">+SUM(B34:B35)</f>
        <v>4312</v>
      </c>
      <c r="C37" s="382">
        <f t="shared" si="23"/>
        <v>99</v>
      </c>
      <c r="D37" s="382">
        <f t="shared" si="23"/>
        <v>662</v>
      </c>
      <c r="E37" s="382">
        <f t="shared" si="23"/>
        <v>1</v>
      </c>
      <c r="F37" s="382">
        <f>+SUM(F34:F35)</f>
        <v>1567</v>
      </c>
      <c r="G37" s="382">
        <f>+SUM(G34:G35)</f>
        <v>295</v>
      </c>
      <c r="H37" s="382">
        <f t="shared" si="23"/>
        <v>1944</v>
      </c>
      <c r="I37" s="382">
        <f t="shared" si="23"/>
        <v>84</v>
      </c>
      <c r="J37" s="382">
        <f t="shared" ref="J37" si="24">+SUM(J34:J35)</f>
        <v>94</v>
      </c>
      <c r="K37" s="382">
        <f t="shared" si="23"/>
        <v>0</v>
      </c>
      <c r="L37" s="382">
        <f t="shared" ref="L37" si="25">+SUM(L34:L35)</f>
        <v>644</v>
      </c>
      <c r="M37" s="382">
        <f>+SUM(M34:M35)</f>
        <v>0</v>
      </c>
      <c r="N37" s="382">
        <f>+SUM(N34:N35)</f>
        <v>0</v>
      </c>
      <c r="O37" s="382">
        <f>+SUM(O34:O35)</f>
        <v>0</v>
      </c>
      <c r="P37" s="383">
        <f>SUM(B37:O37)</f>
        <v>9702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&amp;"Arial,Bold"April 2018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04"/>
  <sheetViews>
    <sheetView topLeftCell="A22" zoomScaleNormal="100" zoomScaleSheetLayoutView="85" workbookViewId="0">
      <selection activeCell="D54" sqref="D54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9.28515625" style="3" bestFit="1" customWidth="1"/>
    <col min="6" max="6" width="8.5703125" style="225" bestFit="1" customWidth="1"/>
    <col min="7" max="7" width="8.5703125" style="2" bestFit="1" customWidth="1"/>
    <col min="8" max="8" width="9.28515625" style="3" bestFit="1" customWidth="1"/>
    <col min="9" max="9" width="8.7109375" style="3" bestFit="1" customWidth="1"/>
    <col min="10" max="10" width="4.140625" style="37" customWidth="1"/>
    <col min="11" max="11" width="19.85546875" style="232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9.28515625" bestFit="1" customWidth="1"/>
    <col min="18" max="18" width="8.28515625" bestFit="1" customWidth="1"/>
    <col min="19" max="19" width="21.85546875" customWidth="1"/>
  </cols>
  <sheetData>
    <row r="1" spans="1:19" s="224" customFormat="1" ht="26.25" thickBot="1" x14ac:dyDescent="0.25">
      <c r="A1" s="567" t="s">
        <v>135</v>
      </c>
      <c r="B1" s="568"/>
      <c r="C1" s="455" t="s">
        <v>217</v>
      </c>
      <c r="D1" s="456" t="s">
        <v>192</v>
      </c>
      <c r="E1" s="267" t="s">
        <v>98</v>
      </c>
      <c r="F1" s="266" t="s">
        <v>218</v>
      </c>
      <c r="G1" s="456" t="s">
        <v>193</v>
      </c>
      <c r="H1" s="265" t="s">
        <v>99</v>
      </c>
      <c r="I1" s="267" t="s">
        <v>140</v>
      </c>
      <c r="J1" s="573" t="s">
        <v>139</v>
      </c>
      <c r="K1" s="574"/>
      <c r="L1" s="453" t="s">
        <v>219</v>
      </c>
      <c r="M1" s="454" t="s">
        <v>194</v>
      </c>
      <c r="N1" s="341" t="s">
        <v>99</v>
      </c>
      <c r="O1" s="494" t="s">
        <v>220</v>
      </c>
      <c r="P1" s="268" t="s">
        <v>195</v>
      </c>
      <c r="Q1" s="490" t="s">
        <v>99</v>
      </c>
      <c r="R1" s="495" t="s">
        <v>221</v>
      </c>
    </row>
    <row r="2" spans="1:19" s="224" customFormat="1" ht="13.5" customHeight="1" thickBot="1" x14ac:dyDescent="0.25">
      <c r="A2" s="569">
        <v>43191</v>
      </c>
      <c r="B2" s="570"/>
      <c r="C2" s="571" t="s">
        <v>9</v>
      </c>
      <c r="D2" s="572"/>
      <c r="E2" s="572"/>
      <c r="F2" s="572"/>
      <c r="G2" s="572"/>
      <c r="H2" s="572"/>
      <c r="I2" s="457"/>
      <c r="J2" s="569">
        <f>+A2</f>
        <v>43191</v>
      </c>
      <c r="K2" s="570"/>
      <c r="L2" s="564" t="s">
        <v>141</v>
      </c>
      <c r="M2" s="565"/>
      <c r="N2" s="565"/>
      <c r="O2" s="565"/>
      <c r="P2" s="565"/>
      <c r="Q2" s="565"/>
      <c r="R2" s="566"/>
    </row>
    <row r="3" spans="1:19" x14ac:dyDescent="0.2">
      <c r="A3" s="342"/>
      <c r="B3" s="343"/>
      <c r="C3" s="344"/>
      <c r="D3" s="345"/>
      <c r="E3" s="346"/>
      <c r="F3" s="412"/>
      <c r="G3" s="413"/>
      <c r="H3" s="487"/>
      <c r="I3" s="346"/>
      <c r="J3" s="347"/>
      <c r="K3" s="343"/>
      <c r="L3" s="496"/>
      <c r="M3" s="5"/>
      <c r="N3" s="85"/>
      <c r="O3" s="342"/>
      <c r="P3" s="348"/>
      <c r="Q3" s="348"/>
      <c r="R3" s="343"/>
    </row>
    <row r="4" spans="1:19" ht="14.1" customHeight="1" x14ac:dyDescent="0.2">
      <c r="A4" s="349" t="s">
        <v>101</v>
      </c>
      <c r="B4" s="55"/>
      <c r="C4" s="350">
        <f>SUM(C5:C7)</f>
        <v>162</v>
      </c>
      <c r="D4" s="352">
        <f>SUM(D5:D7)</f>
        <v>170</v>
      </c>
      <c r="E4" s="353">
        <f>(C4-D4)/D4</f>
        <v>-4.7058823529411764E-2</v>
      </c>
      <c r="F4" s="350">
        <f>SUM(F5:F7)</f>
        <v>644</v>
      </c>
      <c r="G4" s="352">
        <f>SUM(G5:G7)</f>
        <v>674</v>
      </c>
      <c r="H4" s="351">
        <f>(F4-G4)/G4</f>
        <v>-4.4510385756676561E-2</v>
      </c>
      <c r="I4" s="353">
        <f>F4/$F$65</f>
        <v>5.4753989644354129E-3</v>
      </c>
      <c r="J4" s="349" t="s">
        <v>101</v>
      </c>
      <c r="K4" s="55"/>
      <c r="L4" s="350">
        <f>SUM(L5:L7)</f>
        <v>8347</v>
      </c>
      <c r="M4" s="352">
        <f>SUM(M5:M7)</f>
        <v>6905</v>
      </c>
      <c r="N4" s="353">
        <f>(L4-M4)/M4</f>
        <v>0.20883417813178856</v>
      </c>
      <c r="O4" s="350">
        <f>SUM(O5:O7)</f>
        <v>32517</v>
      </c>
      <c r="P4" s="352">
        <f>SUM(P5:P7)</f>
        <v>25992</v>
      </c>
      <c r="Q4" s="351">
        <f>(O4-P4)/P4</f>
        <v>0.25103878116343492</v>
      </c>
      <c r="R4" s="353">
        <f>O4/$O$65</f>
        <v>2.8479830268374469E-3</v>
      </c>
      <c r="S4" s="20"/>
    </row>
    <row r="5" spans="1:19" ht="14.1" customHeight="1" x14ac:dyDescent="0.2">
      <c r="A5" s="349"/>
      <c r="B5" s="426" t="s">
        <v>101</v>
      </c>
      <c r="C5" s="354">
        <f>+[3]AirCanada!$FQ$19</f>
        <v>0</v>
      </c>
      <c r="D5" s="9">
        <f>+[3]AirCanada!$FC$19</f>
        <v>0</v>
      </c>
      <c r="E5" s="86" t="e">
        <f>(C5-D5)/D5</f>
        <v>#DIV/0!</v>
      </c>
      <c r="F5" s="295">
        <f>SUM([3]AirCanada!$FN$19:$FQ$19)</f>
        <v>0</v>
      </c>
      <c r="G5" s="295">
        <f>SUM([3]AirCanada!$EZ$19:$FC$19)</f>
        <v>0</v>
      </c>
      <c r="H5" s="433" t="e">
        <f>(F5-G5)/G5</f>
        <v>#DIV/0!</v>
      </c>
      <c r="I5" s="86">
        <f>F5/$F$65</f>
        <v>0</v>
      </c>
      <c r="J5" s="349"/>
      <c r="K5" s="426" t="s">
        <v>101</v>
      </c>
      <c r="L5" s="432">
        <f>+[3]AirCanada!$FQ$41</f>
        <v>0</v>
      </c>
      <c r="M5" s="295">
        <f>+[3]AirCanada!$FC$41</f>
        <v>0</v>
      </c>
      <c r="N5" s="434" t="e">
        <f>(L5-M5)/M5</f>
        <v>#DIV/0!</v>
      </c>
      <c r="O5" s="432">
        <f>SUM([3]AirCanada!$FN$41:$FQ$41)</f>
        <v>0</v>
      </c>
      <c r="P5" s="295">
        <f>SUM([3]AirCanada!$EZ$41:$FC$41)</f>
        <v>0</v>
      </c>
      <c r="Q5" s="433" t="e">
        <f>(O5-P5)/P5</f>
        <v>#DIV/0!</v>
      </c>
      <c r="R5" s="434">
        <f>O5/$O$65</f>
        <v>0</v>
      </c>
      <c r="S5" s="20"/>
    </row>
    <row r="6" spans="1:19" ht="14.1" customHeight="1" x14ac:dyDescent="0.2">
      <c r="A6" s="349"/>
      <c r="B6" s="426" t="s">
        <v>172</v>
      </c>
      <c r="C6" s="354">
        <f>'[3]Air Georgian'!$FQ$19</f>
        <v>0</v>
      </c>
      <c r="D6" s="9">
        <f>'[3]Air Georgian'!$FC$19</f>
        <v>170</v>
      </c>
      <c r="E6" s="86">
        <f>(C6-D6)/D6</f>
        <v>-1</v>
      </c>
      <c r="F6" s="295">
        <f>SUM('[3]Air Georgian'!$FN$19:$FQ$19)</f>
        <v>0</v>
      </c>
      <c r="G6" s="295">
        <f>SUM('[3]Air Georgian'!$EZ$19:$FC$19)</f>
        <v>674</v>
      </c>
      <c r="H6" s="433">
        <f>(F6-G6)/G6</f>
        <v>-1</v>
      </c>
      <c r="I6" s="86">
        <f>F6/$F$65</f>
        <v>0</v>
      </c>
      <c r="J6" s="349"/>
      <c r="K6" s="426" t="s">
        <v>172</v>
      </c>
      <c r="L6" s="354">
        <f>'[3]Air Georgian'!$FQ$41</f>
        <v>0</v>
      </c>
      <c r="M6" s="9">
        <f>'[3]Air Georgian'!$FC$41</f>
        <v>6905</v>
      </c>
      <c r="N6" s="86">
        <f>(L6-M6)/M6</f>
        <v>-1</v>
      </c>
      <c r="O6" s="354">
        <f>SUM('[3]Air Georgian'!$FN$41:$FQ$41)</f>
        <v>0</v>
      </c>
      <c r="P6" s="9">
        <f>SUM('[3]Air Georgian'!$EZ$41:$FC$41)</f>
        <v>25992</v>
      </c>
      <c r="Q6" s="39">
        <f>(O6-P6)/P6</f>
        <v>-1</v>
      </c>
      <c r="R6" s="86">
        <f>O6/$O$65</f>
        <v>0</v>
      </c>
      <c r="S6" s="20"/>
    </row>
    <row r="7" spans="1:19" ht="14.1" customHeight="1" x14ac:dyDescent="0.2">
      <c r="A7" s="349"/>
      <c r="B7" s="426" t="s">
        <v>214</v>
      </c>
      <c r="C7" s="354">
        <f>'[3]Sky Regional'!$FQ$19</f>
        <v>162</v>
      </c>
      <c r="D7" s="9">
        <f>'[3]Sky Regional'!$FC$19</f>
        <v>0</v>
      </c>
      <c r="E7" s="86" t="e">
        <f>(C7-D7)/D7</f>
        <v>#DIV/0!</v>
      </c>
      <c r="F7" s="295">
        <f>SUM('[3]Sky Regional'!$FN$19:$FQ$19)</f>
        <v>644</v>
      </c>
      <c r="G7" s="295">
        <f>SUM('[3]Sky Regional'!$EZ$19:$FC$19)</f>
        <v>0</v>
      </c>
      <c r="H7" s="433" t="e">
        <f>(F7-G7)/G7</f>
        <v>#DIV/0!</v>
      </c>
      <c r="I7" s="86">
        <f>F7/$F$65</f>
        <v>5.4753989644354129E-3</v>
      </c>
      <c r="J7" s="349"/>
      <c r="K7" s="426" t="s">
        <v>214</v>
      </c>
      <c r="L7" s="354">
        <f>'[3]Sky Regional'!$FQ$41</f>
        <v>8347</v>
      </c>
      <c r="M7" s="9">
        <f>'[3]Sky Regional'!$FC$41</f>
        <v>0</v>
      </c>
      <c r="N7" s="86" t="e">
        <f>(L7-M7)/M7</f>
        <v>#DIV/0!</v>
      </c>
      <c r="O7" s="354">
        <f>SUM('[3]Sky Regional'!$FN$41:$FQ$41)</f>
        <v>32517</v>
      </c>
      <c r="P7" s="9">
        <f>SUM('[3]Sky Regional'!$EZ$41:$FC$41)</f>
        <v>0</v>
      </c>
      <c r="Q7" s="39" t="e">
        <f>(O7-P7)/P7</f>
        <v>#DIV/0!</v>
      </c>
      <c r="R7" s="86">
        <f>O7/$O$65</f>
        <v>2.8479830268374469E-3</v>
      </c>
      <c r="S7" s="20"/>
    </row>
    <row r="8" spans="1:19" ht="14.1" customHeight="1" x14ac:dyDescent="0.2">
      <c r="A8" s="349"/>
      <c r="B8" s="55"/>
      <c r="C8" s="350"/>
      <c r="D8" s="352"/>
      <c r="E8" s="353"/>
      <c r="F8" s="352"/>
      <c r="G8" s="352"/>
      <c r="H8" s="351"/>
      <c r="I8" s="353"/>
      <c r="J8" s="349"/>
      <c r="K8" s="55"/>
      <c r="L8" s="354"/>
      <c r="M8" s="9"/>
      <c r="N8" s="86"/>
      <c r="O8" s="354"/>
      <c r="P8" s="9"/>
      <c r="Q8" s="39"/>
      <c r="R8" s="86"/>
      <c r="S8" s="20"/>
    </row>
    <row r="9" spans="1:19" ht="14.1" customHeight="1" x14ac:dyDescent="0.2">
      <c r="A9" s="349" t="s">
        <v>196</v>
      </c>
      <c r="B9" s="55"/>
      <c r="C9" s="350">
        <f>'[3]Air Choice One'!$FQ$19</f>
        <v>172</v>
      </c>
      <c r="D9" s="352">
        <f>'[3]Air Choice One'!$FC$19</f>
        <v>240</v>
      </c>
      <c r="E9" s="353">
        <f>(C9-D9)/D9</f>
        <v>-0.28333333333333333</v>
      </c>
      <c r="F9" s="352">
        <f>SUM('[3]Air Choice One'!$FN$19:$FQ$19)</f>
        <v>816</v>
      </c>
      <c r="G9" s="352">
        <f>SUM('[3]Air Choice One'!$EZ$19:$FC$19)</f>
        <v>958</v>
      </c>
      <c r="H9" s="351">
        <f>(F9-G9)/G9</f>
        <v>-0.14822546972860126</v>
      </c>
      <c r="I9" s="353">
        <f>F9/$F$65</f>
        <v>6.9377726008995298E-3</v>
      </c>
      <c r="J9" s="349" t="s">
        <v>196</v>
      </c>
      <c r="K9" s="55"/>
      <c r="L9" s="350">
        <f>'[3]Air Choice One'!$FQ$41</f>
        <v>679</v>
      </c>
      <c r="M9" s="352">
        <f>'[3]Air Choice One'!$FC$41</f>
        <v>778</v>
      </c>
      <c r="N9" s="353">
        <f>(L9-M9)/M9</f>
        <v>-0.12724935732647816</v>
      </c>
      <c r="O9" s="350">
        <f>SUM('[3]Air Choice One'!$FN$41:$FQ$41)</f>
        <v>3134</v>
      </c>
      <c r="P9" s="352">
        <f>SUM('[3]Air Choice One'!$EZ$41:$FC$41)</f>
        <v>3109</v>
      </c>
      <c r="Q9" s="351">
        <f>(O9-P9)/P9</f>
        <v>8.0411707944676742E-3</v>
      </c>
      <c r="R9" s="353">
        <f>O9/$O$65</f>
        <v>2.7448961485095671E-4</v>
      </c>
      <c r="S9" s="20"/>
    </row>
    <row r="10" spans="1:19" ht="14.1" customHeight="1" x14ac:dyDescent="0.2">
      <c r="A10" s="349"/>
      <c r="B10" s="55"/>
      <c r="C10" s="350"/>
      <c r="D10" s="352"/>
      <c r="E10" s="353"/>
      <c r="F10" s="352"/>
      <c r="G10" s="352"/>
      <c r="H10" s="351"/>
      <c r="I10" s="353"/>
      <c r="J10" s="349"/>
      <c r="K10" s="55"/>
      <c r="L10" s="354"/>
      <c r="M10" s="9"/>
      <c r="N10" s="86"/>
      <c r="O10" s="354"/>
      <c r="P10" s="9"/>
      <c r="Q10" s="39"/>
      <c r="R10" s="86"/>
      <c r="S10" s="20"/>
    </row>
    <row r="11" spans="1:19" ht="14.1" customHeight="1" x14ac:dyDescent="0.2">
      <c r="A11" s="349" t="s">
        <v>162</v>
      </c>
      <c r="B11" s="55"/>
      <c r="C11" s="350">
        <f>'[3]Air France'!$FQ$19</f>
        <v>0</v>
      </c>
      <c r="D11" s="352">
        <f>'[3]Air France'!$FC$19</f>
        <v>0</v>
      </c>
      <c r="E11" s="353" t="e">
        <f>(C11-D11)/D11</f>
        <v>#DIV/0!</v>
      </c>
      <c r="F11" s="352">
        <f>SUM('[3]Air France'!$FN$19:$FQ$19)</f>
        <v>0</v>
      </c>
      <c r="G11" s="352">
        <f>SUM('[3]Air France'!$EZ$19:$FC$19)</f>
        <v>0</v>
      </c>
      <c r="H11" s="351" t="e">
        <f>(F11-G11)/G11</f>
        <v>#DIV/0!</v>
      </c>
      <c r="I11" s="353">
        <f>F11/$F$65</f>
        <v>0</v>
      </c>
      <c r="J11" s="349" t="s">
        <v>162</v>
      </c>
      <c r="K11" s="55"/>
      <c r="L11" s="350">
        <f>'[3]Air France'!$FQ$41</f>
        <v>0</v>
      </c>
      <c r="M11" s="352">
        <f>'[3]Air France'!$FC$41</f>
        <v>0</v>
      </c>
      <c r="N11" s="353" t="e">
        <f>(L11-M11)/M11</f>
        <v>#DIV/0!</v>
      </c>
      <c r="O11" s="350">
        <f>SUM('[3]Air France'!$FN$41:$FQ$41)</f>
        <v>0</v>
      </c>
      <c r="P11" s="352">
        <f>SUM('[3]Air France'!$EZ$41:$FC$41)</f>
        <v>0</v>
      </c>
      <c r="Q11" s="351" t="e">
        <f>(O11-P11)/P11</f>
        <v>#DIV/0!</v>
      </c>
      <c r="R11" s="353">
        <f>O11/$O$65</f>
        <v>0</v>
      </c>
      <c r="S11" s="20"/>
    </row>
    <row r="12" spans="1:19" ht="14.1" customHeight="1" x14ac:dyDescent="0.2">
      <c r="A12" s="349"/>
      <c r="B12" s="55"/>
      <c r="C12" s="350"/>
      <c r="D12" s="352"/>
      <c r="E12" s="353"/>
      <c r="F12" s="352"/>
      <c r="G12" s="352"/>
      <c r="H12" s="351"/>
      <c r="I12" s="353"/>
      <c r="J12" s="349"/>
      <c r="K12" s="55"/>
      <c r="L12" s="354"/>
      <c r="M12" s="9"/>
      <c r="N12" s="86"/>
      <c r="O12" s="354"/>
      <c r="P12" s="9"/>
      <c r="Q12" s="39"/>
      <c r="R12" s="86"/>
      <c r="S12" s="20"/>
    </row>
    <row r="13" spans="1:19" ht="14.1" customHeight="1" x14ac:dyDescent="0.2">
      <c r="A13" s="349" t="s">
        <v>131</v>
      </c>
      <c r="B13" s="55"/>
      <c r="C13" s="350">
        <f>SUM(C14:C16)</f>
        <v>338</v>
      </c>
      <c r="D13" s="352">
        <f>SUM(D14:D16)</f>
        <v>181</v>
      </c>
      <c r="E13" s="353">
        <f>(C13-D13)/D13</f>
        <v>0.86740331491712708</v>
      </c>
      <c r="F13" s="352">
        <f>SUM(F14:F16)</f>
        <v>1266</v>
      </c>
      <c r="G13" s="352">
        <f>SUM(G14:G16)</f>
        <v>634</v>
      </c>
      <c r="H13" s="351">
        <f>(F13-G13)/G13</f>
        <v>0.99684542586750791</v>
      </c>
      <c r="I13" s="353">
        <f>F13/$F$65</f>
        <v>1.07637501381603E-2</v>
      </c>
      <c r="J13" s="349" t="s">
        <v>131</v>
      </c>
      <c r="K13" s="55"/>
      <c r="L13" s="350">
        <f>SUM(L14:L16)</f>
        <v>31188</v>
      </c>
      <c r="M13" s="352">
        <f>SUM(M14:M16)</f>
        <v>21711</v>
      </c>
      <c r="N13" s="353">
        <f>(L13-M13)/M13</f>
        <v>0.43650683985076688</v>
      </c>
      <c r="O13" s="350">
        <f>SUM(O14:O16)</f>
        <v>115962</v>
      </c>
      <c r="P13" s="352">
        <f>SUM(P14:P16)</f>
        <v>72300</v>
      </c>
      <c r="Q13" s="351">
        <f>(O13-P13)/P13</f>
        <v>0.60390041493775937</v>
      </c>
      <c r="R13" s="353">
        <f>O13/$O$65</f>
        <v>1.0156466087219733E-2</v>
      </c>
      <c r="S13" s="20"/>
    </row>
    <row r="14" spans="1:19" ht="14.1" customHeight="1" x14ac:dyDescent="0.2">
      <c r="A14" s="349"/>
      <c r="B14" s="426" t="s">
        <v>131</v>
      </c>
      <c r="C14" s="432">
        <f>[3]Alaska!$FQ$19</f>
        <v>108</v>
      </c>
      <c r="D14" s="295">
        <f>[3]Alaska!$FC$19</f>
        <v>121</v>
      </c>
      <c r="E14" s="434">
        <f>(C14-D14)/D14</f>
        <v>-0.10743801652892562</v>
      </c>
      <c r="F14" s="295">
        <f>SUM([3]Alaska!$FN$19:$FQ$19)</f>
        <v>462</v>
      </c>
      <c r="G14" s="295">
        <f>SUM([3]Alaska!$EZ$19:$FC$19)</f>
        <v>399</v>
      </c>
      <c r="H14" s="433">
        <f>(F14-G14)/G14</f>
        <v>0.15789473684210525</v>
      </c>
      <c r="I14" s="434">
        <f>F14/$F$65</f>
        <v>3.928003604921057E-3</v>
      </c>
      <c r="J14" s="349"/>
      <c r="K14" s="426" t="s">
        <v>131</v>
      </c>
      <c r="L14" s="432">
        <f>[3]Alaska!$FQ$41</f>
        <v>16226</v>
      </c>
      <c r="M14" s="295">
        <f>[3]Alaska!$FC$41</f>
        <v>17638</v>
      </c>
      <c r="N14" s="434">
        <f>(L14-M14)/M14</f>
        <v>-8.0054427939675696E-2</v>
      </c>
      <c r="O14" s="432">
        <f>SUM([3]Alaska!$FN$41:$FQ$41)</f>
        <v>64775</v>
      </c>
      <c r="P14" s="295">
        <f>SUM([3]Alaska!$EZ$41:$FC$41)</f>
        <v>57089</v>
      </c>
      <c r="Q14" s="433">
        <f>(O14-P14)/P14</f>
        <v>0.13463189055684982</v>
      </c>
      <c r="R14" s="434">
        <f>O14/$O$65</f>
        <v>5.6732816853767454E-3</v>
      </c>
      <c r="S14" s="20"/>
    </row>
    <row r="15" spans="1:19" ht="14.1" customHeight="1" x14ac:dyDescent="0.2">
      <c r="A15" s="349"/>
      <c r="B15" s="426" t="s">
        <v>100</v>
      </c>
      <c r="C15" s="354">
        <f>'[3]Sky West_AS'!$FQ$19</f>
        <v>114</v>
      </c>
      <c r="D15" s="9">
        <f>'[3]Sky West_AS'!$FC$19</f>
        <v>60</v>
      </c>
      <c r="E15" s="86">
        <f>(C15-D15)/D15</f>
        <v>0.9</v>
      </c>
      <c r="F15" s="9">
        <f>SUM('[3]Sky West_AS'!$FN$19:$FQ$19)</f>
        <v>422</v>
      </c>
      <c r="G15" s="9">
        <f>SUM('[3]Sky West_AS'!$EZ$19:$FC$19)</f>
        <v>235</v>
      </c>
      <c r="H15" s="39">
        <f>(F15-G15)/G15</f>
        <v>0.79574468085106387</v>
      </c>
      <c r="I15" s="86">
        <f>F15/$F$65</f>
        <v>3.5879167127201E-3</v>
      </c>
      <c r="J15" s="349"/>
      <c r="K15" s="426" t="s">
        <v>100</v>
      </c>
      <c r="L15" s="354">
        <f>'[3]Sky West_AS'!$FQ$41</f>
        <v>7676</v>
      </c>
      <c r="M15" s="9">
        <f>'[3]Sky West_AS'!$FC$41</f>
        <v>4073</v>
      </c>
      <c r="N15" s="86">
        <f>(L15-M15)/M15</f>
        <v>0.88460594156641292</v>
      </c>
      <c r="O15" s="354">
        <f>SUM('[3]Sky West_AS'!$FN$41:$FQ$41)</f>
        <v>27262</v>
      </c>
      <c r="P15" s="9">
        <f>SUM('[3]Sky West_AS'!$EZ$41:$FC$41)</f>
        <v>15211</v>
      </c>
      <c r="Q15" s="39">
        <f>(O15-P15)/P15</f>
        <v>0.79225560449674581</v>
      </c>
      <c r="R15" s="434">
        <f>O15/$O$65</f>
        <v>2.3877268283557058E-3</v>
      </c>
      <c r="S15" s="20"/>
    </row>
    <row r="16" spans="1:19" ht="14.1" customHeight="1" x14ac:dyDescent="0.2">
      <c r="A16" s="349"/>
      <c r="B16" s="426" t="s">
        <v>215</v>
      </c>
      <c r="C16" s="354">
        <f>[3]Horizon_AS!$FQ$19</f>
        <v>116</v>
      </c>
      <c r="D16" s="9">
        <f>[3]Horizon_AS!$FC$19</f>
        <v>0</v>
      </c>
      <c r="E16" s="86" t="e">
        <f>(C16-D16)/D16</f>
        <v>#DIV/0!</v>
      </c>
      <c r="F16" s="9">
        <f>SUM([3]Horizon_AS!$FN$19:$FQ$19)</f>
        <v>382</v>
      </c>
      <c r="G16" s="9">
        <f>SUM([3]Horizon_AS!$EZ$19:$FC$19)</f>
        <v>0</v>
      </c>
      <c r="H16" s="39" t="e">
        <f>(F16-G16)/G16</f>
        <v>#DIV/0!</v>
      </c>
      <c r="I16" s="86">
        <f>F16/$F$65</f>
        <v>3.2478298205191425E-3</v>
      </c>
      <c r="J16" s="349"/>
      <c r="K16" s="426" t="s">
        <v>215</v>
      </c>
      <c r="L16" s="354">
        <f>[3]Horizon_AS!$FQ$41</f>
        <v>7286</v>
      </c>
      <c r="M16" s="9">
        <f>[3]Horizon_AS!$FC$41</f>
        <v>0</v>
      </c>
      <c r="N16" s="86" t="e">
        <f>(L16-M16)/M16</f>
        <v>#DIV/0!</v>
      </c>
      <c r="O16" s="354">
        <f>SUM([3]Horizon_AS!$FN$41:$FQ$41)</f>
        <v>23925</v>
      </c>
      <c r="P16" s="9">
        <f>SUM([3]Horizon_AS!$EZ$41:$FC$41)</f>
        <v>0</v>
      </c>
      <c r="Q16" s="39" t="e">
        <f>(O16-P16)/P16</f>
        <v>#DIV/0!</v>
      </c>
      <c r="R16" s="434">
        <f>O16/$O$65</f>
        <v>2.0954575734872809E-3</v>
      </c>
      <c r="S16" s="20"/>
    </row>
    <row r="17" spans="1:22" ht="14.1" customHeight="1" x14ac:dyDescent="0.2">
      <c r="A17" s="349"/>
      <c r="B17" s="55"/>
      <c r="C17" s="350"/>
      <c r="D17" s="355"/>
      <c r="E17" s="353"/>
      <c r="F17" s="355"/>
      <c r="G17" s="355"/>
      <c r="H17" s="351"/>
      <c r="I17" s="353"/>
      <c r="J17" s="349"/>
      <c r="K17" s="55"/>
      <c r="L17" s="356"/>
      <c r="M17" s="146"/>
      <c r="N17" s="86"/>
      <c r="O17" s="356"/>
      <c r="P17" s="146"/>
      <c r="Q17" s="39"/>
      <c r="R17" s="86"/>
      <c r="S17" s="20"/>
    </row>
    <row r="18" spans="1:22" ht="14.1" customHeight="1" x14ac:dyDescent="0.2">
      <c r="A18" s="349" t="s">
        <v>17</v>
      </c>
      <c r="B18" s="362"/>
      <c r="C18" s="350">
        <f>SUM(C19:C25)</f>
        <v>1665</v>
      </c>
      <c r="D18" s="352">
        <f>SUM(D19:D25)</f>
        <v>1992</v>
      </c>
      <c r="E18" s="353">
        <f t="shared" ref="E18:E25" si="0">(C18-D18)/D18</f>
        <v>-0.16415662650602408</v>
      </c>
      <c r="F18" s="350">
        <f>SUM(F19:F25)</f>
        <v>6631</v>
      </c>
      <c r="G18" s="352">
        <f>SUM(G19:G25)</f>
        <v>7468</v>
      </c>
      <c r="H18" s="351">
        <f t="shared" ref="H18:H25" si="1">(F18-G18)/G18</f>
        <v>-0.11207820032137118</v>
      </c>
      <c r="I18" s="353">
        <f t="shared" ref="I18:I25" si="2">F18/$F$65</f>
        <v>5.6377904554613702E-2</v>
      </c>
      <c r="J18" s="349" t="s">
        <v>17</v>
      </c>
      <c r="K18" s="357"/>
      <c r="L18" s="350">
        <f>SUM(L19:L25)</f>
        <v>168387</v>
      </c>
      <c r="M18" s="352">
        <f>SUM(M19:M25)</f>
        <v>201173</v>
      </c>
      <c r="N18" s="353">
        <f t="shared" ref="N18:N25" si="3">(L18-M18)/M18</f>
        <v>-0.16297415657170694</v>
      </c>
      <c r="O18" s="350">
        <f>SUM(O19:O25)</f>
        <v>678578</v>
      </c>
      <c r="P18" s="352">
        <f>SUM(P19:P25)</f>
        <v>765434</v>
      </c>
      <c r="Q18" s="351">
        <f t="shared" ref="Q18:Q25" si="4">(O18-P18)/P18</f>
        <v>-0.11347287943833172</v>
      </c>
      <c r="R18" s="353">
        <f t="shared" ref="R18:R25" si="5">O18/$O$65</f>
        <v>5.9432869772282224E-2</v>
      </c>
      <c r="S18" s="20"/>
    </row>
    <row r="19" spans="1:22" ht="14.1" customHeight="1" x14ac:dyDescent="0.2">
      <c r="A19" s="53"/>
      <c r="B19" s="359" t="s">
        <v>17</v>
      </c>
      <c r="C19" s="354">
        <f>[3]American!$FQ$19</f>
        <v>1030</v>
      </c>
      <c r="D19" s="9">
        <f>[3]American!$FC$19</f>
        <v>1498</v>
      </c>
      <c r="E19" s="86">
        <f t="shared" si="0"/>
        <v>-0.31241655540720964</v>
      </c>
      <c r="F19" s="9">
        <f>SUM([3]American!$FN$19:$FQ$19)</f>
        <v>4400</v>
      </c>
      <c r="G19" s="9">
        <f>SUM([3]American!$EZ$19:$FC$19)</f>
        <v>5996</v>
      </c>
      <c r="H19" s="39">
        <f t="shared" si="1"/>
        <v>-0.26617745163442297</v>
      </c>
      <c r="I19" s="86">
        <f t="shared" si="2"/>
        <v>3.7409558142105309E-2</v>
      </c>
      <c r="J19" s="53"/>
      <c r="K19" s="358" t="s">
        <v>17</v>
      </c>
      <c r="L19" s="354">
        <f>[3]American!$FQ$41</f>
        <v>130594</v>
      </c>
      <c r="M19" s="9">
        <f>[3]American!$FC$41</f>
        <v>175346</v>
      </c>
      <c r="N19" s="86">
        <f t="shared" si="3"/>
        <v>-0.25522110569958822</v>
      </c>
      <c r="O19" s="354">
        <f>SUM([3]American!$FN$41:$FQ$41)</f>
        <v>554348</v>
      </c>
      <c r="P19" s="9">
        <f>SUM([3]American!$EZ$41:$FC$41)</f>
        <v>696999</v>
      </c>
      <c r="Q19" s="39">
        <f t="shared" si="4"/>
        <v>-0.20466456910268163</v>
      </c>
      <c r="R19" s="86">
        <f t="shared" si="5"/>
        <v>4.8552255588193406E-2</v>
      </c>
      <c r="S19" s="20"/>
    </row>
    <row r="20" spans="1:22" ht="14.1" customHeight="1" x14ac:dyDescent="0.2">
      <c r="A20" s="53"/>
      <c r="B20" s="427" t="s">
        <v>173</v>
      </c>
      <c r="C20" s="354">
        <f>'[3]American Eagle'!$FQ$19</f>
        <v>137</v>
      </c>
      <c r="D20" s="9">
        <f>'[3]American Eagle'!$FC$19</f>
        <v>16</v>
      </c>
      <c r="E20" s="86">
        <f t="shared" si="0"/>
        <v>7.5625</v>
      </c>
      <c r="F20" s="9">
        <f>SUM('[3]American Eagle'!$FN$19:$FQ$19)</f>
        <v>251</v>
      </c>
      <c r="G20" s="9">
        <f>SUM('[3]American Eagle'!$EZ$19:$FC$19)</f>
        <v>72</v>
      </c>
      <c r="H20" s="39">
        <f t="shared" si="1"/>
        <v>2.4861111111111112</v>
      </c>
      <c r="I20" s="86">
        <f t="shared" si="2"/>
        <v>2.1340452485610075E-3</v>
      </c>
      <c r="J20" s="53"/>
      <c r="K20" s="425" t="s">
        <v>173</v>
      </c>
      <c r="L20" s="354">
        <f>'[3]American Eagle'!$FQ$41</f>
        <v>9071</v>
      </c>
      <c r="M20" s="9">
        <f>'[3]American Eagle'!$FC$41</f>
        <v>845</v>
      </c>
      <c r="N20" s="86">
        <f t="shared" si="3"/>
        <v>9.73491124260355</v>
      </c>
      <c r="O20" s="354">
        <f>SUM('[3]American Eagle'!$FN$41:$FQ$41)</f>
        <v>15828</v>
      </c>
      <c r="P20" s="9">
        <f>SUM('[3]American Eagle'!$EZ$41:$FC$41)</f>
        <v>3503</v>
      </c>
      <c r="Q20" s="39">
        <f t="shared" si="4"/>
        <v>3.5184127890379675</v>
      </c>
      <c r="R20" s="86">
        <f t="shared" si="5"/>
        <v>1.3862864147609899E-3</v>
      </c>
      <c r="S20" s="20"/>
    </row>
    <row r="21" spans="1:22" ht="14.1" customHeight="1" x14ac:dyDescent="0.2">
      <c r="A21" s="53"/>
      <c r="B21" s="427" t="s">
        <v>52</v>
      </c>
      <c r="C21" s="354">
        <f>[3]Republic!$FQ$19</f>
        <v>434</v>
      </c>
      <c r="D21" s="9">
        <f>[3]Republic!$FC$19</f>
        <v>422</v>
      </c>
      <c r="E21" s="86">
        <f t="shared" si="0"/>
        <v>2.843601895734597E-2</v>
      </c>
      <c r="F21" s="9">
        <f>SUM([3]Republic!$FN$19:$FQ$19)</f>
        <v>1589</v>
      </c>
      <c r="G21" s="9">
        <f>SUM([3]Republic!$EZ$19:$FC$19)</f>
        <v>1210</v>
      </c>
      <c r="H21" s="39">
        <f t="shared" si="1"/>
        <v>0.31322314049586775</v>
      </c>
      <c r="I21" s="86">
        <f t="shared" si="2"/>
        <v>1.3509951792683031E-2</v>
      </c>
      <c r="J21" s="364"/>
      <c r="K21" s="360" t="s">
        <v>52</v>
      </c>
      <c r="L21" s="354">
        <f>[3]Republic!$FQ$41</f>
        <v>24749</v>
      </c>
      <c r="M21" s="9">
        <f>[3]Republic!$FC$41</f>
        <v>22218</v>
      </c>
      <c r="N21" s="86">
        <f t="shared" si="3"/>
        <v>0.11391664416239085</v>
      </c>
      <c r="O21" s="354">
        <f>SUM([3]Republic!$FN$41:$FQ$41)</f>
        <v>87618</v>
      </c>
      <c r="P21" s="9">
        <f>SUM([3]Republic!$EZ$41:$FC$41)</f>
        <v>56444</v>
      </c>
      <c r="Q21" s="39">
        <f t="shared" si="4"/>
        <v>0.55229962440649139</v>
      </c>
      <c r="R21" s="86">
        <f t="shared" si="5"/>
        <v>7.6739729017265869E-3</v>
      </c>
      <c r="S21" s="20"/>
    </row>
    <row r="22" spans="1:22" ht="14.1" customHeight="1" x14ac:dyDescent="0.2">
      <c r="A22" s="53"/>
      <c r="B22" s="427" t="s">
        <v>200</v>
      </c>
      <c r="C22" s="354">
        <f>[3]PSA!$FQ$19</f>
        <v>4</v>
      </c>
      <c r="D22" s="9">
        <f>[3]PSA!$FC$19</f>
        <v>36</v>
      </c>
      <c r="E22" s="86">
        <f t="shared" si="0"/>
        <v>-0.88888888888888884</v>
      </c>
      <c r="F22" s="9">
        <f>SUM([3]PSA!$FN$19:$FQ$19)</f>
        <v>178</v>
      </c>
      <c r="G22" s="9">
        <f>SUM([3]PSA!$EZ$19:$FC$19)</f>
        <v>154</v>
      </c>
      <c r="H22" s="39">
        <f t="shared" si="1"/>
        <v>0.15584415584415584</v>
      </c>
      <c r="I22" s="86">
        <f t="shared" si="2"/>
        <v>1.5133866702942602E-3</v>
      </c>
      <c r="J22" s="364"/>
      <c r="K22" s="427" t="s">
        <v>200</v>
      </c>
      <c r="L22" s="354">
        <f>[3]PSA!$FQ$41</f>
        <v>212</v>
      </c>
      <c r="M22" s="9">
        <f>[3]PSA!$FC$41</f>
        <v>1675</v>
      </c>
      <c r="N22" s="86">
        <f t="shared" si="3"/>
        <v>-0.87343283582089548</v>
      </c>
      <c r="O22" s="354">
        <f>SUM([3]PSA!$FN$41:$FQ$41)</f>
        <v>7565</v>
      </c>
      <c r="P22" s="9">
        <f>SUM([3]PSA!$EZ$41:$FC$41)</f>
        <v>6646</v>
      </c>
      <c r="Q22" s="39">
        <f t="shared" si="4"/>
        <v>0.13827866385795967</v>
      </c>
      <c r="R22" s="86">
        <f t="shared" si="5"/>
        <v>6.625762400598237E-4</v>
      </c>
      <c r="S22" s="20"/>
    </row>
    <row r="23" spans="1:22" ht="14.1" customHeight="1" x14ac:dyDescent="0.2">
      <c r="A23" s="53"/>
      <c r="B23" s="426" t="s">
        <v>100</v>
      </c>
      <c r="C23" s="354">
        <f>'[3]Sky West_AA'!$FQ$19</f>
        <v>60</v>
      </c>
      <c r="D23" s="9">
        <f>'[3]Sky West_AA'!$FC$19</f>
        <v>20</v>
      </c>
      <c r="E23" s="86">
        <f>(C23-D23)/D23</f>
        <v>2</v>
      </c>
      <c r="F23" s="9">
        <f>SUM('[3]Sky West_AA'!$FN$19:$FQ$19)</f>
        <v>213</v>
      </c>
      <c r="G23" s="9">
        <f>SUM('[3]Sky West_AA'!$EZ$19:$FC$19)</f>
        <v>34</v>
      </c>
      <c r="H23" s="39">
        <f>(F23-G23)/G23</f>
        <v>5.2647058823529411</v>
      </c>
      <c r="I23" s="86">
        <f t="shared" si="2"/>
        <v>1.8109627009700979E-3</v>
      </c>
      <c r="J23" s="364"/>
      <c r="K23" s="426" t="s">
        <v>100</v>
      </c>
      <c r="L23" s="354">
        <f>'[3]Sky West_AA'!$FQ$41</f>
        <v>3761</v>
      </c>
      <c r="M23" s="9">
        <f>'[3]Sky West_AA'!$FC$41</f>
        <v>1089</v>
      </c>
      <c r="N23" s="86">
        <f>(L23-M23)/M23</f>
        <v>2.4536271808999084</v>
      </c>
      <c r="O23" s="354">
        <f>SUM('[3]Sky West_AA'!$FN$41:$FQ$41)</f>
        <v>13219</v>
      </c>
      <c r="P23" s="9">
        <f>SUM('[3]Sky West_AA'!$EZ$41:$FC$41)</f>
        <v>1752</v>
      </c>
      <c r="Q23" s="39">
        <f>(O23-P23)/P23</f>
        <v>6.5450913242009134</v>
      </c>
      <c r="R23" s="434">
        <f t="shared" si="5"/>
        <v>1.1577786275414157E-3</v>
      </c>
      <c r="S23" s="20"/>
    </row>
    <row r="24" spans="1:22" ht="14.1" customHeight="1" x14ac:dyDescent="0.2">
      <c r="A24" s="53"/>
      <c r="B24" s="427" t="s">
        <v>51</v>
      </c>
      <c r="C24" s="354">
        <f>[3]MESA!$FQ$19</f>
        <v>0</v>
      </c>
      <c r="D24" s="9">
        <f>[3]MESA!$FC$19</f>
        <v>0</v>
      </c>
      <c r="E24" s="86" t="e">
        <f t="shared" si="0"/>
        <v>#DIV/0!</v>
      </c>
      <c r="F24" s="9">
        <f>SUM([3]MESA!$FN$19:$FQ$19)</f>
        <v>0</v>
      </c>
      <c r="G24" s="9">
        <f>SUM([3]MESA!$EZ$19:$FC$19)</f>
        <v>0</v>
      </c>
      <c r="H24" s="39" t="e">
        <f t="shared" si="1"/>
        <v>#DIV/0!</v>
      </c>
      <c r="I24" s="86">
        <f t="shared" si="2"/>
        <v>0</v>
      </c>
      <c r="J24" s="364"/>
      <c r="K24" s="425" t="s">
        <v>51</v>
      </c>
      <c r="L24" s="354">
        <f>[3]MESA!$FQ$41</f>
        <v>0</v>
      </c>
      <c r="M24" s="9">
        <f>[3]MESA!$FC$41</f>
        <v>0</v>
      </c>
      <c r="N24" s="86" t="e">
        <f t="shared" si="3"/>
        <v>#DIV/0!</v>
      </c>
      <c r="O24" s="354">
        <f>SUM([3]MESA!$FN$41:$FQ$41)</f>
        <v>0</v>
      </c>
      <c r="P24" s="9">
        <f>SUM([3]MESA!$EZ$41:$FC$41)</f>
        <v>0</v>
      </c>
      <c r="Q24" s="39" t="e">
        <f t="shared" si="4"/>
        <v>#DIV/0!</v>
      </c>
      <c r="R24" s="86">
        <f t="shared" si="5"/>
        <v>0</v>
      </c>
      <c r="S24" s="20"/>
    </row>
    <row r="25" spans="1:22" ht="14.1" customHeight="1" x14ac:dyDescent="0.2">
      <c r="A25" s="53"/>
      <c r="B25" s="427" t="s">
        <v>50</v>
      </c>
      <c r="C25" s="354">
        <f>'[3]Air Wisconsin'!$FQ$19</f>
        <v>0</v>
      </c>
      <c r="D25" s="9">
        <f>'[3]Air Wisconsin'!$FC$19</f>
        <v>0</v>
      </c>
      <c r="E25" s="86" t="e">
        <f t="shared" si="0"/>
        <v>#DIV/0!</v>
      </c>
      <c r="F25" s="9">
        <f>SUM('[3]Air Wisconsin'!$FN$19:$FQ$19)</f>
        <v>0</v>
      </c>
      <c r="G25" s="9">
        <f>SUM('[3]Air Wisconsin'!$EZ$19:$FC$19)</f>
        <v>2</v>
      </c>
      <c r="H25" s="488">
        <f t="shared" si="1"/>
        <v>-1</v>
      </c>
      <c r="I25" s="86">
        <f t="shared" si="2"/>
        <v>0</v>
      </c>
      <c r="J25" s="53"/>
      <c r="K25" s="428" t="s">
        <v>50</v>
      </c>
      <c r="L25" s="354">
        <f>'[3]Air Wisconsin'!$FQ$41</f>
        <v>0</v>
      </c>
      <c r="M25" s="9">
        <f>'[3]Air Wisconsin'!$FC$41</f>
        <v>0</v>
      </c>
      <c r="N25" s="86" t="e">
        <f t="shared" si="3"/>
        <v>#DIV/0!</v>
      </c>
      <c r="O25" s="354">
        <f>SUM('[3]Air Wisconsin'!$FN$41:$FQ$41)</f>
        <v>0</v>
      </c>
      <c r="P25" s="9">
        <f>SUM('[3]Air Wisconsin'!$EZ$41:$FC$41)</f>
        <v>90</v>
      </c>
      <c r="Q25" s="39">
        <f t="shared" si="4"/>
        <v>-1</v>
      </c>
      <c r="R25" s="86">
        <f t="shared" si="5"/>
        <v>0</v>
      </c>
      <c r="S25" s="20"/>
    </row>
    <row r="26" spans="1:22" ht="14.1" customHeight="1" x14ac:dyDescent="0.2">
      <c r="A26" s="53"/>
      <c r="B26" s="359"/>
      <c r="C26" s="354"/>
      <c r="D26" s="9"/>
      <c r="E26" s="86"/>
      <c r="F26" s="9"/>
      <c r="G26" s="9"/>
      <c r="H26" s="39"/>
      <c r="I26" s="86"/>
      <c r="J26" s="53"/>
      <c r="K26" s="359"/>
      <c r="L26" s="354"/>
      <c r="M26" s="9"/>
      <c r="N26" s="86"/>
      <c r="O26" s="354"/>
      <c r="P26" s="9"/>
      <c r="Q26" s="39"/>
      <c r="R26" s="86"/>
      <c r="S26" s="20"/>
      <c r="T26" s="9"/>
      <c r="U26" s="11"/>
      <c r="V26" s="11"/>
    </row>
    <row r="27" spans="1:22" ht="14.1" customHeight="1" x14ac:dyDescent="0.2">
      <c r="A27" s="349" t="s">
        <v>197</v>
      </c>
      <c r="B27" s="359"/>
      <c r="C27" s="350">
        <f>'[3]Boutique Air'!$FQ$19</f>
        <v>144</v>
      </c>
      <c r="D27" s="352">
        <f>'[3]Boutique Air'!$FC$19</f>
        <v>146</v>
      </c>
      <c r="E27" s="353">
        <f>(C27-D27)/D27</f>
        <v>-1.3698630136986301E-2</v>
      </c>
      <c r="F27" s="352">
        <f>SUM('[3]Boutique Air'!$FN$19:$FQ$19)</f>
        <v>588</v>
      </c>
      <c r="G27" s="352">
        <f>SUM('[3]Boutique Air'!$EZ$19:$FC$19)</f>
        <v>608</v>
      </c>
      <c r="H27" s="351">
        <f>(F27-G27)/G27</f>
        <v>-3.2894736842105261E-2</v>
      </c>
      <c r="I27" s="353">
        <f>F27/$F$65</f>
        <v>4.9992773153540726E-3</v>
      </c>
      <c r="J27" s="349" t="s">
        <v>197</v>
      </c>
      <c r="K27" s="359"/>
      <c r="L27" s="350">
        <f>'[3]Boutique Air'!$FQ$41</f>
        <v>781</v>
      </c>
      <c r="M27" s="352">
        <f>'[3]Boutique Air'!$FC$41</f>
        <v>927</v>
      </c>
      <c r="N27" s="353">
        <f>(L27-M27)/M27</f>
        <v>-0.1574973031283711</v>
      </c>
      <c r="O27" s="350">
        <f>SUM('[3]Boutique Air'!$FN$41:$FQ$41)</f>
        <v>3103</v>
      </c>
      <c r="P27" s="352">
        <f>SUM('[3]Boutique Air'!$EZ$41:$FC$41)</f>
        <v>4049</v>
      </c>
      <c r="Q27" s="351">
        <f>(O27-P27)/P27</f>
        <v>-0.23363793529266486</v>
      </c>
      <c r="R27" s="353">
        <f>O27/$O$65</f>
        <v>2.7177449740986554E-4</v>
      </c>
      <c r="S27" s="20"/>
      <c r="T27" s="9"/>
      <c r="U27" s="11"/>
      <c r="V27" s="11"/>
    </row>
    <row r="28" spans="1:22" ht="14.1" customHeight="1" x14ac:dyDescent="0.2">
      <c r="A28" s="53"/>
      <c r="B28" s="359"/>
      <c r="C28" s="354"/>
      <c r="D28" s="9"/>
      <c r="E28" s="86"/>
      <c r="F28" s="9"/>
      <c r="G28" s="9"/>
      <c r="H28" s="39"/>
      <c r="I28" s="86"/>
      <c r="J28" s="53"/>
      <c r="K28" s="359"/>
      <c r="L28" s="354"/>
      <c r="M28" s="9"/>
      <c r="N28" s="86"/>
      <c r="O28" s="354"/>
      <c r="P28" s="9"/>
      <c r="Q28" s="39"/>
      <c r="R28" s="86"/>
      <c r="S28" s="20"/>
      <c r="T28" s="9"/>
      <c r="U28" s="11"/>
      <c r="V28" s="11"/>
    </row>
    <row r="29" spans="1:22" ht="14.1" customHeight="1" x14ac:dyDescent="0.2">
      <c r="A29" s="349" t="s">
        <v>168</v>
      </c>
      <c r="B29" s="359"/>
      <c r="C29" s="350">
        <f>[3]Condor!$FQ$19</f>
        <v>0</v>
      </c>
      <c r="D29" s="352">
        <f>[3]Condor!$FC$19</f>
        <v>0</v>
      </c>
      <c r="E29" s="353" t="e">
        <f>(C29-D29)/D29</f>
        <v>#DIV/0!</v>
      </c>
      <c r="F29" s="352">
        <f>SUM([3]Condor!$FN$19:$FQ$19)</f>
        <v>0</v>
      </c>
      <c r="G29" s="352">
        <f>SUM([3]Condor!$EZ$19:$FC$19)</f>
        <v>0</v>
      </c>
      <c r="H29" s="351" t="e">
        <f>(F29-G29)/G29</f>
        <v>#DIV/0!</v>
      </c>
      <c r="I29" s="353">
        <f>F29/$F$65</f>
        <v>0</v>
      </c>
      <c r="J29" s="349" t="s">
        <v>168</v>
      </c>
      <c r="K29" s="359"/>
      <c r="L29" s="350">
        <f>[3]Condor!$FQ$41</f>
        <v>0</v>
      </c>
      <c r="M29" s="352">
        <f>[3]Condor!$FC$41</f>
        <v>0</v>
      </c>
      <c r="N29" s="353" t="e">
        <f>(L29-M29)/M29</f>
        <v>#DIV/0!</v>
      </c>
      <c r="O29" s="350">
        <f>SUM([3]Condor!$FN$41:$FQ$41)</f>
        <v>0</v>
      </c>
      <c r="P29" s="352">
        <f>SUM([3]Condor!$EZ$41:$FC$41)</f>
        <v>0</v>
      </c>
      <c r="Q29" s="351" t="e">
        <f>(O29-P29)/P29</f>
        <v>#DIV/0!</v>
      </c>
      <c r="R29" s="353">
        <f>O29/$O$65</f>
        <v>0</v>
      </c>
      <c r="S29" s="20"/>
      <c r="T29" s="9"/>
      <c r="U29" s="11"/>
      <c r="V29" s="11"/>
    </row>
    <row r="30" spans="1:22" ht="14.1" customHeight="1" x14ac:dyDescent="0.2">
      <c r="A30" s="53"/>
      <c r="B30" s="359"/>
      <c r="C30" s="354"/>
      <c r="D30" s="9"/>
      <c r="E30" s="86"/>
      <c r="F30" s="9"/>
      <c r="G30" s="9"/>
      <c r="H30" s="39"/>
      <c r="I30" s="86"/>
      <c r="J30" s="53"/>
      <c r="K30" s="359"/>
      <c r="L30" s="354"/>
      <c r="M30" s="9"/>
      <c r="N30" s="86"/>
      <c r="O30" s="354"/>
      <c r="P30" s="9"/>
      <c r="Q30" s="39"/>
      <c r="R30" s="86"/>
      <c r="S30" s="20"/>
      <c r="T30" s="9"/>
      <c r="U30" s="11"/>
      <c r="V30" s="11"/>
    </row>
    <row r="31" spans="1:22" ht="14.1" customHeight="1" x14ac:dyDescent="0.2">
      <c r="A31" s="349" t="s">
        <v>18</v>
      </c>
      <c r="B31" s="362"/>
      <c r="C31" s="350">
        <f>SUM(C32:C38)</f>
        <v>22206</v>
      </c>
      <c r="D31" s="352">
        <f>SUM(D32:D38)</f>
        <v>22295</v>
      </c>
      <c r="E31" s="353">
        <f t="shared" ref="E31:E38" si="6">(C31-D31)/D31</f>
        <v>-3.9919264409060328E-3</v>
      </c>
      <c r="F31" s="355">
        <f>SUM(F32:F38)</f>
        <v>85160</v>
      </c>
      <c r="G31" s="355">
        <f>SUM(G32:G38)</f>
        <v>86457</v>
      </c>
      <c r="H31" s="351">
        <f>(F31-G31)/G31</f>
        <v>-1.5001677134297975E-2</v>
      </c>
      <c r="I31" s="353">
        <f t="shared" ref="I31:I38" si="7">F31/$F$65</f>
        <v>0.72404499349583817</v>
      </c>
      <c r="J31" s="349" t="s">
        <v>18</v>
      </c>
      <c r="K31" s="362"/>
      <c r="L31" s="350">
        <f>SUM(L32:L38)</f>
        <v>2071036</v>
      </c>
      <c r="M31" s="352">
        <f>SUM(M32:M38)</f>
        <v>2093515</v>
      </c>
      <c r="N31" s="353">
        <f t="shared" ref="N31:N38" si="8">(L31-M31)/M31</f>
        <v>-1.0737443963859825E-2</v>
      </c>
      <c r="O31" s="350">
        <f>SUM(O32:O38)</f>
        <v>7986365</v>
      </c>
      <c r="P31" s="352">
        <f>SUM(P32:P38)</f>
        <v>7924015</v>
      </c>
      <c r="Q31" s="351">
        <f t="shared" ref="Q31:Q38" si="9">(O31-P31)/P31</f>
        <v>7.8684858622806754E-3</v>
      </c>
      <c r="R31" s="353">
        <f t="shared" ref="R31:R38" si="10">O31/$O$65</f>
        <v>0.69948125491677116</v>
      </c>
      <c r="S31" s="415"/>
      <c r="U31" s="11"/>
      <c r="V31" s="11"/>
    </row>
    <row r="32" spans="1:22" ht="14.1" customHeight="1" x14ac:dyDescent="0.2">
      <c r="A32" s="53"/>
      <c r="B32" s="358" t="s">
        <v>18</v>
      </c>
      <c r="C32" s="354">
        <f>[3]Delta!$FQ$19</f>
        <v>11287</v>
      </c>
      <c r="D32" s="9">
        <f>[3]Delta!$FC$19</f>
        <v>11530</v>
      </c>
      <c r="E32" s="86">
        <f t="shared" si="6"/>
        <v>-2.1075455333911534E-2</v>
      </c>
      <c r="F32" s="9">
        <f>SUM([3]Delta!$FN$19:$FQ$19)</f>
        <v>43587</v>
      </c>
      <c r="G32" s="9">
        <f>SUM([3]Delta!$EZ$19:$FC$19)</f>
        <v>42566</v>
      </c>
      <c r="H32" s="39">
        <f t="shared" ref="H32:H38" si="11">(F32-G32)/G32</f>
        <v>2.3986280129680966E-2</v>
      </c>
      <c r="I32" s="86">
        <f t="shared" si="7"/>
        <v>0.37058418425907819</v>
      </c>
      <c r="J32" s="53"/>
      <c r="K32" s="358" t="s">
        <v>18</v>
      </c>
      <c r="L32" s="354">
        <f>[3]Delta!$FQ$41</f>
        <v>1529012</v>
      </c>
      <c r="M32" s="9">
        <f>[3]Delta!$FC$41</f>
        <v>1559075</v>
      </c>
      <c r="N32" s="86">
        <f t="shared" si="8"/>
        <v>-1.9282587431650178E-2</v>
      </c>
      <c r="O32" s="354">
        <f>SUM([3]Delta!$FN$41:$FQ$41)</f>
        <v>5926836</v>
      </c>
      <c r="P32" s="9">
        <f>SUM([3]Delta!$EZ$41:$FC$41)</f>
        <v>5772228</v>
      </c>
      <c r="Q32" s="39">
        <f t="shared" si="9"/>
        <v>2.6784804758232004E-2</v>
      </c>
      <c r="R32" s="86">
        <f t="shared" si="10"/>
        <v>0.51909857400280301</v>
      </c>
      <c r="S32" s="20"/>
      <c r="T32" s="9"/>
      <c r="U32" s="11"/>
      <c r="V32" s="11"/>
    </row>
    <row r="33" spans="1:22" ht="14.1" customHeight="1" x14ac:dyDescent="0.2">
      <c r="A33" s="53"/>
      <c r="B33" s="360" t="s">
        <v>120</v>
      </c>
      <c r="C33" s="354">
        <f>[3]Compass!$FQ$19</f>
        <v>0</v>
      </c>
      <c r="D33" s="9">
        <f>[3]Compass!$FC$19</f>
        <v>851</v>
      </c>
      <c r="E33" s="86">
        <f t="shared" si="6"/>
        <v>-1</v>
      </c>
      <c r="F33" s="9">
        <f>SUM([3]Compass!$FN$19:$FQ$19)</f>
        <v>2</v>
      </c>
      <c r="G33" s="9">
        <f>SUM([3]Compass!$EZ$19:$FC$19)</f>
        <v>4852</v>
      </c>
      <c r="H33" s="39">
        <f t="shared" si="11"/>
        <v>-0.99958779884583682</v>
      </c>
      <c r="I33" s="86">
        <f t="shared" si="7"/>
        <v>1.7004344610047866E-5</v>
      </c>
      <c r="J33" s="53"/>
      <c r="K33" s="360" t="s">
        <v>120</v>
      </c>
      <c r="L33" s="354">
        <f>[3]Compass!$FQ$41</f>
        <v>0</v>
      </c>
      <c r="M33" s="9">
        <f>[3]Compass!$FC$41</f>
        <v>52010</v>
      </c>
      <c r="N33" s="86">
        <f t="shared" si="8"/>
        <v>-1</v>
      </c>
      <c r="O33" s="354">
        <f>SUM([3]Compass!$FN$41:$FQ$41)</f>
        <v>0</v>
      </c>
      <c r="P33" s="9">
        <f>SUM([3]Compass!$EZ$41:$FC$41)</f>
        <v>276543</v>
      </c>
      <c r="Q33" s="39">
        <f t="shared" si="9"/>
        <v>-1</v>
      </c>
      <c r="R33" s="86">
        <f t="shared" si="10"/>
        <v>0</v>
      </c>
      <c r="S33" s="9"/>
      <c r="T33" s="9"/>
      <c r="U33" s="11"/>
      <c r="V33" s="11"/>
    </row>
    <row r="34" spans="1:22" ht="14.1" customHeight="1" x14ac:dyDescent="0.2">
      <c r="A34" s="53"/>
      <c r="B34" s="359" t="s">
        <v>164</v>
      </c>
      <c r="C34" s="354">
        <f>[3]Pinnacle!$FQ$19</f>
        <v>1699</v>
      </c>
      <c r="D34" s="9">
        <f>[3]Pinnacle!$FC$19</f>
        <v>2461</v>
      </c>
      <c r="E34" s="86">
        <f t="shared" si="6"/>
        <v>-0.30963023161316539</v>
      </c>
      <c r="F34" s="9">
        <f>SUM([3]Pinnacle!$FN$19:$FQ$19)</f>
        <v>8455</v>
      </c>
      <c r="G34" s="9">
        <f>SUM([3]Pinnacle!$EZ$19:$FC$19)</f>
        <v>12334</v>
      </c>
      <c r="H34" s="39">
        <f t="shared" si="11"/>
        <v>-0.31449651370196208</v>
      </c>
      <c r="I34" s="86">
        <f t="shared" si="7"/>
        <v>7.1885866838977353E-2</v>
      </c>
      <c r="J34" s="53"/>
      <c r="K34" s="359" t="s">
        <v>164</v>
      </c>
      <c r="L34" s="354">
        <f>[3]Pinnacle!$FQ$41</f>
        <v>100226</v>
      </c>
      <c r="M34" s="9">
        <f>[3]Pinnacle!$FC$41</f>
        <v>122227</v>
      </c>
      <c r="N34" s="86">
        <f t="shared" si="8"/>
        <v>-0.18000114540977036</v>
      </c>
      <c r="O34" s="354">
        <f>SUM([3]Pinnacle!$FN$41:$FQ$41)</f>
        <v>479183</v>
      </c>
      <c r="P34" s="9">
        <f>SUM([3]Pinnacle!$EZ$41:$FC$41)</f>
        <v>607110</v>
      </c>
      <c r="Q34" s="39">
        <f t="shared" si="9"/>
        <v>-0.21071469750127653</v>
      </c>
      <c r="R34" s="86">
        <f t="shared" si="10"/>
        <v>4.1968971637883212E-2</v>
      </c>
      <c r="S34" s="20"/>
      <c r="T34" s="11"/>
    </row>
    <row r="35" spans="1:22" ht="14.1" customHeight="1" x14ac:dyDescent="0.2">
      <c r="A35" s="53"/>
      <c r="B35" s="359" t="s">
        <v>160</v>
      </c>
      <c r="C35" s="354">
        <f>'[3]Go Jet'!$FQ$19</f>
        <v>688</v>
      </c>
      <c r="D35" s="9">
        <f>'[3]Go Jet'!$FC$19</f>
        <v>424</v>
      </c>
      <c r="E35" s="86">
        <f t="shared" si="6"/>
        <v>0.62264150943396224</v>
      </c>
      <c r="F35" s="9">
        <f>SUM('[3]Go Jet'!$FN$19:$FQ$19)</f>
        <v>2498</v>
      </c>
      <c r="G35" s="9">
        <f>SUM('[3]Go Jet'!$EZ$19:$FC$19)</f>
        <v>2271</v>
      </c>
      <c r="H35" s="39">
        <f>(F35-G35)/G35</f>
        <v>9.9955966534566273E-2</v>
      </c>
      <c r="I35" s="86">
        <f t="shared" si="7"/>
        <v>2.1238426417949787E-2</v>
      </c>
      <c r="J35" s="53"/>
      <c r="K35" s="358" t="s">
        <v>160</v>
      </c>
      <c r="L35" s="354">
        <f>'[3]Go Jet'!$FQ$41</f>
        <v>40044</v>
      </c>
      <c r="M35" s="9">
        <f>'[3]Go Jet'!$FC$41</f>
        <v>23560</v>
      </c>
      <c r="N35" s="86">
        <f t="shared" si="8"/>
        <v>0.69966044142614603</v>
      </c>
      <c r="O35" s="354">
        <f>SUM('[3]Go Jet'!$FN$41:$FQ$41)</f>
        <v>141405</v>
      </c>
      <c r="P35" s="9">
        <f>SUM('[3]Go Jet'!$EZ$41:$FC$41)</f>
        <v>122700</v>
      </c>
      <c r="Q35" s="39">
        <f>(O35-P35)/P35</f>
        <v>0.15244498777506113</v>
      </c>
      <c r="R35" s="86">
        <f t="shared" si="10"/>
        <v>1.2384876830886895E-2</v>
      </c>
      <c r="S35" s="330"/>
      <c r="T35" s="329"/>
    </row>
    <row r="36" spans="1:22" ht="14.1" customHeight="1" x14ac:dyDescent="0.2">
      <c r="A36" s="53"/>
      <c r="B36" s="359" t="s">
        <v>100</v>
      </c>
      <c r="C36" s="354">
        <f>'[3]Sky West'!$FQ$19</f>
        <v>8245</v>
      </c>
      <c r="D36" s="9">
        <f>'[3]Sky West'!$FC$19</f>
        <v>6054</v>
      </c>
      <c r="E36" s="86">
        <f t="shared" si="6"/>
        <v>0.36190948133465478</v>
      </c>
      <c r="F36" s="9">
        <f>SUM('[3]Sky West'!$FN$19:$FQ$19)</f>
        <v>29521</v>
      </c>
      <c r="G36" s="9">
        <f>SUM('[3]Sky West'!$EZ$19:$FC$19)</f>
        <v>21255</v>
      </c>
      <c r="H36" s="39">
        <f t="shared" si="11"/>
        <v>0.38889673018113385</v>
      </c>
      <c r="I36" s="86">
        <f t="shared" si="7"/>
        <v>0.25099262861661154</v>
      </c>
      <c r="J36" s="53"/>
      <c r="K36" s="359" t="s">
        <v>100</v>
      </c>
      <c r="L36" s="354">
        <f>'[3]Sky West'!$FQ$41</f>
        <v>386872</v>
      </c>
      <c r="M36" s="9">
        <f>'[3]Sky West'!$FC$41</f>
        <v>280105</v>
      </c>
      <c r="N36" s="86">
        <f t="shared" si="8"/>
        <v>0.38116777636957572</v>
      </c>
      <c r="O36" s="354">
        <f>SUM('[3]Sky West'!$FN$41:$FQ$41)</f>
        <v>1382337</v>
      </c>
      <c r="P36" s="9">
        <f>SUM('[3]Sky West'!$EZ$41:$FC$41)</f>
        <v>966923</v>
      </c>
      <c r="Q36" s="39">
        <f t="shared" si="9"/>
        <v>0.42962469607197262</v>
      </c>
      <c r="R36" s="86">
        <f t="shared" si="10"/>
        <v>0.12107120316663271</v>
      </c>
      <c r="S36" s="20"/>
    </row>
    <row r="37" spans="1:22" ht="14.1" customHeight="1" x14ac:dyDescent="0.2">
      <c r="A37" s="53"/>
      <c r="B37" s="359" t="s">
        <v>134</v>
      </c>
      <c r="C37" s="354">
        <f>'[3]Shuttle America_Delta'!$FQ$19</f>
        <v>2</v>
      </c>
      <c r="D37" s="9">
        <f>'[3]Shuttle America_Delta'!$FC$19</f>
        <v>4</v>
      </c>
      <c r="E37" s="86">
        <f t="shared" si="6"/>
        <v>-0.5</v>
      </c>
      <c r="F37" s="9">
        <f>SUM('[3]Shuttle America_Delta'!$FN$19:$FQ$19)</f>
        <v>76</v>
      </c>
      <c r="G37" s="9">
        <f>SUM('[3]Shuttle America_Delta'!$EZ$19:$FC$19)</f>
        <v>158</v>
      </c>
      <c r="H37" s="39">
        <f t="shared" si="11"/>
        <v>-0.51898734177215189</v>
      </c>
      <c r="I37" s="86">
        <f t="shared" si="7"/>
        <v>6.46165095181819E-4</v>
      </c>
      <c r="J37" s="53"/>
      <c r="K37" s="359" t="s">
        <v>134</v>
      </c>
      <c r="L37" s="354">
        <f>'[3]Shuttle America_Delta'!$FQ$41</f>
        <v>76</v>
      </c>
      <c r="M37" s="9">
        <f>'[3]Shuttle America_Delta'!$FC$41</f>
        <v>253</v>
      </c>
      <c r="N37" s="86">
        <f t="shared" si="8"/>
        <v>-0.69960474308300391</v>
      </c>
      <c r="O37" s="354">
        <f>SUM('[3]Shuttle America_Delta'!$FN$41:$FQ$41)</f>
        <v>4528</v>
      </c>
      <c r="P37" s="9">
        <f>SUM('[3]Shuttle America_Delta'!$EZ$41:$FC$41)</f>
        <v>8496</v>
      </c>
      <c r="Q37" s="39">
        <f t="shared" si="9"/>
        <v>-0.46704331450094161</v>
      </c>
      <c r="R37" s="86">
        <f t="shared" si="10"/>
        <v>3.9658231526647474E-4</v>
      </c>
      <c r="S37" s="20"/>
    </row>
    <row r="38" spans="1:22" ht="14.1" customHeight="1" x14ac:dyDescent="0.2">
      <c r="A38" s="53"/>
      <c r="B38" s="427" t="s">
        <v>174</v>
      </c>
      <c r="C38" s="354">
        <f>'[3]Atlantic Southeast'!$FQ$19</f>
        <v>285</v>
      </c>
      <c r="D38" s="9">
        <f>'[3]Atlantic Southeast'!$FC$19</f>
        <v>971</v>
      </c>
      <c r="E38" s="86">
        <f t="shared" si="6"/>
        <v>-0.7064881565396498</v>
      </c>
      <c r="F38" s="9">
        <f>SUM('[3]Atlantic Southeast'!$FN$19:$FQ$19)</f>
        <v>1021</v>
      </c>
      <c r="G38" s="9">
        <f>SUM('[3]Atlantic Southeast'!$EZ$19:$FC$19)</f>
        <v>3021</v>
      </c>
      <c r="H38" s="39">
        <f t="shared" si="11"/>
        <v>-0.66203243958953983</v>
      </c>
      <c r="I38" s="86">
        <f t="shared" si="7"/>
        <v>8.6807179234294363E-3</v>
      </c>
      <c r="J38" s="53"/>
      <c r="K38" s="427" t="s">
        <v>174</v>
      </c>
      <c r="L38" s="354">
        <f>'[3]Atlantic Southeast'!$FQ$41</f>
        <v>14806</v>
      </c>
      <c r="M38" s="9">
        <f>'[3]Atlantic Southeast'!$FC$41</f>
        <v>56285</v>
      </c>
      <c r="N38" s="86">
        <f t="shared" si="8"/>
        <v>-0.73694590032868434</v>
      </c>
      <c r="O38" s="354">
        <f>SUM('[3]Atlantic Southeast'!$FN$41:$FQ$41)</f>
        <v>52076</v>
      </c>
      <c r="P38" s="9">
        <f>SUM('[3]Atlantic Southeast'!$EZ$41:$FC$41)</f>
        <v>170015</v>
      </c>
      <c r="Q38" s="39">
        <f t="shared" si="9"/>
        <v>-0.69369761491633086</v>
      </c>
      <c r="R38" s="86">
        <f t="shared" si="10"/>
        <v>4.5610469632987941E-3</v>
      </c>
      <c r="S38" s="328"/>
    </row>
    <row r="39" spans="1:22" ht="14.1" customHeight="1" x14ac:dyDescent="0.2">
      <c r="A39" s="53"/>
      <c r="B39" s="427"/>
      <c r="C39" s="354"/>
      <c r="D39" s="9"/>
      <c r="E39" s="86"/>
      <c r="F39" s="9"/>
      <c r="G39" s="9"/>
      <c r="H39" s="39"/>
      <c r="I39" s="86"/>
      <c r="J39" s="53"/>
      <c r="K39" s="427"/>
      <c r="L39" s="354"/>
      <c r="M39" s="9"/>
      <c r="N39" s="86"/>
      <c r="O39" s="354"/>
      <c r="P39" s="9"/>
      <c r="Q39" s="39"/>
      <c r="R39" s="86"/>
      <c r="S39" s="328"/>
    </row>
    <row r="40" spans="1:22" s="7" customFormat="1" ht="14.1" customHeight="1" x14ac:dyDescent="0.2">
      <c r="A40" s="349" t="s">
        <v>47</v>
      </c>
      <c r="B40" s="363"/>
      <c r="C40" s="350">
        <f>[3]Frontier!$FQ$19</f>
        <v>302</v>
      </c>
      <c r="D40" s="352">
        <f>[3]Frontier!$FC$19</f>
        <v>175</v>
      </c>
      <c r="E40" s="353">
        <f>(C40-D40)/D40</f>
        <v>0.72571428571428576</v>
      </c>
      <c r="F40" s="352">
        <f>SUM([3]Frontier!$FN$19:$FQ$19)</f>
        <v>994</v>
      </c>
      <c r="G40" s="352">
        <f>SUM([3]Frontier!$EZ$19:$FC$19)</f>
        <v>685</v>
      </c>
      <c r="H40" s="351">
        <f>(F40-G40)/G40</f>
        <v>0.45109489051094892</v>
      </c>
      <c r="I40" s="353">
        <f>F40/$F$65</f>
        <v>8.4511592711937894E-3</v>
      </c>
      <c r="J40" s="349" t="s">
        <v>47</v>
      </c>
      <c r="K40" s="363"/>
      <c r="L40" s="350">
        <f>[3]Frontier!$FQ$41</f>
        <v>40670</v>
      </c>
      <c r="M40" s="352">
        <f>[3]Frontier!$FC$41</f>
        <v>27963</v>
      </c>
      <c r="N40" s="353">
        <f>(L40-M40)/M40</f>
        <v>0.45442191467296073</v>
      </c>
      <c r="O40" s="350">
        <f>SUM([3]Frontier!$FN$41:$FQ$41)</f>
        <v>152667</v>
      </c>
      <c r="P40" s="352">
        <f>SUM([3]Frontier!$EZ$41:$FC$41)</f>
        <v>115873</v>
      </c>
      <c r="Q40" s="351">
        <f>(O40-P40)/P40</f>
        <v>0.31753730377223338</v>
      </c>
      <c r="R40" s="353">
        <f>O40/$O$65</f>
        <v>1.3371252721905235E-2</v>
      </c>
      <c r="S40" s="472"/>
      <c r="T40"/>
      <c r="U40" s="4"/>
    </row>
    <row r="41" spans="1:22" s="7" customFormat="1" ht="14.1" customHeight="1" x14ac:dyDescent="0.2">
      <c r="A41" s="349"/>
      <c r="B41" s="363"/>
      <c r="C41" s="350"/>
      <c r="D41" s="352"/>
      <c r="E41" s="353"/>
      <c r="F41" s="352"/>
      <c r="G41" s="352"/>
      <c r="H41" s="351"/>
      <c r="I41" s="353"/>
      <c r="J41" s="349"/>
      <c r="K41" s="363"/>
      <c r="L41" s="354"/>
      <c r="M41" s="9"/>
      <c r="N41" s="86"/>
      <c r="O41" s="354"/>
      <c r="P41" s="9"/>
      <c r="Q41" s="39"/>
      <c r="R41" s="86"/>
      <c r="S41" s="472"/>
    </row>
    <row r="42" spans="1:22" s="7" customFormat="1" ht="14.1" customHeight="1" x14ac:dyDescent="0.2">
      <c r="A42" s="349" t="s">
        <v>48</v>
      </c>
      <c r="B42" s="363"/>
      <c r="C42" s="350">
        <f>[3]Icelandair!$FQ$19</f>
        <v>40</v>
      </c>
      <c r="D42" s="352">
        <f>[3]Icelandair!$FC$19</f>
        <v>44</v>
      </c>
      <c r="E42" s="353">
        <f>(C42-D42)/D42</f>
        <v>-9.0909090909090912E-2</v>
      </c>
      <c r="F42" s="352">
        <f>SUM([3]Icelandair!$FN$19:$FQ$19)</f>
        <v>84</v>
      </c>
      <c r="G42" s="352">
        <f>SUM([3]Icelandair!$EZ$19:$FC$19)</f>
        <v>142</v>
      </c>
      <c r="H42" s="351">
        <f>(F42-G42)/G42</f>
        <v>-0.40845070422535212</v>
      </c>
      <c r="I42" s="353">
        <f>F42/$F$65</f>
        <v>7.1418247362201037E-4</v>
      </c>
      <c r="J42" s="349" t="s">
        <v>48</v>
      </c>
      <c r="K42" s="363"/>
      <c r="L42" s="350">
        <f>[3]Icelandair!$FQ$41</f>
        <v>5362</v>
      </c>
      <c r="M42" s="352">
        <f>[3]Icelandair!$FC$41</f>
        <v>5997</v>
      </c>
      <c r="N42" s="353">
        <f>(L42-M42)/M42</f>
        <v>-0.10588627647156912</v>
      </c>
      <c r="O42" s="350">
        <f>SUM([3]Icelandair!$FN$41:$FQ$41)</f>
        <v>11335</v>
      </c>
      <c r="P42" s="352">
        <f>SUM([3]Icelandair!$EZ$41:$FC$41)</f>
        <v>19756</v>
      </c>
      <c r="Q42" s="351">
        <f>(O42-P42)/P42</f>
        <v>-0.42625025308766956</v>
      </c>
      <c r="R42" s="353">
        <f>O42/$O$65</f>
        <v>9.9276955466994074E-4</v>
      </c>
      <c r="S42" s="20"/>
    </row>
    <row r="43" spans="1:22" s="7" customFormat="1" ht="14.1" customHeight="1" x14ac:dyDescent="0.2">
      <c r="A43" s="349"/>
      <c r="B43" s="363"/>
      <c r="C43" s="350"/>
      <c r="D43" s="352"/>
      <c r="E43" s="353"/>
      <c r="F43" s="352"/>
      <c r="G43" s="352"/>
      <c r="H43" s="351"/>
      <c r="I43" s="353"/>
      <c r="J43" s="349"/>
      <c r="K43" s="363"/>
      <c r="L43" s="354"/>
      <c r="M43" s="9"/>
      <c r="N43" s="86"/>
      <c r="O43" s="354"/>
      <c r="P43" s="9"/>
      <c r="Q43" s="39"/>
      <c r="R43" s="86"/>
      <c r="S43" s="20"/>
    </row>
    <row r="44" spans="1:22" s="7" customFormat="1" ht="14.1" customHeight="1" x14ac:dyDescent="0.2">
      <c r="A44" s="349" t="s">
        <v>216</v>
      </c>
      <c r="B44" s="363"/>
      <c r="C44" s="350">
        <f>[3]KLM!$FQ$19</f>
        <v>16</v>
      </c>
      <c r="D44" s="352">
        <f>[3]KLM!$FC$19</f>
        <v>26</v>
      </c>
      <c r="E44" s="353">
        <f>(C44-D44)/D44</f>
        <v>-0.38461538461538464</v>
      </c>
      <c r="F44" s="352">
        <f>SUM([3]KLM!$FN$19:$FQ$19)</f>
        <v>94</v>
      </c>
      <c r="G44" s="352">
        <f>SUM([3]KLM!$EZ$19:$FC$19)</f>
        <v>30</v>
      </c>
      <c r="H44" s="351">
        <f>(F44-G44)/G44</f>
        <v>2.1333333333333333</v>
      </c>
      <c r="I44" s="353">
        <f>F44/$F$65</f>
        <v>7.9920419667224975E-4</v>
      </c>
      <c r="J44" s="349" t="s">
        <v>216</v>
      </c>
      <c r="K44" s="363"/>
      <c r="L44" s="350">
        <f>[3]KLM!$FQ$41</f>
        <v>3756</v>
      </c>
      <c r="M44" s="352">
        <f>[3]KLM!$FC$41</f>
        <v>6040</v>
      </c>
      <c r="N44" s="353">
        <f>(L44-M44)/M44</f>
        <v>-0.37814569536423842</v>
      </c>
      <c r="O44" s="350">
        <f>SUM([3]KLM!$FN$41:$FQ$41)</f>
        <v>20012</v>
      </c>
      <c r="P44" s="352">
        <f>SUM([3]KLM!$EZ$41:$FC$41)</f>
        <v>6800</v>
      </c>
      <c r="Q44" s="351">
        <f>(O44-P44)/P44</f>
        <v>1.9429411764705882</v>
      </c>
      <c r="R44" s="353">
        <f>O44/$O$65</f>
        <v>1.7527396848747113E-3</v>
      </c>
      <c r="S44" s="20"/>
    </row>
    <row r="45" spans="1:22" s="7" customFormat="1" ht="14.1" customHeight="1" x14ac:dyDescent="0.2">
      <c r="A45" s="349"/>
      <c r="B45" s="363"/>
      <c r="C45" s="350"/>
      <c r="D45" s="352"/>
      <c r="E45" s="353"/>
      <c r="F45" s="352"/>
      <c r="G45" s="352"/>
      <c r="H45" s="351"/>
      <c r="I45" s="353"/>
      <c r="J45" s="349"/>
      <c r="K45" s="363"/>
      <c r="L45" s="354"/>
      <c r="M45" s="9"/>
      <c r="N45" s="86"/>
      <c r="O45" s="354"/>
      <c r="P45" s="9"/>
      <c r="Q45" s="39"/>
      <c r="R45" s="86"/>
      <c r="S45" s="20"/>
    </row>
    <row r="46" spans="1:22" ht="14.1" customHeight="1" x14ac:dyDescent="0.2">
      <c r="A46" s="361" t="s">
        <v>132</v>
      </c>
      <c r="B46" s="55"/>
      <c r="C46" s="350">
        <f>SUM(C47:C47)</f>
        <v>1301</v>
      </c>
      <c r="D46" s="352">
        <f>SUM(D47:D47)</f>
        <v>1595</v>
      </c>
      <c r="E46" s="353">
        <f>(C46-D46)/D46</f>
        <v>-0.18432601880877744</v>
      </c>
      <c r="F46" s="350">
        <f>SUM(F47:F47)</f>
        <v>5125</v>
      </c>
      <c r="G46" s="352">
        <f>SUM(G47:G47)</f>
        <v>5989</v>
      </c>
      <c r="H46" s="351">
        <f>(F46-G46)/G46</f>
        <v>-0.1442644848889631</v>
      </c>
      <c r="I46" s="353">
        <f>F46/$F$65</f>
        <v>4.3573633063247658E-2</v>
      </c>
      <c r="J46" s="349" t="s">
        <v>132</v>
      </c>
      <c r="K46" s="55"/>
      <c r="L46" s="350">
        <f>SUM(L47:L47)</f>
        <v>153817</v>
      </c>
      <c r="M46" s="352">
        <f>SUM(M47:M47)</f>
        <v>183819</v>
      </c>
      <c r="N46" s="353">
        <f>(L46-M46)/M46</f>
        <v>-0.16321490161517579</v>
      </c>
      <c r="O46" s="350">
        <f>SUM(O47:O47)</f>
        <v>614859</v>
      </c>
      <c r="P46" s="352">
        <f>SUM(P47:P47)</f>
        <v>675000</v>
      </c>
      <c r="Q46" s="351">
        <f>(O46-P46)/P46</f>
        <v>-8.9097777777777776E-2</v>
      </c>
      <c r="R46" s="353">
        <f>O46/$O$65</f>
        <v>5.3852077248769746E-2</v>
      </c>
      <c r="S46" s="20"/>
    </row>
    <row r="47" spans="1:22" ht="14.1" customHeight="1" x14ac:dyDescent="0.2">
      <c r="A47" s="361"/>
      <c r="B47" s="55" t="s">
        <v>132</v>
      </c>
      <c r="C47" s="432">
        <f>[3]Southwest!$FQ$19</f>
        <v>1301</v>
      </c>
      <c r="D47" s="295">
        <f>[3]Southwest!$FC$19</f>
        <v>1595</v>
      </c>
      <c r="E47" s="434">
        <f>(C47-D47)/D47</f>
        <v>-0.18432601880877744</v>
      </c>
      <c r="F47" s="295">
        <f>SUM([3]Southwest!$FN$19:$FQ$19)</f>
        <v>5125</v>
      </c>
      <c r="G47" s="295">
        <f>SUM([3]Southwest!$EZ$19:$FC$19)</f>
        <v>5989</v>
      </c>
      <c r="H47" s="433">
        <f>(F47-G47)/G47</f>
        <v>-0.1442644848889631</v>
      </c>
      <c r="I47" s="434">
        <f>F47/$F$65</f>
        <v>4.3573633063247658E-2</v>
      </c>
      <c r="J47" s="349"/>
      <c r="K47" s="55" t="s">
        <v>132</v>
      </c>
      <c r="L47" s="432">
        <f>[3]Southwest!$FQ$41</f>
        <v>153817</v>
      </c>
      <c r="M47" s="295">
        <f>[3]Southwest!$FC$41</f>
        <v>183819</v>
      </c>
      <c r="N47" s="434">
        <f>(L47-M47)/M47</f>
        <v>-0.16321490161517579</v>
      </c>
      <c r="O47" s="432">
        <f>SUM([3]Southwest!$FN$41:$FQ$41)</f>
        <v>614859</v>
      </c>
      <c r="P47" s="295">
        <f>SUM([3]Southwest!$EZ$41:$FC$41)</f>
        <v>675000</v>
      </c>
      <c r="Q47" s="433">
        <f>(O47-P47)/P47</f>
        <v>-8.9097777777777776E-2</v>
      </c>
      <c r="R47" s="434">
        <f>O47/$O$65</f>
        <v>5.3852077248769746E-2</v>
      </c>
      <c r="S47" s="20"/>
    </row>
    <row r="48" spans="1:22" ht="14.1" customHeight="1" x14ac:dyDescent="0.2">
      <c r="A48" s="349"/>
      <c r="B48" s="55"/>
      <c r="C48" s="350"/>
      <c r="D48" s="352"/>
      <c r="E48" s="353"/>
      <c r="F48" s="352"/>
      <c r="G48" s="352"/>
      <c r="H48" s="351"/>
      <c r="I48" s="353"/>
      <c r="J48" s="349"/>
      <c r="K48" s="55"/>
      <c r="L48" s="354"/>
      <c r="M48" s="9"/>
      <c r="N48" s="86"/>
      <c r="O48" s="354"/>
      <c r="P48" s="9"/>
      <c r="Q48" s="39"/>
      <c r="R48" s="86"/>
      <c r="S48" s="20"/>
      <c r="T48" s="7"/>
    </row>
    <row r="49" spans="1:20" ht="14.1" customHeight="1" x14ac:dyDescent="0.2">
      <c r="A49" s="349" t="s">
        <v>161</v>
      </c>
      <c r="B49" s="55"/>
      <c r="C49" s="350">
        <f>[3]Spirit!$FQ$19</f>
        <v>670</v>
      </c>
      <c r="D49" s="352">
        <f>[3]Spirit!$FC$19</f>
        <v>820</v>
      </c>
      <c r="E49" s="353">
        <f>(C49-D49)/D49</f>
        <v>-0.18292682926829268</v>
      </c>
      <c r="F49" s="352">
        <f>SUM([3]Spirit!$FN$19:$FQ$19)</f>
        <v>2884</v>
      </c>
      <c r="G49" s="352">
        <f>SUM([3]Spirit!$EZ$19:$FC$19)</f>
        <v>3171</v>
      </c>
      <c r="H49" s="351">
        <f>(F49-G49)/G49</f>
        <v>-9.0507726269315678E-2</v>
      </c>
      <c r="I49" s="353">
        <f>F49/$F$65</f>
        <v>2.4520264927689026E-2</v>
      </c>
      <c r="J49" s="349" t="s">
        <v>161</v>
      </c>
      <c r="K49" s="55"/>
      <c r="L49" s="350">
        <f>[3]Spirit!$FQ$41</f>
        <v>80764</v>
      </c>
      <c r="M49" s="352">
        <f>[3]Spirit!$FC$41</f>
        <v>104626</v>
      </c>
      <c r="N49" s="353">
        <f>(L49-M49)/M49</f>
        <v>-0.22806950471202186</v>
      </c>
      <c r="O49" s="350">
        <f>SUM([3]Spirit!$FN$41:$FQ$41)</f>
        <v>382905</v>
      </c>
      <c r="P49" s="352">
        <f>SUM([3]Spirit!$EZ$41:$FC$41)</f>
        <v>428348</v>
      </c>
      <c r="Q49" s="351">
        <f>(O49-P49)/P49</f>
        <v>-0.10608897438531288</v>
      </c>
      <c r="R49" s="353">
        <f>O49/$O$65</f>
        <v>3.3536517541322773E-2</v>
      </c>
      <c r="S49" s="20"/>
      <c r="T49" s="7"/>
    </row>
    <row r="50" spans="1:20" ht="14.1" customHeight="1" x14ac:dyDescent="0.2">
      <c r="A50" s="349"/>
      <c r="B50" s="55"/>
      <c r="C50" s="350"/>
      <c r="D50" s="352"/>
      <c r="E50" s="353"/>
      <c r="F50" s="352"/>
      <c r="G50" s="352"/>
      <c r="H50" s="351"/>
      <c r="I50" s="353"/>
      <c r="J50" s="349"/>
      <c r="K50" s="55"/>
      <c r="L50" s="354"/>
      <c r="M50" s="9"/>
      <c r="N50" s="86"/>
      <c r="O50" s="354"/>
      <c r="P50" s="9"/>
      <c r="Q50" s="39"/>
      <c r="R50" s="86">
        <f>O50/$O$65</f>
        <v>0</v>
      </c>
      <c r="S50" s="20"/>
      <c r="T50" s="7"/>
    </row>
    <row r="51" spans="1:20" s="7" customFormat="1" ht="14.1" customHeight="1" x14ac:dyDescent="0.2">
      <c r="A51" s="349" t="s">
        <v>49</v>
      </c>
      <c r="B51" s="363"/>
      <c r="C51" s="350">
        <f>'[3]Sun Country'!$FQ$19</f>
        <v>1743</v>
      </c>
      <c r="D51" s="352">
        <f>'[3]Sun Country'!$FC$19</f>
        <v>1894</v>
      </c>
      <c r="E51" s="353">
        <f>(C51-D51)/D51</f>
        <v>-7.9725448785638864E-2</v>
      </c>
      <c r="F51" s="352">
        <f>SUM('[3]Sun Country'!$FN$19:$FQ$19)</f>
        <v>7779</v>
      </c>
      <c r="G51" s="352">
        <f>SUM('[3]Sun Country'!$EZ$19:$FC$19)</f>
        <v>7903</v>
      </c>
      <c r="H51" s="351">
        <f>(F51-G51)/G51</f>
        <v>-1.5690244211059093E-2</v>
      </c>
      <c r="I51" s="353">
        <f>F51/$F$65</f>
        <v>6.6138398360781184E-2</v>
      </c>
      <c r="J51" s="349" t="s">
        <v>49</v>
      </c>
      <c r="K51" s="363"/>
      <c r="L51" s="350">
        <f>'[3]Sun Country'!$FQ$41</f>
        <v>211063</v>
      </c>
      <c r="M51" s="352">
        <f>'[3]Sun Country'!$FC$41</f>
        <v>212576</v>
      </c>
      <c r="N51" s="353">
        <f>(L51-M51)/M51</f>
        <v>-7.1174544633448742E-3</v>
      </c>
      <c r="O51" s="350">
        <f>SUM('[3]Sun Country'!$FN$41:$FQ$41)</f>
        <v>932928</v>
      </c>
      <c r="P51" s="352">
        <f>SUM('[3]Sun Country'!$EZ$41:$FC$41)</f>
        <v>898800</v>
      </c>
      <c r="Q51" s="351">
        <f>(O51-P51)/P51</f>
        <v>3.7970627503337781E-2</v>
      </c>
      <c r="R51" s="353">
        <f>O51/$O$65</f>
        <v>8.1709970454267172E-2</v>
      </c>
      <c r="S51" s="20"/>
    </row>
    <row r="52" spans="1:20" s="7" customFormat="1" ht="14.1" customHeight="1" x14ac:dyDescent="0.2">
      <c r="A52" s="349"/>
      <c r="B52" s="363"/>
      <c r="C52" s="350"/>
      <c r="D52" s="352"/>
      <c r="E52" s="353"/>
      <c r="F52" s="352"/>
      <c r="G52" s="352"/>
      <c r="H52" s="351"/>
      <c r="I52" s="353"/>
      <c r="J52" s="349"/>
      <c r="K52" s="363"/>
      <c r="L52" s="354"/>
      <c r="M52" s="9"/>
      <c r="N52" s="86"/>
      <c r="O52" s="354"/>
      <c r="P52" s="9"/>
      <c r="Q52" s="39"/>
      <c r="R52" s="86"/>
      <c r="S52" s="20"/>
    </row>
    <row r="53" spans="1:20" s="7" customFormat="1" ht="14.1" customHeight="1" x14ac:dyDescent="0.2">
      <c r="A53" s="349" t="s">
        <v>19</v>
      </c>
      <c r="B53" s="357"/>
      <c r="C53" s="350">
        <f>SUM(C54:C60)</f>
        <v>1386</v>
      </c>
      <c r="D53" s="352">
        <f>SUM(D54:D60)</f>
        <v>1546</v>
      </c>
      <c r="E53" s="353">
        <f t="shared" ref="E53:E60" si="12">(C53-D53)/D53</f>
        <v>-0.10349288486416559</v>
      </c>
      <c r="F53" s="352">
        <f>SUM(F54:F60)</f>
        <v>5552</v>
      </c>
      <c r="G53" s="352">
        <f>SUM(G54:G60)</f>
        <v>5990</v>
      </c>
      <c r="H53" s="351">
        <f t="shared" ref="H53:H60" si="13">(F53-G53)/G53</f>
        <v>-7.3121869782971624E-2</v>
      </c>
      <c r="I53" s="353">
        <f t="shared" ref="I53:I60" si="14">F53/$F$65</f>
        <v>4.7204060637492877E-2</v>
      </c>
      <c r="J53" s="349" t="s">
        <v>19</v>
      </c>
      <c r="K53" s="357"/>
      <c r="L53" s="350">
        <f>SUM(L54:L60)</f>
        <v>117732</v>
      </c>
      <c r="M53" s="352">
        <f>SUM(M54:M60)</f>
        <v>128497</v>
      </c>
      <c r="N53" s="353">
        <f t="shared" ref="N53:N60" si="15">(L53-M53)/M53</f>
        <v>-8.3776274932488695E-2</v>
      </c>
      <c r="O53" s="350">
        <f>SUM(O54:O60)</f>
        <v>483189</v>
      </c>
      <c r="P53" s="352">
        <f>SUM(P54:P60)</f>
        <v>504953</v>
      </c>
      <c r="Q53" s="351">
        <f t="shared" ref="Q53:Q60" si="16">(O53-P53)/P53</f>
        <v>-4.3101041086992253E-2</v>
      </c>
      <c r="R53" s="353">
        <f t="shared" ref="R53:R60" si="17">O53/$O$65</f>
        <v>4.2319834878819053E-2</v>
      </c>
      <c r="S53" s="20"/>
      <c r="T53"/>
    </row>
    <row r="54" spans="1:20" s="7" customFormat="1" ht="14.1" customHeight="1" x14ac:dyDescent="0.2">
      <c r="A54" s="364"/>
      <c r="B54" s="425" t="s">
        <v>19</v>
      </c>
      <c r="C54" s="354">
        <f>[3]United!$FQ$19</f>
        <v>520</v>
      </c>
      <c r="D54" s="9">
        <f>[3]United!$FC$19+[3]Continental!$FC$19</f>
        <v>624</v>
      </c>
      <c r="E54" s="86">
        <f t="shared" si="12"/>
        <v>-0.16666666666666666</v>
      </c>
      <c r="F54" s="9">
        <f>SUM([3]United!$FN$19:$FQ$19)</f>
        <v>2086</v>
      </c>
      <c r="G54" s="9">
        <f>SUM([3]United!$EZ$19:$FC$19)+SUM([3]Continental!$EZ$19:$FC$19)</f>
        <v>2446</v>
      </c>
      <c r="H54" s="39">
        <f t="shared" si="13"/>
        <v>-0.14717906786590351</v>
      </c>
      <c r="I54" s="86">
        <f t="shared" si="14"/>
        <v>1.7735531428279924E-2</v>
      </c>
      <c r="J54" s="364"/>
      <c r="K54" s="425" t="s">
        <v>19</v>
      </c>
      <c r="L54" s="354">
        <f>[3]United!$FQ$41</f>
        <v>62769</v>
      </c>
      <c r="M54" s="9">
        <f>[3]United!$FC$41+[3]Continental!$FC$41</f>
        <v>74061</v>
      </c>
      <c r="N54" s="86">
        <f t="shared" si="15"/>
        <v>-0.15246891076274963</v>
      </c>
      <c r="O54" s="354">
        <f>SUM([3]United!$FN$41:$FQ$41)</f>
        <v>265614</v>
      </c>
      <c r="P54" s="9">
        <f>SUM([3]United!$EZ$41:$FC$41)+SUM([3]Continental!$EZ$41:$FC$41)</f>
        <v>291176</v>
      </c>
      <c r="Q54" s="39">
        <f t="shared" si="16"/>
        <v>-8.7788828749622225E-2</v>
      </c>
      <c r="R54" s="86">
        <f t="shared" si="17"/>
        <v>2.3263651741870457E-2</v>
      </c>
      <c r="S54" s="20"/>
    </row>
    <row r="55" spans="1:20" s="7" customFormat="1" ht="14.1" customHeight="1" x14ac:dyDescent="0.2">
      <c r="A55" s="364"/>
      <c r="B55" s="427" t="s">
        <v>174</v>
      </c>
      <c r="C55" s="354">
        <f>'[3]Continental Express'!$FQ$19</f>
        <v>4</v>
      </c>
      <c r="D55" s="9">
        <f>'[3]Continental Express'!$FC$19</f>
        <v>20</v>
      </c>
      <c r="E55" s="86">
        <f t="shared" si="12"/>
        <v>-0.8</v>
      </c>
      <c r="F55" s="9">
        <f>SUM('[3]Continental Express'!$FN$19:$FQ$19)</f>
        <v>52</v>
      </c>
      <c r="G55" s="9">
        <f>SUM('[3]Continental Express'!$EZ$19:$FC$19)</f>
        <v>112</v>
      </c>
      <c r="H55" s="39">
        <f t="shared" si="13"/>
        <v>-0.5357142857142857</v>
      </c>
      <c r="I55" s="86">
        <f t="shared" si="14"/>
        <v>4.4211295986124456E-4</v>
      </c>
      <c r="J55" s="53"/>
      <c r="K55" s="425" t="s">
        <v>174</v>
      </c>
      <c r="L55" s="354">
        <f>'[3]Continental Express'!$FQ$41</f>
        <v>100</v>
      </c>
      <c r="M55" s="9">
        <f>'[3]Continental Express'!$FC$41</f>
        <v>850</v>
      </c>
      <c r="N55" s="86">
        <f t="shared" si="15"/>
        <v>-0.88235294117647056</v>
      </c>
      <c r="O55" s="354">
        <f>SUM('[3]Continental Express'!$FN$41:$FQ$41)</f>
        <v>1597</v>
      </c>
      <c r="P55" s="9">
        <f>SUM('[3]Continental Express'!$EZ$41:$FC$41)</f>
        <v>4493</v>
      </c>
      <c r="Q55" s="39">
        <f t="shared" si="16"/>
        <v>-0.6445582016470065</v>
      </c>
      <c r="R55" s="86">
        <f t="shared" si="17"/>
        <v>1.398723404329859E-4</v>
      </c>
      <c r="S55" s="20"/>
    </row>
    <row r="56" spans="1:20" s="7" customFormat="1" ht="14.1" customHeight="1" x14ac:dyDescent="0.2">
      <c r="A56" s="364"/>
      <c r="B56" s="359" t="s">
        <v>160</v>
      </c>
      <c r="C56" s="354">
        <f>'[3]Go Jet_UA'!$FQ$19</f>
        <v>12</v>
      </c>
      <c r="D56" s="9">
        <f>'[3]Go Jet_UA'!$FC$19</f>
        <v>2</v>
      </c>
      <c r="E56" s="86">
        <f t="shared" si="12"/>
        <v>5</v>
      </c>
      <c r="F56" s="9">
        <f>SUM('[3]Go Jet_UA'!$FN$19:$FQ$19)</f>
        <v>150</v>
      </c>
      <c r="G56" s="9">
        <f>SUM('[3]Go Jet_UA'!$EZ$19:$FC$19)</f>
        <v>76</v>
      </c>
      <c r="H56" s="39">
        <f t="shared" si="13"/>
        <v>0.97368421052631582</v>
      </c>
      <c r="I56" s="86">
        <f t="shared" si="14"/>
        <v>1.2753258457535901E-3</v>
      </c>
      <c r="J56" s="364"/>
      <c r="K56" s="358" t="s">
        <v>160</v>
      </c>
      <c r="L56" s="354">
        <f>'[3]Go Jet_UA'!$FQ$41</f>
        <v>815</v>
      </c>
      <c r="M56" s="9">
        <f>'[3]Go Jet_UA'!$FC$41</f>
        <v>133</v>
      </c>
      <c r="N56" s="86">
        <f t="shared" si="15"/>
        <v>5.1278195488721803</v>
      </c>
      <c r="O56" s="354">
        <f>SUM('[3]Go Jet_UA'!$FN$41:$FQ$41)</f>
        <v>9913</v>
      </c>
      <c r="P56" s="9">
        <f>SUM('[3]Go Jet_UA'!$EZ$41:$FC$41)</f>
        <v>4885</v>
      </c>
      <c r="Q56" s="39">
        <f t="shared" si="16"/>
        <v>1.0292732855680655</v>
      </c>
      <c r="R56" s="86">
        <f t="shared" si="17"/>
        <v>8.6822449011408225E-4</v>
      </c>
      <c r="S56" s="20"/>
    </row>
    <row r="57" spans="1:20" s="7" customFormat="1" ht="14.1" customHeight="1" x14ac:dyDescent="0.2">
      <c r="A57" s="364"/>
      <c r="B57" s="359" t="s">
        <v>51</v>
      </c>
      <c r="C57" s="354">
        <f>[3]MESA_UA!$FQ$19</f>
        <v>344</v>
      </c>
      <c r="D57" s="9">
        <f>[3]MESA_UA!$FC$19</f>
        <v>306</v>
      </c>
      <c r="E57" s="86">
        <f t="shared" si="12"/>
        <v>0.12418300653594772</v>
      </c>
      <c r="F57" s="9">
        <f>SUM([3]MESA_UA!$FN$19:$FQ$19)</f>
        <v>1066</v>
      </c>
      <c r="G57" s="9">
        <f>SUM([3]MESA_UA!$EZ$19:$FC$19)</f>
        <v>1254</v>
      </c>
      <c r="H57" s="39">
        <f>(F57-G57)/G57</f>
        <v>-0.14992025518341306</v>
      </c>
      <c r="I57" s="86">
        <f t="shared" si="14"/>
        <v>9.0633156771555128E-3</v>
      </c>
      <c r="J57" s="364"/>
      <c r="K57" s="358" t="s">
        <v>51</v>
      </c>
      <c r="L57" s="354">
        <f>[3]MESA_UA!$FQ$41</f>
        <v>21523</v>
      </c>
      <c r="M57" s="9">
        <f>[3]MESA_UA!$FC$41</f>
        <v>17625</v>
      </c>
      <c r="N57" s="86">
        <f t="shared" si="15"/>
        <v>0.22116312056737589</v>
      </c>
      <c r="O57" s="354">
        <f>SUM([3]MESA_UA!$FN$41:$FQ$41)</f>
        <v>65514</v>
      </c>
      <c r="P57" s="9">
        <f>SUM([3]MESA_UA!$EZ$41:$FC$41)</f>
        <v>74236</v>
      </c>
      <c r="Q57" s="39">
        <f t="shared" si="16"/>
        <v>-0.11749016649603966</v>
      </c>
      <c r="R57" s="86">
        <f t="shared" si="17"/>
        <v>5.7380065817950153E-3</v>
      </c>
      <c r="S57" s="20"/>
    </row>
    <row r="58" spans="1:20" s="7" customFormat="1" ht="14.1" customHeight="1" x14ac:dyDescent="0.2">
      <c r="A58" s="364"/>
      <c r="B58" s="427" t="s">
        <v>52</v>
      </c>
      <c r="C58" s="354">
        <f>[3]Republic_UA!$FQ$19</f>
        <v>318</v>
      </c>
      <c r="D58" s="9">
        <f>[3]Republic_UA!$FC$19</f>
        <v>314</v>
      </c>
      <c r="E58" s="86">
        <f t="shared" si="12"/>
        <v>1.2738853503184714E-2</v>
      </c>
      <c r="F58" s="9">
        <f>SUM([3]Republic_UA!$FN$19:$FQ$19)</f>
        <v>1484</v>
      </c>
      <c r="G58" s="9">
        <f>SUM([3]Republic_UA!$EZ$19:$FC$19)</f>
        <v>998</v>
      </c>
      <c r="H58" s="39">
        <f t="shared" ref="H58" si="18">(F58-G58)/G58</f>
        <v>0.48697394789579157</v>
      </c>
      <c r="I58" s="86">
        <f t="shared" si="14"/>
        <v>1.2617223700655518E-2</v>
      </c>
      <c r="J58" s="364"/>
      <c r="K58" s="427" t="s">
        <v>52</v>
      </c>
      <c r="L58" s="354">
        <f>[3]Republic_UA!$FQ$41</f>
        <v>20578</v>
      </c>
      <c r="M58" s="9">
        <f>[3]Republic_UA!$FC$41</f>
        <v>18279</v>
      </c>
      <c r="N58" s="86">
        <f t="shared" si="15"/>
        <v>0.12577274467968708</v>
      </c>
      <c r="O58" s="354">
        <f>SUM([3]Republic_UA!$FN$41:$FQ$41)</f>
        <v>93210</v>
      </c>
      <c r="P58" s="9">
        <f>SUM([3]Republic_UA!$EZ$41:$FC$41)</f>
        <v>57037</v>
      </c>
      <c r="Q58" s="39">
        <f t="shared" si="16"/>
        <v>0.63420235987166229</v>
      </c>
      <c r="R58" s="86">
        <f t="shared" si="17"/>
        <v>8.1637450543259969E-3</v>
      </c>
      <c r="S58" s="20"/>
    </row>
    <row r="59" spans="1:20" s="7" customFormat="1" ht="14.1" customHeight="1" x14ac:dyDescent="0.2">
      <c r="A59" s="364"/>
      <c r="B59" s="359" t="s">
        <v>100</v>
      </c>
      <c r="C59" s="354">
        <f>'[3]Sky West_UA'!$FQ$19</f>
        <v>188</v>
      </c>
      <c r="D59" s="9">
        <f>'[3]Sky West_UA'!$FC$19+'[3]Sky West_CO'!$FC$19</f>
        <v>280</v>
      </c>
      <c r="E59" s="86">
        <f t="shared" si="12"/>
        <v>-0.32857142857142857</v>
      </c>
      <c r="F59" s="9">
        <f>SUM('[3]Sky West_UA'!$FN$19:$FQ$19)</f>
        <v>714</v>
      </c>
      <c r="G59" s="9">
        <f>SUM('[3]Sky West_UA'!$EZ$19:$FC$19)+SUM('[3]Sky West_CO'!$EZ$19:$FC$19)</f>
        <v>1080</v>
      </c>
      <c r="H59" s="39">
        <f t="shared" si="13"/>
        <v>-0.33888888888888891</v>
      </c>
      <c r="I59" s="86">
        <f t="shared" si="14"/>
        <v>6.070551025787089E-3</v>
      </c>
      <c r="J59" s="364"/>
      <c r="K59" s="358" t="s">
        <v>100</v>
      </c>
      <c r="L59" s="354">
        <f>'[3]Sky West_UA'!$FQ$41</f>
        <v>11947</v>
      </c>
      <c r="M59" s="9">
        <f>'[3]Sky West_UA'!$FC$41+'[3]Sky West_CO'!$FC$41</f>
        <v>17549</v>
      </c>
      <c r="N59" s="86">
        <f t="shared" si="15"/>
        <v>-0.31922046840275797</v>
      </c>
      <c r="O59" s="354">
        <f>SUM('[3]Sky West_UA'!$FN$41:$FQ$41)</f>
        <v>47341</v>
      </c>
      <c r="P59" s="9">
        <f>SUM('[3]Sky West_UA'!$EZ$41:$FC$41)+SUM('[3]Sky West_CO'!$EZ$41:$FC$41)</f>
        <v>71853</v>
      </c>
      <c r="Q59" s="39">
        <f t="shared" si="16"/>
        <v>-0.34114094053136262</v>
      </c>
      <c r="R59" s="86">
        <f t="shared" si="17"/>
        <v>4.1463346702805175E-3</v>
      </c>
      <c r="S59" s="20"/>
    </row>
    <row r="60" spans="1:20" s="7" customFormat="1" ht="14.1" customHeight="1" x14ac:dyDescent="0.2">
      <c r="A60" s="364"/>
      <c r="B60" s="360" t="s">
        <v>134</v>
      </c>
      <c r="C60" s="354">
        <f>'[3]Shuttle America'!$FQ$19</f>
        <v>0</v>
      </c>
      <c r="D60" s="9">
        <f>'[3]Shuttle America'!$FC$19</f>
        <v>0</v>
      </c>
      <c r="E60" s="86" t="e">
        <f t="shared" si="12"/>
        <v>#DIV/0!</v>
      </c>
      <c r="F60" s="9">
        <f>SUM('[3]Shuttle America'!$FN$19:$FQ$19)</f>
        <v>0</v>
      </c>
      <c r="G60" s="9">
        <f>SUM('[3]Shuttle America'!$EZ$19:$FC$19)</f>
        <v>24</v>
      </c>
      <c r="H60" s="39">
        <f t="shared" si="13"/>
        <v>-1</v>
      </c>
      <c r="I60" s="86">
        <f t="shared" si="14"/>
        <v>0</v>
      </c>
      <c r="J60" s="364"/>
      <c r="K60" s="360" t="s">
        <v>134</v>
      </c>
      <c r="L60" s="354">
        <f>'[3]Shuttle America'!$FQ$41</f>
        <v>0</v>
      </c>
      <c r="M60" s="9">
        <f>'[3]Shuttle America'!$FC$41</f>
        <v>0</v>
      </c>
      <c r="N60" s="86" t="e">
        <f t="shared" si="15"/>
        <v>#DIV/0!</v>
      </c>
      <c r="O60" s="354">
        <f>SUM('[3]Shuttle America'!$FN$41:$FQ$41)</f>
        <v>0</v>
      </c>
      <c r="P60" s="9">
        <f>SUM('[3]Shuttle America'!$EZ$41:$FC$41)</f>
        <v>1273</v>
      </c>
      <c r="Q60" s="39">
        <f t="shared" si="16"/>
        <v>-1</v>
      </c>
      <c r="R60" s="86">
        <f t="shared" si="17"/>
        <v>0</v>
      </c>
      <c r="S60" s="20"/>
    </row>
    <row r="61" spans="1:20" s="7" customFormat="1" ht="14.1" customHeight="1" thickBot="1" x14ac:dyDescent="0.25">
      <c r="A61" s="430"/>
      <c r="B61" s="431"/>
      <c r="C61" s="365"/>
      <c r="D61" s="367"/>
      <c r="E61" s="368"/>
      <c r="F61" s="369"/>
      <c r="G61" s="369"/>
      <c r="H61" s="366"/>
      <c r="I61" s="368"/>
      <c r="J61" s="430"/>
      <c r="K61" s="431"/>
      <c r="L61" s="365"/>
      <c r="M61" s="369"/>
      <c r="N61" s="368"/>
      <c r="O61" s="365"/>
      <c r="P61" s="369"/>
      <c r="Q61" s="366"/>
      <c r="R61" s="474"/>
      <c r="S61" s="20"/>
    </row>
    <row r="62" spans="1:20" s="229" customFormat="1" ht="14.1" customHeight="1" thickBot="1" x14ac:dyDescent="0.25">
      <c r="B62" s="264"/>
      <c r="C62" s="352"/>
      <c r="D62" s="352"/>
      <c r="E62" s="351"/>
      <c r="F62" s="429"/>
      <c r="G62" s="352"/>
      <c r="H62" s="351"/>
      <c r="I62" s="351"/>
      <c r="J62" s="370"/>
      <c r="K62" s="264"/>
      <c r="L62" s="371"/>
      <c r="M62" s="372"/>
      <c r="N62" s="370"/>
      <c r="O62" s="230"/>
      <c r="P62" s="230"/>
      <c r="Q62" s="230"/>
      <c r="R62" s="493"/>
      <c r="S62" s="228"/>
      <c r="T62"/>
    </row>
    <row r="63" spans="1:20" ht="14.1" customHeight="1" x14ac:dyDescent="0.2">
      <c r="B63" s="373" t="s">
        <v>136</v>
      </c>
      <c r="C63" s="441">
        <f>+C65-C64</f>
        <v>17333</v>
      </c>
      <c r="D63" s="442">
        <f>+D65-D64</f>
        <v>18713</v>
      </c>
      <c r="E63" s="443">
        <f>(C63-D63)/D63</f>
        <v>-7.3745524501683327E-2</v>
      </c>
      <c r="F63" s="441">
        <f t="shared" ref="F63:G63" si="19">+F65-F64</f>
        <v>68899</v>
      </c>
      <c r="G63" s="442">
        <f t="shared" si="19"/>
        <v>70893</v>
      </c>
      <c r="H63" s="448">
        <f>(F63-G63)/G63</f>
        <v>-2.8126895462175391E-2</v>
      </c>
      <c r="I63" s="504">
        <f>F63/$F$65</f>
        <v>0.58579116964384403</v>
      </c>
      <c r="K63" s="373" t="s">
        <v>136</v>
      </c>
      <c r="L63" s="441">
        <f>+L65-L64</f>
        <v>2235493</v>
      </c>
      <c r="M63" s="442">
        <f>+M65-M64</f>
        <v>2368846</v>
      </c>
      <c r="N63" s="443">
        <f>(L63-M63)/M63</f>
        <v>-5.6294499515797986E-2</v>
      </c>
      <c r="O63" s="441">
        <f t="shared" ref="O63" si="20">+O65-O64</f>
        <v>8932516</v>
      </c>
      <c r="P63" s="442">
        <f>+P65-P64</f>
        <v>8969227</v>
      </c>
      <c r="Q63" s="491">
        <f>(O63-P63)/P63</f>
        <v>-4.0929948589772565E-3</v>
      </c>
      <c r="R63" s="497">
        <f>+O63/O65</f>
        <v>0.78234935433631403</v>
      </c>
    </row>
    <row r="64" spans="1:20" ht="14.1" customHeight="1" x14ac:dyDescent="0.2">
      <c r="B64" s="329" t="s">
        <v>137</v>
      </c>
      <c r="C64" s="444">
        <f>C60+C38+C36+C34+C33+C37+C20+C59+C56+C35+C55+C57+C25+C24+C21+C15+C6+C58+C22+C23+C7+C16</f>
        <v>12812</v>
      </c>
      <c r="D64" s="374">
        <f>D60+D38+D36+D34+D33+D37+D20+D59+D56+D35+D55+D57+D25+D24+D21+D15+D6+D58+D22+D23+D7+D16</f>
        <v>12411</v>
      </c>
      <c r="E64" s="375">
        <f>(C64-D64)/D64</f>
        <v>3.2310047538473934E-2</v>
      </c>
      <c r="F64" s="444">
        <f>F60+F38+F36+F34+F33+F37+F20+F59+F56+F35+F55+F57+F25+F24+F21+F15+F6+F58+F22+F23+F7+F16</f>
        <v>48718</v>
      </c>
      <c r="G64" s="374">
        <f>G60+G38+G36+G34+G33+G37+G20+G59+G56+G35+G55+G57+G25+G24+G21+G15+G6+G58+G22+G23+G7+G16</f>
        <v>49816</v>
      </c>
      <c r="H64" s="449">
        <f>(F64-G64)/G64</f>
        <v>-2.2041111289545529E-2</v>
      </c>
      <c r="I64" s="505">
        <f>F64/$F$65</f>
        <v>0.41420883035615602</v>
      </c>
      <c r="K64" s="329" t="s">
        <v>137</v>
      </c>
      <c r="L64" s="444">
        <f>L60+L38+L36+L34+L33+L37+L20+L59+L56+L35+L55+L57+L25+L24+L21+L15+L6+L58+L22+L23+L7+L16</f>
        <v>658089</v>
      </c>
      <c r="M64" s="374">
        <f>M60+M38+M36+M34+M33+M37+M20+M59+M56+M35+M55+M57+M25+M24+M21+M15+M6+M58+M22+M23+M7+M16</f>
        <v>625681</v>
      </c>
      <c r="N64" s="375">
        <f>(L64-M64)/M64</f>
        <v>5.1796362683220361E-2</v>
      </c>
      <c r="O64" s="444">
        <f>O60+O38+O36+O34+O33+O37+O20+O59+O56+O35+O55+O57+O25+O24+O21+O15+O6+O58+O22+O23+O7+O16</f>
        <v>2485038</v>
      </c>
      <c r="P64" s="374">
        <f>P60+P38+P36+P34+P33+P37+P20+P59+P56+P35+P55+P57+P25+P24+P21+P15+P6+P58+P22+P23+P7+P16</f>
        <v>2475202</v>
      </c>
      <c r="Q64" s="489">
        <f>(O64-P64)/P64</f>
        <v>3.973817086443854E-3</v>
      </c>
      <c r="R64" s="498">
        <f>+O64/O65</f>
        <v>0.21765064566368594</v>
      </c>
    </row>
    <row r="65" spans="2:18" ht="14.1" customHeight="1" thickBot="1" x14ac:dyDescent="0.25">
      <c r="B65" s="329" t="s">
        <v>138</v>
      </c>
      <c r="C65" s="445">
        <f>C53+C51+C46+C42+C40+C31+C18+C13+C4+C49+C29+C27+C9+C44+C11</f>
        <v>30145</v>
      </c>
      <c r="D65" s="446">
        <f>D53+D51+D46+D42+D40+D31+D18+D13+D4+D49+D29+D27+D9+D44+D11</f>
        <v>31124</v>
      </c>
      <c r="E65" s="447">
        <f>(C65-D65)/D65</f>
        <v>-3.1454825857858887E-2</v>
      </c>
      <c r="F65" s="445">
        <f>F53+F51+F46+F42+F40+F31+F18+F13+F4+F49+F29+F27+F9+F44+F11</f>
        <v>117617</v>
      </c>
      <c r="G65" s="446">
        <f>G53+G51+G46+G42+G40+G31+G18+G13+G4+G49+G29+G27+G9+G44+G11</f>
        <v>120709</v>
      </c>
      <c r="H65" s="450">
        <f>(F65-G65)/G65</f>
        <v>-2.5615322801116735E-2</v>
      </c>
      <c r="I65" s="506">
        <f>+H65/H65</f>
        <v>1</v>
      </c>
      <c r="K65" s="329" t="s">
        <v>138</v>
      </c>
      <c r="L65" s="445">
        <f>L53+L51+L46+L42+L40+L31+L18+L13+L4+L49+L29+L27+L9+L44+L11</f>
        <v>2893582</v>
      </c>
      <c r="M65" s="446">
        <f>M53+M51+M46+M42+M40+M31+M18+M13+M4+M49+M29+M27+M9+M44+M11</f>
        <v>2994527</v>
      </c>
      <c r="N65" s="447">
        <f>(L65-M65)/M65</f>
        <v>-3.3709831302239049E-2</v>
      </c>
      <c r="O65" s="445">
        <f>O53+O51+O46+O42+O40+O31+O18+O13+O4+O49+O29+O27+O9+O44+O11</f>
        <v>11417554</v>
      </c>
      <c r="P65" s="446">
        <f>P53+P51+P46+P42+P40+P31+P18+P13+P4+P49+P29+P27+P9+P44+P11</f>
        <v>11444429</v>
      </c>
      <c r="Q65" s="492">
        <f>(O65-P65)/P65</f>
        <v>-2.3483041399444218E-3</v>
      </c>
      <c r="R65" s="499">
        <f>+O65/O65</f>
        <v>1</v>
      </c>
    </row>
    <row r="66" spans="2:18" x14ac:dyDescent="0.2">
      <c r="D66" s="227"/>
      <c r="E66" s="227"/>
      <c r="F66" s="4"/>
      <c r="G66" s="7"/>
      <c r="H66"/>
      <c r="I66"/>
      <c r="J66"/>
      <c r="K66"/>
      <c r="M66"/>
      <c r="N66"/>
    </row>
    <row r="67" spans="2:18" x14ac:dyDescent="0.2">
      <c r="D67" s="3"/>
      <c r="F67" s="4"/>
      <c r="G67"/>
      <c r="H67"/>
      <c r="I67"/>
      <c r="J67"/>
      <c r="K67"/>
      <c r="L67"/>
      <c r="M67"/>
      <c r="N67"/>
    </row>
    <row r="68" spans="2:18" x14ac:dyDescent="0.2">
      <c r="F68" s="2"/>
      <c r="H68"/>
      <c r="I68"/>
      <c r="J68"/>
      <c r="K68"/>
      <c r="N68"/>
      <c r="O68" s="2"/>
      <c r="P68" s="2"/>
    </row>
    <row r="69" spans="2:18" x14ac:dyDescent="0.2">
      <c r="F69" s="2"/>
      <c r="H69"/>
      <c r="I69"/>
      <c r="J69"/>
      <c r="K69"/>
      <c r="N69"/>
      <c r="O69" s="2"/>
      <c r="P69" s="2"/>
    </row>
    <row r="70" spans="2:18" x14ac:dyDescent="0.2">
      <c r="F70" s="2"/>
      <c r="H70"/>
      <c r="I70"/>
      <c r="J70"/>
      <c r="K70"/>
      <c r="N70"/>
      <c r="O70" s="2"/>
      <c r="P70" s="2"/>
    </row>
    <row r="71" spans="2:18" x14ac:dyDescent="0.2">
      <c r="D71" s="3"/>
      <c r="F71"/>
      <c r="G71"/>
      <c r="H71"/>
      <c r="I71"/>
      <c r="J71"/>
      <c r="K71"/>
      <c r="L71"/>
      <c r="M71"/>
      <c r="N71"/>
    </row>
    <row r="72" spans="2:18" x14ac:dyDescent="0.2">
      <c r="D72" s="3"/>
      <c r="F72"/>
      <c r="G72"/>
      <c r="H72"/>
      <c r="I72"/>
      <c r="J72"/>
      <c r="K72"/>
      <c r="L72"/>
      <c r="M72"/>
      <c r="N72"/>
    </row>
    <row r="73" spans="2:18" x14ac:dyDescent="0.2">
      <c r="D73" s="3"/>
      <c r="F73"/>
      <c r="G73"/>
      <c r="H73"/>
      <c r="I73"/>
      <c r="J73"/>
      <c r="K73"/>
      <c r="L73"/>
      <c r="M73"/>
      <c r="N73"/>
    </row>
    <row r="74" spans="2:18" x14ac:dyDescent="0.2">
      <c r="D74" s="3"/>
      <c r="F74"/>
      <c r="G74"/>
      <c r="H74"/>
      <c r="I74"/>
      <c r="J74"/>
      <c r="K74"/>
      <c r="L74"/>
      <c r="M74"/>
      <c r="N74"/>
    </row>
    <row r="75" spans="2:18" x14ac:dyDescent="0.2">
      <c r="D75" s="3"/>
      <c r="F75"/>
      <c r="G75"/>
      <c r="H75"/>
      <c r="I75"/>
      <c r="J75"/>
      <c r="K75"/>
      <c r="L75"/>
      <c r="M75"/>
      <c r="N75"/>
    </row>
    <row r="76" spans="2:18" x14ac:dyDescent="0.2">
      <c r="D76" s="3"/>
      <c r="F76"/>
      <c r="G76"/>
      <c r="H76"/>
      <c r="I76"/>
      <c r="J76"/>
      <c r="K76"/>
      <c r="L76"/>
      <c r="M76"/>
      <c r="N76"/>
    </row>
    <row r="77" spans="2:18" x14ac:dyDescent="0.2">
      <c r="D77" s="3"/>
      <c r="F77"/>
      <c r="G77"/>
      <c r="H77"/>
      <c r="I77"/>
      <c r="J77"/>
      <c r="K77"/>
      <c r="L77"/>
      <c r="M77"/>
      <c r="N77"/>
    </row>
    <row r="78" spans="2:18" x14ac:dyDescent="0.2">
      <c r="D78" s="3"/>
      <c r="F78"/>
      <c r="G78"/>
      <c r="H78"/>
      <c r="I78"/>
      <c r="J78"/>
      <c r="K78"/>
      <c r="L78"/>
      <c r="M78"/>
      <c r="N78"/>
    </row>
    <row r="79" spans="2:18" x14ac:dyDescent="0.2">
      <c r="D79" s="3"/>
      <c r="F79"/>
      <c r="G79"/>
      <c r="H79"/>
      <c r="I79"/>
      <c r="J79"/>
      <c r="K79"/>
      <c r="L79"/>
      <c r="M79"/>
      <c r="N79"/>
    </row>
    <row r="80" spans="2:18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E137" s="37"/>
      <c r="F137" s="231"/>
      <c r="G137" s="5"/>
      <c r="H137" s="37"/>
      <c r="I137" s="37"/>
      <c r="K137" s="11"/>
    </row>
    <row r="138" spans="4:14" x14ac:dyDescent="0.2">
      <c r="E138" s="37"/>
      <c r="F138" s="231"/>
      <c r="G138" s="5"/>
      <c r="H138" s="37"/>
      <c r="I138" s="37"/>
      <c r="K138" s="11"/>
    </row>
    <row r="139" spans="4:14" x14ac:dyDescent="0.2">
      <c r="E139" s="37"/>
      <c r="F139" s="231"/>
      <c r="G139" s="5"/>
      <c r="H139" s="37"/>
      <c r="I139" s="37"/>
      <c r="K139" s="11"/>
    </row>
    <row r="140" spans="4:14" x14ac:dyDescent="0.2">
      <c r="E140" s="37"/>
      <c r="F140" s="231"/>
      <c r="G140" s="5"/>
      <c r="H140" s="37"/>
      <c r="I140" s="37"/>
      <c r="K140" s="11"/>
    </row>
    <row r="141" spans="4:14" x14ac:dyDescent="0.2">
      <c r="E141" s="37"/>
      <c r="F141" s="231"/>
      <c r="G141" s="5"/>
      <c r="H141" s="37"/>
      <c r="I141" s="37"/>
      <c r="K141" s="11"/>
    </row>
    <row r="142" spans="4:14" x14ac:dyDescent="0.2">
      <c r="E142" s="37"/>
      <c r="F142" s="231"/>
      <c r="G142" s="5"/>
      <c r="H142" s="37"/>
      <c r="I142" s="37"/>
      <c r="K142" s="11"/>
    </row>
    <row r="143" spans="4:14" x14ac:dyDescent="0.2">
      <c r="E143" s="37"/>
      <c r="F143" s="231"/>
      <c r="G143" s="5"/>
      <c r="H143" s="37"/>
      <c r="I143" s="37"/>
      <c r="K143" s="11"/>
    </row>
    <row r="144" spans="4:14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E1147" s="37"/>
      <c r="F1147" s="231"/>
      <c r="G1147" s="5"/>
      <c r="H1147" s="37"/>
      <c r="I1147" s="37"/>
      <c r="K1147" s="11"/>
    </row>
    <row r="1148" spans="5:11" x14ac:dyDescent="0.2">
      <c r="E1148" s="37"/>
      <c r="F1148" s="231"/>
      <c r="G1148" s="5"/>
      <c r="H1148" s="37"/>
      <c r="I1148" s="37"/>
      <c r="K1148" s="11"/>
    </row>
    <row r="1149" spans="5:11" x14ac:dyDescent="0.2">
      <c r="E1149" s="37"/>
      <c r="F1149" s="231"/>
      <c r="G1149" s="5"/>
      <c r="H1149" s="37"/>
      <c r="I1149" s="37"/>
      <c r="K1149" s="11"/>
    </row>
    <row r="1150" spans="5:11" x14ac:dyDescent="0.2">
      <c r="E1150" s="37"/>
      <c r="F1150" s="231"/>
      <c r="G1150" s="5"/>
      <c r="H1150" s="37"/>
      <c r="I1150" s="37"/>
      <c r="K1150" s="11"/>
    </row>
    <row r="1151" spans="5:11" x14ac:dyDescent="0.2">
      <c r="E1151" s="37"/>
      <c r="F1151" s="231"/>
      <c r="G1151" s="5"/>
      <c r="H1151" s="37"/>
      <c r="I1151" s="37"/>
      <c r="K1151" s="11"/>
    </row>
    <row r="1152" spans="5:11" x14ac:dyDescent="0.2">
      <c r="E1152" s="37"/>
      <c r="F1152" s="231"/>
      <c r="G1152" s="5"/>
      <c r="H1152" s="37"/>
      <c r="I1152" s="37"/>
      <c r="K1152" s="11"/>
    </row>
    <row r="1153" spans="5:11" x14ac:dyDescent="0.2">
      <c r="E1153" s="37"/>
      <c r="F1153" s="231"/>
      <c r="G1153" s="5"/>
      <c r="H1153" s="37"/>
      <c r="I1153" s="37"/>
      <c r="K1153" s="11"/>
    </row>
    <row r="1154" spans="5:11" x14ac:dyDescent="0.2">
      <c r="E1154" s="37"/>
      <c r="F1154" s="231"/>
      <c r="G1154" s="5"/>
      <c r="H1154" s="37"/>
      <c r="I1154" s="37"/>
      <c r="K1154" s="11"/>
    </row>
    <row r="1155" spans="5:11" x14ac:dyDescent="0.2">
      <c r="E1155" s="37"/>
      <c r="F1155" s="231"/>
      <c r="G1155" s="5"/>
      <c r="H1155" s="37"/>
      <c r="I1155" s="37"/>
      <c r="K1155" s="11"/>
    </row>
    <row r="1156" spans="5:11" x14ac:dyDescent="0.2">
      <c r="E1156" s="37"/>
      <c r="F1156" s="231"/>
      <c r="G1156" s="5"/>
      <c r="H1156" s="37"/>
      <c r="I1156" s="37"/>
      <c r="K1156" s="11"/>
    </row>
    <row r="1157" spans="5:11" x14ac:dyDescent="0.2">
      <c r="E1157" s="37"/>
      <c r="F1157" s="231"/>
      <c r="G1157" s="5"/>
      <c r="H1157" s="37"/>
      <c r="I1157" s="37"/>
      <c r="K1157" s="11"/>
    </row>
    <row r="1158" spans="5:11" x14ac:dyDescent="0.2">
      <c r="E1158" s="37"/>
      <c r="F1158" s="231"/>
      <c r="G1158" s="5"/>
      <c r="H1158" s="37"/>
      <c r="I1158" s="37"/>
      <c r="K1158" s="11"/>
    </row>
    <row r="1159" spans="5:11" x14ac:dyDescent="0.2">
      <c r="E1159" s="37"/>
      <c r="F1159" s="231"/>
      <c r="G1159" s="5"/>
      <c r="H1159" s="37"/>
      <c r="I1159" s="37"/>
      <c r="K1159" s="11"/>
    </row>
    <row r="1160" spans="5:11" x14ac:dyDescent="0.2">
      <c r="E1160" s="37"/>
      <c r="F1160" s="231"/>
      <c r="G1160" s="5"/>
      <c r="H1160" s="37"/>
      <c r="I1160" s="37"/>
      <c r="K1160" s="11"/>
    </row>
    <row r="1161" spans="5:11" x14ac:dyDescent="0.2">
      <c r="E1161" s="37"/>
      <c r="F1161" s="231"/>
      <c r="G1161" s="5"/>
      <c r="H1161" s="37"/>
      <c r="I1161" s="37"/>
      <c r="K1161" s="11"/>
    </row>
    <row r="1162" spans="5:11" x14ac:dyDescent="0.2">
      <c r="E1162" s="37"/>
      <c r="F1162" s="231"/>
      <c r="G1162" s="5"/>
      <c r="H1162" s="37"/>
      <c r="I1162" s="37"/>
      <c r="K1162" s="11"/>
    </row>
    <row r="1163" spans="5:11" x14ac:dyDescent="0.2">
      <c r="E1163" s="37"/>
      <c r="F1163" s="231"/>
      <c r="G1163" s="5"/>
      <c r="H1163" s="37"/>
      <c r="I1163" s="37"/>
      <c r="K1163" s="11"/>
    </row>
    <row r="1164" spans="5:11" x14ac:dyDescent="0.2">
      <c r="E1164" s="37"/>
      <c r="F1164" s="231"/>
      <c r="G1164" s="5"/>
      <c r="H1164" s="37"/>
      <c r="I1164" s="37"/>
      <c r="K1164" s="11"/>
    </row>
    <row r="1165" spans="5:11" x14ac:dyDescent="0.2">
      <c r="E1165" s="37"/>
      <c r="F1165" s="231"/>
      <c r="G1165" s="5"/>
      <c r="H1165" s="37"/>
      <c r="I1165" s="37"/>
      <c r="K1165" s="11"/>
    </row>
    <row r="1166" spans="5:11" x14ac:dyDescent="0.2">
      <c r="E1166" s="37"/>
      <c r="F1166" s="231"/>
      <c r="G1166" s="5"/>
      <c r="H1166" s="37"/>
      <c r="I1166" s="37"/>
      <c r="K1166" s="11"/>
    </row>
    <row r="1167" spans="5:11" x14ac:dyDescent="0.2">
      <c r="E1167" s="37"/>
      <c r="F1167" s="231"/>
      <c r="G1167" s="5"/>
      <c r="H1167" s="37"/>
      <c r="I1167" s="37"/>
      <c r="K1167" s="11"/>
    </row>
    <row r="1168" spans="5:11" x14ac:dyDescent="0.2">
      <c r="E1168" s="37"/>
      <c r="F1168" s="231"/>
      <c r="G1168" s="5"/>
      <c r="H1168" s="37"/>
      <c r="I1168" s="37"/>
      <c r="K1168" s="11"/>
    </row>
    <row r="1169" spans="5:11" x14ac:dyDescent="0.2">
      <c r="E1169" s="37"/>
      <c r="F1169" s="231"/>
      <c r="G1169" s="5"/>
      <c r="H1169" s="37"/>
      <c r="I1169" s="37"/>
      <c r="K1169" s="11"/>
    </row>
    <row r="1170" spans="5:11" x14ac:dyDescent="0.2">
      <c r="E1170" s="37"/>
      <c r="F1170" s="231"/>
      <c r="G1170" s="5"/>
      <c r="H1170" s="37"/>
      <c r="I1170" s="37"/>
      <c r="K1170" s="11"/>
    </row>
    <row r="1171" spans="5:11" x14ac:dyDescent="0.2">
      <c r="E1171" s="37"/>
      <c r="F1171" s="231"/>
      <c r="G1171" s="5"/>
      <c r="H1171" s="37"/>
      <c r="I1171" s="37"/>
      <c r="K1171" s="11"/>
    </row>
    <row r="1172" spans="5:11" x14ac:dyDescent="0.2">
      <c r="E1172" s="37"/>
      <c r="F1172" s="231"/>
      <c r="G1172" s="5"/>
      <c r="H1172" s="37"/>
      <c r="I1172" s="37"/>
      <c r="K1172" s="11"/>
    </row>
    <row r="1173" spans="5:11" x14ac:dyDescent="0.2">
      <c r="E1173" s="37"/>
      <c r="F1173" s="231"/>
      <c r="G1173" s="5"/>
      <c r="H1173" s="37"/>
      <c r="I1173" s="37"/>
      <c r="K1173" s="11"/>
    </row>
    <row r="1174" spans="5:11" x14ac:dyDescent="0.2">
      <c r="E1174" s="37"/>
      <c r="F1174" s="231"/>
      <c r="G1174" s="5"/>
      <c r="H1174" s="37"/>
      <c r="I1174" s="37"/>
      <c r="K1174" s="11"/>
    </row>
    <row r="1175" spans="5:11" x14ac:dyDescent="0.2">
      <c r="E1175" s="37"/>
      <c r="F1175" s="231"/>
      <c r="G1175" s="5"/>
      <c r="H1175" s="37"/>
      <c r="I1175" s="37"/>
      <c r="K1175" s="11"/>
    </row>
    <row r="1176" spans="5:11" x14ac:dyDescent="0.2">
      <c r="E1176" s="37"/>
      <c r="F1176" s="231"/>
      <c r="G1176" s="5"/>
      <c r="H1176" s="37"/>
      <c r="I1176" s="37"/>
      <c r="K1176" s="11"/>
    </row>
    <row r="1177" spans="5:11" x14ac:dyDescent="0.2">
      <c r="E1177" s="37"/>
      <c r="F1177" s="231"/>
      <c r="G1177" s="5"/>
      <c r="H1177" s="37"/>
      <c r="I1177" s="37"/>
      <c r="K1177" s="11"/>
    </row>
    <row r="1178" spans="5:11" x14ac:dyDescent="0.2">
      <c r="E1178" s="37"/>
      <c r="F1178" s="231"/>
      <c r="G1178" s="5"/>
      <c r="H1178" s="37"/>
      <c r="I1178" s="37"/>
      <c r="K1178" s="11"/>
    </row>
    <row r="1179" spans="5:11" x14ac:dyDescent="0.2">
      <c r="E1179" s="37"/>
      <c r="F1179" s="231"/>
      <c r="G1179" s="5"/>
      <c r="H1179" s="37"/>
      <c r="I1179" s="37"/>
      <c r="K1179" s="11"/>
    </row>
    <row r="1180" spans="5:11" x14ac:dyDescent="0.2">
      <c r="E1180" s="37"/>
      <c r="F1180" s="231"/>
      <c r="G1180" s="5"/>
      <c r="H1180" s="37"/>
      <c r="I1180" s="37"/>
      <c r="K1180" s="11"/>
    </row>
    <row r="1181" spans="5:11" x14ac:dyDescent="0.2">
      <c r="E1181" s="37"/>
      <c r="F1181" s="231"/>
      <c r="G1181" s="5"/>
      <c r="H1181" s="37"/>
      <c r="I1181" s="37"/>
      <c r="K1181" s="11"/>
    </row>
    <row r="1182" spans="5:11" x14ac:dyDescent="0.2">
      <c r="E1182" s="37"/>
      <c r="F1182" s="231"/>
      <c r="G1182" s="5"/>
      <c r="H1182" s="37"/>
      <c r="I1182" s="37"/>
      <c r="K1182" s="11"/>
    </row>
    <row r="1183" spans="5:11" x14ac:dyDescent="0.2">
      <c r="E1183" s="37"/>
      <c r="F1183" s="231"/>
      <c r="G1183" s="5"/>
      <c r="H1183" s="37"/>
      <c r="I1183" s="37"/>
      <c r="K1183" s="11"/>
    </row>
    <row r="1184" spans="5:11" x14ac:dyDescent="0.2">
      <c r="E1184" s="37"/>
      <c r="F1184" s="231"/>
      <c r="G1184" s="5"/>
      <c r="H1184" s="37"/>
      <c r="I1184" s="37"/>
      <c r="K1184" s="11"/>
    </row>
    <row r="1185" spans="5:11" x14ac:dyDescent="0.2">
      <c r="E1185" s="37"/>
      <c r="F1185" s="231"/>
      <c r="G1185" s="5"/>
      <c r="H1185" s="37"/>
      <c r="I1185" s="37"/>
      <c r="K1185" s="11"/>
    </row>
    <row r="1186" spans="5:11" x14ac:dyDescent="0.2">
      <c r="E1186" s="37"/>
      <c r="F1186" s="231"/>
      <c r="G1186" s="5"/>
      <c r="H1186" s="37"/>
      <c r="I1186" s="37"/>
      <c r="K1186" s="11"/>
    </row>
    <row r="1187" spans="5:11" x14ac:dyDescent="0.2">
      <c r="E1187" s="37"/>
      <c r="F1187" s="231"/>
      <c r="G1187" s="5"/>
      <c r="H1187" s="37"/>
      <c r="I1187" s="37"/>
      <c r="K1187" s="11"/>
    </row>
    <row r="1188" spans="5:11" x14ac:dyDescent="0.2">
      <c r="E1188" s="37"/>
      <c r="F1188" s="231"/>
      <c r="G1188" s="5"/>
      <c r="H1188" s="37"/>
      <c r="I1188" s="37"/>
      <c r="K1188" s="11"/>
    </row>
    <row r="1189" spans="5:11" x14ac:dyDescent="0.2">
      <c r="E1189" s="37"/>
      <c r="F1189" s="231"/>
      <c r="G1189" s="5"/>
      <c r="H1189" s="37"/>
      <c r="I1189" s="37"/>
      <c r="K1189" s="11"/>
    </row>
    <row r="1190" spans="5:11" x14ac:dyDescent="0.2">
      <c r="F1190" s="231"/>
      <c r="G1190" s="5"/>
      <c r="H1190" s="37"/>
      <c r="I1190" s="37"/>
      <c r="K1190" s="11"/>
    </row>
    <row r="1191" spans="5:11" x14ac:dyDescent="0.2">
      <c r="F1191" s="231"/>
      <c r="G1191" s="5"/>
      <c r="H1191" s="37"/>
      <c r="I1191" s="37"/>
      <c r="K1191" s="11"/>
    </row>
    <row r="1192" spans="5:11" x14ac:dyDescent="0.2">
      <c r="F1192" s="231"/>
      <c r="G1192" s="5"/>
      <c r="H1192" s="37"/>
      <c r="I1192" s="37"/>
      <c r="K1192" s="11"/>
    </row>
    <row r="1193" spans="5:11" x14ac:dyDescent="0.2">
      <c r="F1193" s="231"/>
      <c r="G1193" s="5"/>
      <c r="H1193" s="37"/>
      <c r="I1193" s="37"/>
      <c r="K1193" s="11"/>
    </row>
    <row r="1194" spans="5:11" x14ac:dyDescent="0.2">
      <c r="F1194" s="231"/>
      <c r="G1194" s="5"/>
      <c r="H1194" s="37"/>
      <c r="I1194" s="37"/>
      <c r="K1194" s="11"/>
    </row>
    <row r="1195" spans="5:11" x14ac:dyDescent="0.2">
      <c r="F1195" s="231"/>
      <c r="G1195" s="5"/>
      <c r="H1195" s="37"/>
      <c r="I1195" s="37"/>
      <c r="K1195" s="11"/>
    </row>
    <row r="1196" spans="5:11" x14ac:dyDescent="0.2">
      <c r="F1196" s="231"/>
      <c r="G1196" s="5"/>
      <c r="H1196" s="37"/>
      <c r="I1196" s="37"/>
      <c r="K1196" s="11"/>
    </row>
    <row r="1197" spans="5:11" x14ac:dyDescent="0.2">
      <c r="F1197" s="231"/>
      <c r="G1197" s="5"/>
      <c r="H1197" s="37"/>
      <c r="I1197" s="37"/>
      <c r="K1197" s="11"/>
    </row>
    <row r="1198" spans="5:11" x14ac:dyDescent="0.2">
      <c r="F1198" s="231"/>
      <c r="G1198" s="5"/>
      <c r="H1198" s="37"/>
      <c r="I1198" s="37"/>
      <c r="K1198" s="11"/>
    </row>
    <row r="1199" spans="5:11" x14ac:dyDescent="0.2">
      <c r="F1199" s="231"/>
      <c r="G1199" s="5"/>
      <c r="H1199" s="37"/>
      <c r="I1199" s="37"/>
      <c r="K1199" s="11"/>
    </row>
    <row r="1200" spans="5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  <row r="4662" spans="6:11" x14ac:dyDescent="0.2">
      <c r="F4662" s="231"/>
      <c r="G4662" s="5"/>
      <c r="H4662" s="37"/>
      <c r="I4662" s="37"/>
      <c r="K4662" s="11"/>
    </row>
    <row r="4663" spans="6:11" x14ac:dyDescent="0.2">
      <c r="F4663" s="231"/>
      <c r="G4663" s="5"/>
      <c r="H4663" s="37"/>
      <c r="I4663" s="37"/>
      <c r="K4663" s="11"/>
    </row>
    <row r="4664" spans="6:11" x14ac:dyDescent="0.2">
      <c r="F4664" s="231"/>
      <c r="G4664" s="5"/>
      <c r="H4664" s="37"/>
      <c r="I4664" s="37"/>
      <c r="K4664" s="11"/>
    </row>
    <row r="4665" spans="6:11" x14ac:dyDescent="0.2">
      <c r="F4665" s="231"/>
      <c r="G4665" s="5"/>
      <c r="H4665" s="37"/>
      <c r="I4665" s="37"/>
      <c r="K4665" s="11"/>
    </row>
    <row r="4666" spans="6:11" x14ac:dyDescent="0.2">
      <c r="F4666" s="231"/>
      <c r="G4666" s="5"/>
      <c r="H4666" s="37"/>
      <c r="I4666" s="37"/>
      <c r="K4666" s="11"/>
    </row>
    <row r="4667" spans="6:11" x14ac:dyDescent="0.2">
      <c r="F4667" s="231"/>
      <c r="G4667" s="5"/>
      <c r="H4667" s="37"/>
      <c r="I4667" s="37"/>
      <c r="K4667" s="11"/>
    </row>
    <row r="4668" spans="6:11" x14ac:dyDescent="0.2">
      <c r="F4668" s="231"/>
      <c r="G4668" s="5"/>
      <c r="H4668" s="37"/>
      <c r="I4668" s="37"/>
      <c r="K4668" s="11"/>
    </row>
    <row r="4669" spans="6:11" x14ac:dyDescent="0.2">
      <c r="F4669" s="231"/>
      <c r="G4669" s="5"/>
      <c r="H4669" s="37"/>
      <c r="I4669" s="37"/>
      <c r="K4669" s="11"/>
    </row>
    <row r="4670" spans="6:11" x14ac:dyDescent="0.2">
      <c r="F4670" s="231"/>
      <c r="G4670" s="5"/>
      <c r="H4670" s="37"/>
      <c r="I4670" s="37"/>
      <c r="K4670" s="11"/>
    </row>
    <row r="4671" spans="6:11" x14ac:dyDescent="0.2">
      <c r="F4671" s="231"/>
      <c r="G4671" s="5"/>
      <c r="H4671" s="37"/>
      <c r="I4671" s="37"/>
      <c r="K4671" s="11"/>
    </row>
    <row r="4672" spans="6:11" x14ac:dyDescent="0.2">
      <c r="F4672" s="231"/>
      <c r="G4672" s="5"/>
      <c r="H4672" s="37"/>
      <c r="I4672" s="37"/>
      <c r="K4672" s="11"/>
    </row>
    <row r="4673" spans="6:11" x14ac:dyDescent="0.2">
      <c r="F4673" s="231"/>
      <c r="G4673" s="5"/>
      <c r="H4673" s="37"/>
      <c r="I4673" s="37"/>
      <c r="K4673" s="11"/>
    </row>
    <row r="4674" spans="6:11" x14ac:dyDescent="0.2">
      <c r="F4674" s="231"/>
      <c r="G4674" s="5"/>
      <c r="H4674" s="37"/>
      <c r="I4674" s="37"/>
      <c r="K4674" s="11"/>
    </row>
    <row r="4675" spans="6:11" x14ac:dyDescent="0.2">
      <c r="F4675" s="231"/>
      <c r="G4675" s="5"/>
      <c r="H4675" s="37"/>
      <c r="I4675" s="37"/>
      <c r="K4675" s="11"/>
    </row>
    <row r="4676" spans="6:11" x14ac:dyDescent="0.2">
      <c r="F4676" s="231"/>
      <c r="G4676" s="5"/>
      <c r="H4676" s="37"/>
      <c r="I4676" s="37"/>
      <c r="K4676" s="11"/>
    </row>
    <row r="4677" spans="6:11" x14ac:dyDescent="0.2">
      <c r="F4677" s="231"/>
      <c r="G4677" s="5"/>
      <c r="H4677" s="37"/>
      <c r="I4677" s="37"/>
      <c r="K4677" s="11"/>
    </row>
    <row r="4678" spans="6:11" x14ac:dyDescent="0.2">
      <c r="F4678" s="231"/>
      <c r="G4678" s="5"/>
      <c r="H4678" s="37"/>
      <c r="I4678" s="37"/>
      <c r="K4678" s="11"/>
    </row>
    <row r="4679" spans="6:11" x14ac:dyDescent="0.2">
      <c r="F4679" s="231"/>
      <c r="G4679" s="5"/>
      <c r="H4679" s="37"/>
      <c r="I4679" s="37"/>
      <c r="K4679" s="11"/>
    </row>
    <row r="4680" spans="6:11" x14ac:dyDescent="0.2">
      <c r="F4680" s="231"/>
      <c r="G4680" s="5"/>
      <c r="H4680" s="37"/>
      <c r="I4680" s="37"/>
      <c r="K4680" s="11"/>
    </row>
    <row r="4681" spans="6:11" x14ac:dyDescent="0.2">
      <c r="F4681" s="231"/>
      <c r="G4681" s="5"/>
      <c r="H4681" s="37"/>
      <c r="I4681" s="37"/>
      <c r="K4681" s="11"/>
    </row>
    <row r="4682" spans="6:11" x14ac:dyDescent="0.2">
      <c r="F4682" s="231"/>
      <c r="G4682" s="5"/>
      <c r="H4682" s="37"/>
      <c r="I4682" s="37"/>
      <c r="K4682" s="11"/>
    </row>
    <row r="4683" spans="6:11" x14ac:dyDescent="0.2">
      <c r="F4683" s="231"/>
      <c r="G4683" s="5"/>
      <c r="H4683" s="37"/>
      <c r="I4683" s="37"/>
      <c r="K4683" s="11"/>
    </row>
    <row r="4684" spans="6:11" x14ac:dyDescent="0.2">
      <c r="F4684" s="231"/>
      <c r="G4684" s="5"/>
      <c r="H4684" s="37"/>
      <c r="I4684" s="37"/>
      <c r="K4684" s="11"/>
    </row>
    <row r="4685" spans="6:11" x14ac:dyDescent="0.2">
      <c r="F4685" s="231"/>
      <c r="G4685" s="5"/>
      <c r="H4685" s="37"/>
      <c r="I4685" s="37"/>
      <c r="K4685" s="11"/>
    </row>
    <row r="4686" spans="6:11" x14ac:dyDescent="0.2">
      <c r="F4686" s="231"/>
      <c r="G4686" s="5"/>
      <c r="H4686" s="37"/>
      <c r="I4686" s="37"/>
      <c r="K4686" s="11"/>
    </row>
    <row r="4687" spans="6:11" x14ac:dyDescent="0.2">
      <c r="F4687" s="231"/>
      <c r="G4687" s="5"/>
      <c r="H4687" s="37"/>
      <c r="I4687" s="37"/>
      <c r="K4687" s="11"/>
    </row>
    <row r="4688" spans="6:11" x14ac:dyDescent="0.2">
      <c r="F4688" s="231"/>
      <c r="G4688" s="5"/>
      <c r="H4688" s="37"/>
      <c r="I4688" s="37"/>
      <c r="K4688" s="11"/>
    </row>
    <row r="4689" spans="6:11" x14ac:dyDescent="0.2">
      <c r="F4689" s="231"/>
      <c r="G4689" s="5"/>
      <c r="H4689" s="37"/>
      <c r="I4689" s="37"/>
      <c r="K4689" s="11"/>
    </row>
    <row r="4690" spans="6:11" x14ac:dyDescent="0.2">
      <c r="F4690" s="231"/>
      <c r="G4690" s="5"/>
      <c r="H4690" s="37"/>
      <c r="I4690" s="37"/>
      <c r="K4690" s="11"/>
    </row>
    <row r="4691" spans="6:11" x14ac:dyDescent="0.2">
      <c r="F4691" s="231"/>
      <c r="G4691" s="5"/>
      <c r="H4691" s="37"/>
      <c r="I4691" s="37"/>
      <c r="K4691" s="11"/>
    </row>
    <row r="4692" spans="6:11" x14ac:dyDescent="0.2">
      <c r="F4692" s="231"/>
      <c r="G4692" s="5"/>
      <c r="H4692" s="37"/>
      <c r="I4692" s="37"/>
      <c r="K4692" s="11"/>
    </row>
    <row r="4693" spans="6:11" x14ac:dyDescent="0.2">
      <c r="F4693" s="231"/>
      <c r="G4693" s="5"/>
      <c r="H4693" s="37"/>
      <c r="I4693" s="37"/>
      <c r="K4693" s="11"/>
    </row>
    <row r="4694" spans="6:11" x14ac:dyDescent="0.2">
      <c r="F4694" s="231"/>
      <c r="G4694" s="5"/>
      <c r="H4694" s="37"/>
      <c r="I4694" s="37"/>
      <c r="K4694" s="11"/>
    </row>
    <row r="4695" spans="6:11" x14ac:dyDescent="0.2">
      <c r="F4695" s="231"/>
      <c r="G4695" s="5"/>
      <c r="H4695" s="37"/>
      <c r="I4695" s="37"/>
      <c r="K4695" s="11"/>
    </row>
    <row r="4696" spans="6:11" x14ac:dyDescent="0.2">
      <c r="F4696" s="231"/>
      <c r="G4696" s="5"/>
      <c r="H4696" s="37"/>
      <c r="I4696" s="37"/>
      <c r="K4696" s="11"/>
    </row>
    <row r="4697" spans="6:11" x14ac:dyDescent="0.2">
      <c r="F4697" s="231"/>
      <c r="G4697" s="5"/>
      <c r="H4697" s="37"/>
      <c r="I4697" s="37"/>
      <c r="K4697" s="11"/>
    </row>
    <row r="4698" spans="6:11" x14ac:dyDescent="0.2">
      <c r="F4698" s="231"/>
      <c r="G4698" s="5"/>
      <c r="H4698" s="37"/>
      <c r="I4698" s="37"/>
      <c r="K4698" s="11"/>
    </row>
    <row r="4699" spans="6:11" x14ac:dyDescent="0.2">
      <c r="F4699" s="231"/>
      <c r="G4699" s="5"/>
      <c r="H4699" s="37"/>
      <c r="I4699" s="37"/>
      <c r="K4699" s="11"/>
    </row>
    <row r="4700" spans="6:11" x14ac:dyDescent="0.2">
      <c r="F4700" s="231"/>
      <c r="G4700" s="5"/>
      <c r="H4700" s="37"/>
      <c r="I4700" s="37"/>
      <c r="K4700" s="11"/>
    </row>
    <row r="4701" spans="6:11" x14ac:dyDescent="0.2">
      <c r="F4701" s="231"/>
      <c r="G4701" s="5"/>
      <c r="H4701" s="37"/>
      <c r="I4701" s="37"/>
      <c r="K4701" s="11"/>
    </row>
    <row r="4702" spans="6:11" x14ac:dyDescent="0.2">
      <c r="F4702" s="231"/>
      <c r="G4702" s="5"/>
      <c r="H4702" s="37"/>
      <c r="I4702" s="37"/>
      <c r="K4702" s="11"/>
    </row>
    <row r="4703" spans="6:11" x14ac:dyDescent="0.2">
      <c r="F4703" s="231"/>
      <c r="G4703" s="5"/>
      <c r="H4703" s="37"/>
      <c r="I4703" s="37"/>
      <c r="K4703" s="11"/>
    </row>
    <row r="4704" spans="6:11" x14ac:dyDescent="0.2">
      <c r="F4704" s="231"/>
      <c r="G4704" s="5"/>
      <c r="H4704" s="37"/>
      <c r="I4704" s="37"/>
      <c r="K4704" s="11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8" fitToWidth="2" orientation="portrait" r:id="rId1"/>
  <headerFooter alignWithMargins="0">
    <oddHeader>&amp;L
Schedule 10
&amp;CMinneapolis-St. Paul International Airport
&amp;"Arial,Bold"&amp;A
April 2018</oddHeader>
    <oddFooter>&amp;LPrinted on &amp;D&amp;RPage &amp;P of &amp;N</oddFooter>
  </headerFooter>
  <colBreaks count="1" manualBreakCount="1">
    <brk id="9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zoomScaleNormal="100" zoomScaleSheetLayoutView="100" workbookViewId="0">
      <selection activeCell="H10" activeCellId="1" sqref="H5 H10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19" ht="26.25" thickBot="1" x14ac:dyDescent="0.25">
      <c r="A1" s="379">
        <v>43191</v>
      </c>
      <c r="B1" s="438" t="s">
        <v>17</v>
      </c>
      <c r="C1" s="438" t="s">
        <v>18</v>
      </c>
      <c r="D1" s="438" t="s">
        <v>19</v>
      </c>
      <c r="E1" s="438" t="s">
        <v>161</v>
      </c>
      <c r="F1" s="438" t="s">
        <v>168</v>
      </c>
      <c r="G1" s="438" t="s">
        <v>162</v>
      </c>
      <c r="H1" s="508" t="s">
        <v>216</v>
      </c>
      <c r="I1" s="438" t="s">
        <v>20</v>
      </c>
      <c r="J1" s="439" t="s">
        <v>21</v>
      </c>
    </row>
    <row r="2" spans="1:19" ht="15" x14ac:dyDescent="0.25">
      <c r="A2" s="64" t="s">
        <v>3</v>
      </c>
      <c r="B2" s="58"/>
      <c r="C2" s="58"/>
      <c r="D2" s="58"/>
      <c r="E2" s="58"/>
      <c r="F2" s="58"/>
      <c r="G2" s="58"/>
      <c r="H2" s="507"/>
      <c r="I2" s="58"/>
      <c r="J2" s="280"/>
    </row>
    <row r="3" spans="1:19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55"/>
    </row>
    <row r="4" spans="1:19" x14ac:dyDescent="0.2">
      <c r="A4" s="62" t="s">
        <v>30</v>
      </c>
      <c r="B4" s="21">
        <f>[3]American!$FQ$22</f>
        <v>69423</v>
      </c>
      <c r="C4" s="21">
        <f>[3]Delta!$FQ$22+[3]Delta!$FQ$32</f>
        <v>784752</v>
      </c>
      <c r="D4" s="21">
        <f>[3]United!$FQ$22</f>
        <v>34263</v>
      </c>
      <c r="E4" s="21">
        <f>[3]Spirit!$FQ$22</f>
        <v>43737</v>
      </c>
      <c r="F4" s="21">
        <f>[3]Condor!$FQ$22</f>
        <v>0</v>
      </c>
      <c r="G4" s="21">
        <f>'[3]Air France'!$FQ$22</f>
        <v>0</v>
      </c>
      <c r="H4" s="21">
        <f>[3]KLM!$FQ$22+[3]KLM!$FQ$32</f>
        <v>2003</v>
      </c>
      <c r="I4" s="21">
        <f>'Other Major Airline Stats'!J5</f>
        <v>229432</v>
      </c>
      <c r="J4" s="281">
        <f>SUM(B4:I4)</f>
        <v>1163610</v>
      </c>
    </row>
    <row r="5" spans="1:19" x14ac:dyDescent="0.2">
      <c r="A5" s="62" t="s">
        <v>31</v>
      </c>
      <c r="B5" s="14">
        <f>[3]American!$FQ$23</f>
        <v>61171</v>
      </c>
      <c r="C5" s="14">
        <f>[3]Delta!$FQ$23+[3]Delta!$FQ$33</f>
        <v>744260</v>
      </c>
      <c r="D5" s="14">
        <f>[3]United!$FQ$23</f>
        <v>28506</v>
      </c>
      <c r="E5" s="14">
        <f>[3]Spirit!$FQ$23</f>
        <v>37027</v>
      </c>
      <c r="F5" s="14">
        <f>[3]Condor!$FQ$23</f>
        <v>0</v>
      </c>
      <c r="G5" s="14">
        <f>'[3]Air France'!$FQ$23</f>
        <v>0</v>
      </c>
      <c r="H5" s="14">
        <f>[3]KLM!$FQ$23+[3]KLM!$FQ$33</f>
        <v>1753</v>
      </c>
      <c r="I5" s="14">
        <f>'Other Major Airline Stats'!J6</f>
        <v>199166</v>
      </c>
      <c r="J5" s="282">
        <f>SUM(B5:I5)</f>
        <v>1071883</v>
      </c>
      <c r="L5" s="309"/>
      <c r="M5" s="309"/>
      <c r="N5" s="309"/>
      <c r="O5" s="309"/>
      <c r="P5" s="309"/>
      <c r="Q5" s="309"/>
      <c r="R5" s="309"/>
      <c r="S5" s="309"/>
    </row>
    <row r="6" spans="1:19" ht="15" x14ac:dyDescent="0.25">
      <c r="A6" s="60" t="s">
        <v>7</v>
      </c>
      <c r="B6" s="34">
        <f t="shared" ref="B6:I6" si="0">SUM(B4:B5)</f>
        <v>130594</v>
      </c>
      <c r="C6" s="34">
        <f t="shared" si="0"/>
        <v>1529012</v>
      </c>
      <c r="D6" s="34">
        <f t="shared" si="0"/>
        <v>62769</v>
      </c>
      <c r="E6" s="34">
        <f t="shared" si="0"/>
        <v>80764</v>
      </c>
      <c r="F6" s="34">
        <f t="shared" ref="F6:H6" si="1">SUM(F4:F5)</f>
        <v>0</v>
      </c>
      <c r="G6" s="34">
        <f t="shared" si="1"/>
        <v>0</v>
      </c>
      <c r="H6" s="34">
        <f t="shared" si="1"/>
        <v>3756</v>
      </c>
      <c r="I6" s="34">
        <f t="shared" si="0"/>
        <v>428598</v>
      </c>
      <c r="J6" s="283">
        <f>SUM(B6:I6)</f>
        <v>2235493</v>
      </c>
    </row>
    <row r="7" spans="1:19" x14ac:dyDescent="0.2">
      <c r="A7" s="62"/>
      <c r="B7" s="21"/>
      <c r="C7" s="21"/>
      <c r="D7" s="21"/>
      <c r="E7" s="21"/>
      <c r="F7" s="21"/>
      <c r="G7" s="21"/>
      <c r="H7" s="21"/>
      <c r="I7" s="21"/>
      <c r="J7" s="281"/>
    </row>
    <row r="8" spans="1:19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81">
        <f>SUM(B8:I8)</f>
        <v>0</v>
      </c>
    </row>
    <row r="9" spans="1:19" x14ac:dyDescent="0.2">
      <c r="A9" s="62" t="s">
        <v>30</v>
      </c>
      <c r="B9" s="21">
        <f>[3]American!$FQ$27</f>
        <v>2204</v>
      </c>
      <c r="C9" s="21">
        <f>[3]Delta!$FQ$27+[3]Delta!$FQ$37</f>
        <v>30117</v>
      </c>
      <c r="D9" s="21">
        <f>[3]United!$FQ$27</f>
        <v>815</v>
      </c>
      <c r="E9" s="21">
        <f>[3]Spirit!$FQ$27</f>
        <v>288</v>
      </c>
      <c r="F9" s="21">
        <f>[3]Condor!$FQ$27</f>
        <v>0</v>
      </c>
      <c r="G9" s="21">
        <f>'[3]Air France'!$FQ$27</f>
        <v>0</v>
      </c>
      <c r="H9" s="21">
        <f>[3]KLM!$FQ$27+[3]KLM!$FQ$37</f>
        <v>25</v>
      </c>
      <c r="I9" s="21">
        <f>'Other Major Airline Stats'!J10</f>
        <v>3687</v>
      </c>
      <c r="J9" s="281">
        <f>SUM(B9:I9)</f>
        <v>37136</v>
      </c>
    </row>
    <row r="10" spans="1:19" x14ac:dyDescent="0.2">
      <c r="A10" s="62" t="s">
        <v>33</v>
      </c>
      <c r="B10" s="14">
        <f>[3]American!$FQ$28</f>
        <v>2593</v>
      </c>
      <c r="C10" s="14">
        <f>[3]Delta!$FQ$28+[3]Delta!$FQ$38</f>
        <v>29633</v>
      </c>
      <c r="D10" s="14">
        <f>[3]United!$FQ$28</f>
        <v>1246</v>
      </c>
      <c r="E10" s="14">
        <f>[3]Spirit!$FQ$28</f>
        <v>260</v>
      </c>
      <c r="F10" s="14">
        <f>[3]Condor!$FQ$28</f>
        <v>0</v>
      </c>
      <c r="G10" s="14">
        <f>'[3]Air France'!$FQ$28</f>
        <v>0</v>
      </c>
      <c r="H10" s="14">
        <f>[3]KLM!$FQ$28+[3]KLM!$FQ$38</f>
        <v>16</v>
      </c>
      <c r="I10" s="14">
        <f>'Other Major Airline Stats'!J11</f>
        <v>3971</v>
      </c>
      <c r="J10" s="282">
        <f>SUM(B10:I10)</f>
        <v>37719</v>
      </c>
    </row>
    <row r="11" spans="1:19" ht="15.75" thickBot="1" x14ac:dyDescent="0.3">
      <c r="A11" s="63" t="s">
        <v>34</v>
      </c>
      <c r="B11" s="284">
        <f t="shared" ref="B11:I11" si="2">SUM(B9:B10)</f>
        <v>4797</v>
      </c>
      <c r="C11" s="284">
        <f t="shared" si="2"/>
        <v>59750</v>
      </c>
      <c r="D11" s="284">
        <f t="shared" si="2"/>
        <v>2061</v>
      </c>
      <c r="E11" s="284">
        <f t="shared" si="2"/>
        <v>548</v>
      </c>
      <c r="F11" s="284">
        <f t="shared" ref="F11:H11" si="3">SUM(F9:F10)</f>
        <v>0</v>
      </c>
      <c r="G11" s="284">
        <f t="shared" si="3"/>
        <v>0</v>
      </c>
      <c r="H11" s="284">
        <f t="shared" si="3"/>
        <v>41</v>
      </c>
      <c r="I11" s="284">
        <f t="shared" si="2"/>
        <v>7658</v>
      </c>
      <c r="J11" s="285">
        <f>SUM(B11:I11)</f>
        <v>74855</v>
      </c>
    </row>
    <row r="13" spans="1:19" ht="13.5" thickBot="1" x14ac:dyDescent="0.25"/>
    <row r="14" spans="1:19" ht="15.75" thickTop="1" x14ac:dyDescent="0.25">
      <c r="A14" s="61" t="s">
        <v>9</v>
      </c>
      <c r="B14" s="25"/>
      <c r="C14" s="25"/>
      <c r="D14" s="25"/>
      <c r="E14" s="25"/>
      <c r="F14" s="25"/>
      <c r="G14" s="25"/>
      <c r="H14" s="25"/>
      <c r="I14" s="25"/>
      <c r="J14" s="26"/>
    </row>
    <row r="15" spans="1:19" x14ac:dyDescent="0.2">
      <c r="A15" s="62" t="s">
        <v>22</v>
      </c>
      <c r="B15" s="21">
        <f>[3]American!$FQ$4</f>
        <v>514</v>
      </c>
      <c r="C15" s="21">
        <f>[3]Delta!$FQ$4+[3]Delta!$FQ$15</f>
        <v>5635</v>
      </c>
      <c r="D15" s="21">
        <f>[3]United!$FQ$4</f>
        <v>260</v>
      </c>
      <c r="E15" s="21">
        <f>[3]Spirit!$FQ$4</f>
        <v>335</v>
      </c>
      <c r="F15" s="21">
        <f>[3]Condor!$FQ$4</f>
        <v>0</v>
      </c>
      <c r="G15" s="21">
        <f>'[3]Air France'!$FQ$4</f>
        <v>0</v>
      </c>
      <c r="H15" s="21">
        <f>[3]KLM!$FQ$4+[3]KLM!$FQ$15</f>
        <v>8</v>
      </c>
      <c r="I15" s="21">
        <f>'Other Major Airline Stats'!J16</f>
        <v>1836</v>
      </c>
      <c r="J15" s="27">
        <f>SUM(B15:I15)</f>
        <v>8588</v>
      </c>
    </row>
    <row r="16" spans="1:19" x14ac:dyDescent="0.2">
      <c r="A16" s="62" t="s">
        <v>23</v>
      </c>
      <c r="B16" s="14">
        <f>[3]American!$FQ$5</f>
        <v>516</v>
      </c>
      <c r="C16" s="14">
        <f>[3]Delta!$FQ$5+[3]Delta!$FQ$16</f>
        <v>5639</v>
      </c>
      <c r="D16" s="14">
        <f>[3]United!$FQ$5</f>
        <v>260</v>
      </c>
      <c r="E16" s="14">
        <f>[3]Spirit!$FQ$5</f>
        <v>335</v>
      </c>
      <c r="F16" s="14">
        <f>[3]Condor!$FQ$5</f>
        <v>0</v>
      </c>
      <c r="G16" s="14">
        <f>'[3]Air France'!$FQ$5</f>
        <v>0</v>
      </c>
      <c r="H16" s="14">
        <f>[3]KLM!$FQ$5+[3]KLM!$FQ$16</f>
        <v>8</v>
      </c>
      <c r="I16" s="14">
        <f>'Other Major Airline Stats'!J17</f>
        <v>1834</v>
      </c>
      <c r="J16" s="33">
        <f>SUM(B16:I16)</f>
        <v>8592</v>
      </c>
    </row>
    <row r="17" spans="1:10" x14ac:dyDescent="0.2">
      <c r="A17" s="62" t="s">
        <v>24</v>
      </c>
      <c r="B17" s="288">
        <f t="shared" ref="B17:I17" si="4">SUM(B15:B16)</f>
        <v>1030</v>
      </c>
      <c r="C17" s="286">
        <f t="shared" si="4"/>
        <v>11274</v>
      </c>
      <c r="D17" s="286">
        <f t="shared" si="4"/>
        <v>520</v>
      </c>
      <c r="E17" s="286">
        <f t="shared" si="4"/>
        <v>670</v>
      </c>
      <c r="F17" s="286">
        <f t="shared" ref="F17:H17" si="5">SUM(F15:F16)</f>
        <v>0</v>
      </c>
      <c r="G17" s="286">
        <f t="shared" si="5"/>
        <v>0</v>
      </c>
      <c r="H17" s="286">
        <f t="shared" si="5"/>
        <v>16</v>
      </c>
      <c r="I17" s="286">
        <f t="shared" si="4"/>
        <v>3670</v>
      </c>
      <c r="J17" s="287">
        <f>SUM(B17:I17)</f>
        <v>17180</v>
      </c>
    </row>
    <row r="18" spans="1:10" x14ac:dyDescent="0.2">
      <c r="A18" s="62"/>
      <c r="B18" s="21"/>
      <c r="C18" s="21"/>
      <c r="D18" s="21"/>
      <c r="E18" s="21"/>
      <c r="F18" s="21"/>
      <c r="G18" s="21"/>
      <c r="H18" s="21"/>
      <c r="I18" s="21"/>
      <c r="J18" s="27"/>
    </row>
    <row r="19" spans="1:10" x14ac:dyDescent="0.2">
      <c r="A19" s="62" t="s">
        <v>25</v>
      </c>
      <c r="B19" s="21">
        <f>[3]American!$FQ$8</f>
        <v>0</v>
      </c>
      <c r="C19" s="21">
        <f>[3]Delta!$FQ$8</f>
        <v>3</v>
      </c>
      <c r="D19" s="21">
        <f>[3]United!$FQ$8</f>
        <v>0</v>
      </c>
      <c r="E19" s="21">
        <f>[3]Spirit!$FQ$8</f>
        <v>0</v>
      </c>
      <c r="F19" s="21">
        <f>[3]Condor!$FQ$8</f>
        <v>0</v>
      </c>
      <c r="G19" s="21">
        <f>'[3]Air France'!$FQ$8</f>
        <v>0</v>
      </c>
      <c r="H19" s="21">
        <f>[3]KLM!$FQ$8</f>
        <v>0</v>
      </c>
      <c r="I19" s="21">
        <f>'Other Major Airline Stats'!J20</f>
        <v>69</v>
      </c>
      <c r="J19" s="27">
        <f>SUM(B19:I19)</f>
        <v>72</v>
      </c>
    </row>
    <row r="20" spans="1:10" x14ac:dyDescent="0.2">
      <c r="A20" s="62" t="s">
        <v>26</v>
      </c>
      <c r="B20" s="14">
        <f>[3]American!$FQ$9</f>
        <v>0</v>
      </c>
      <c r="C20" s="14">
        <f>[3]Delta!$FQ$9</f>
        <v>10</v>
      </c>
      <c r="D20" s="14">
        <f>[3]United!$FQ$9</f>
        <v>0</v>
      </c>
      <c r="E20" s="14">
        <f>[3]Spirit!$FQ$9</f>
        <v>0</v>
      </c>
      <c r="F20" s="14">
        <f>[3]Condor!$FQ$9</f>
        <v>0</v>
      </c>
      <c r="G20" s="14">
        <f>'[3]Air France'!$FQ$9</f>
        <v>0</v>
      </c>
      <c r="H20" s="14">
        <f>[3]KLM!$FQ$9</f>
        <v>0</v>
      </c>
      <c r="I20" s="14">
        <f>'Other Major Airline Stats'!J21</f>
        <v>71</v>
      </c>
      <c r="J20" s="33">
        <f>SUM(B20:I20)</f>
        <v>81</v>
      </c>
    </row>
    <row r="21" spans="1:10" x14ac:dyDescent="0.2">
      <c r="A21" s="62" t="s">
        <v>27</v>
      </c>
      <c r="B21" s="288">
        <f t="shared" ref="B21:I21" si="6">SUM(B19:B20)</f>
        <v>0</v>
      </c>
      <c r="C21" s="286">
        <f t="shared" si="6"/>
        <v>13</v>
      </c>
      <c r="D21" s="286">
        <f t="shared" si="6"/>
        <v>0</v>
      </c>
      <c r="E21" s="286">
        <f t="shared" si="6"/>
        <v>0</v>
      </c>
      <c r="F21" s="286">
        <f t="shared" ref="F21:H21" si="7">SUM(F19:F20)</f>
        <v>0</v>
      </c>
      <c r="G21" s="286">
        <f t="shared" si="7"/>
        <v>0</v>
      </c>
      <c r="H21" s="286">
        <f t="shared" si="7"/>
        <v>0</v>
      </c>
      <c r="I21" s="286">
        <f t="shared" si="6"/>
        <v>140</v>
      </c>
      <c r="J21" s="176">
        <f>SUM(B21:I21)</f>
        <v>153</v>
      </c>
    </row>
    <row r="22" spans="1:10" x14ac:dyDescent="0.2">
      <c r="A22" s="62"/>
      <c r="B22" s="21"/>
      <c r="C22" s="21"/>
      <c r="D22" s="21"/>
      <c r="E22" s="21"/>
      <c r="F22" s="21"/>
      <c r="G22" s="21"/>
      <c r="H22" s="21"/>
      <c r="I22" s="21"/>
      <c r="J22" s="27"/>
    </row>
    <row r="23" spans="1:10" ht="15.75" thickBot="1" x14ac:dyDescent="0.3">
      <c r="A23" s="63" t="s">
        <v>28</v>
      </c>
      <c r="B23" s="28">
        <f t="shared" ref="B23:I23" si="8">B17+B21</f>
        <v>1030</v>
      </c>
      <c r="C23" s="28">
        <f t="shared" si="8"/>
        <v>11287</v>
      </c>
      <c r="D23" s="28">
        <f t="shared" si="8"/>
        <v>520</v>
      </c>
      <c r="E23" s="28">
        <f>E17+E21</f>
        <v>670</v>
      </c>
      <c r="F23" s="28">
        <f t="shared" ref="F23:H23" si="9">F17+F21</f>
        <v>0</v>
      </c>
      <c r="G23" s="28">
        <f t="shared" si="9"/>
        <v>0</v>
      </c>
      <c r="H23" s="28">
        <f t="shared" si="9"/>
        <v>16</v>
      </c>
      <c r="I23" s="28">
        <f t="shared" si="8"/>
        <v>3810</v>
      </c>
      <c r="J23" s="29">
        <f>SUM(B23:I23)</f>
        <v>17333</v>
      </c>
    </row>
    <row r="25" spans="1:10" ht="13.5" thickBot="1" x14ac:dyDescent="0.25">
      <c r="B25" s="414"/>
      <c r="C25" s="414"/>
      <c r="D25" s="414"/>
      <c r="E25" s="414"/>
      <c r="F25" s="414"/>
      <c r="G25" s="414"/>
      <c r="H25" s="414"/>
      <c r="I25" s="414"/>
    </row>
    <row r="26" spans="1:10" ht="15.75" thickTop="1" x14ac:dyDescent="0.25">
      <c r="A26" s="65" t="s">
        <v>35</v>
      </c>
      <c r="B26" s="31"/>
      <c r="C26" s="31"/>
      <c r="D26" s="31"/>
      <c r="E26" s="31"/>
      <c r="F26" s="31"/>
      <c r="G26" s="31"/>
      <c r="H26" s="31"/>
      <c r="I26" s="31"/>
      <c r="J26" s="32"/>
    </row>
    <row r="27" spans="1:10" x14ac:dyDescent="0.2">
      <c r="A27" s="62" t="s">
        <v>36</v>
      </c>
      <c r="B27" s="1"/>
      <c r="C27" s="1"/>
      <c r="D27" s="1"/>
      <c r="E27" s="1"/>
      <c r="F27" s="1"/>
      <c r="G27" s="1"/>
      <c r="H27" s="1"/>
      <c r="I27" s="1"/>
      <c r="J27" s="30"/>
    </row>
    <row r="28" spans="1:10" x14ac:dyDescent="0.2">
      <c r="A28" s="62" t="s">
        <v>37</v>
      </c>
      <c r="B28" s="21">
        <f>[3]American!$FQ$47</f>
        <v>55597</v>
      </c>
      <c r="C28" s="21">
        <f>[3]Delta!$FQ$47</f>
        <v>4531822</v>
      </c>
      <c r="D28" s="21">
        <f>[3]United!$FQ$47</f>
        <v>55119</v>
      </c>
      <c r="E28" s="21">
        <f>[3]Spirit!$FQ$47</f>
        <v>0</v>
      </c>
      <c r="F28" s="21">
        <f>[3]Condor!$FQ$47</f>
        <v>0</v>
      </c>
      <c r="G28" s="21">
        <f>'[3]Air France'!$FQ$47</f>
        <v>0</v>
      </c>
      <c r="H28" s="21">
        <f>[3]KLM!$FQ$47</f>
        <v>201036</v>
      </c>
      <c r="I28" s="21">
        <f>'Other Major Airline Stats'!J28</f>
        <v>307963</v>
      </c>
      <c r="J28" s="27">
        <f>SUM(B28:I28)</f>
        <v>5151537</v>
      </c>
    </row>
    <row r="29" spans="1:10" x14ac:dyDescent="0.2">
      <c r="A29" s="62" t="s">
        <v>38</v>
      </c>
      <c r="B29" s="14">
        <f>[3]American!$FQ$48</f>
        <v>25435</v>
      </c>
      <c r="C29" s="14">
        <f>[3]Delta!$FQ$48</f>
        <v>1417086</v>
      </c>
      <c r="D29" s="14">
        <f>[3]United!$FQ$48</f>
        <v>8978</v>
      </c>
      <c r="E29" s="14">
        <f>[3]Spirit!$FQ$48</f>
        <v>0</v>
      </c>
      <c r="F29" s="14">
        <f>[3]Condor!$FQ$48</f>
        <v>0</v>
      </c>
      <c r="G29" s="14">
        <f>'[3]Air France'!$FQ$48</f>
        <v>0</v>
      </c>
      <c r="H29" s="14">
        <f>[3]KLM!$FQ$48</f>
        <v>0</v>
      </c>
      <c r="I29" s="14">
        <f>'Other Major Airline Stats'!J29</f>
        <v>312307</v>
      </c>
      <c r="J29" s="33">
        <f>SUM(B29:I29)</f>
        <v>1763806</v>
      </c>
    </row>
    <row r="30" spans="1:10" x14ac:dyDescent="0.2">
      <c r="A30" s="66" t="s">
        <v>39</v>
      </c>
      <c r="B30" s="288">
        <f t="shared" ref="B30:I30" si="10">SUM(B28:B29)</f>
        <v>81032</v>
      </c>
      <c r="C30" s="288">
        <f t="shared" si="10"/>
        <v>5948908</v>
      </c>
      <c r="D30" s="288">
        <f t="shared" si="10"/>
        <v>64097</v>
      </c>
      <c r="E30" s="288">
        <f t="shared" si="10"/>
        <v>0</v>
      </c>
      <c r="F30" s="288">
        <f t="shared" ref="F30:H30" si="11">SUM(F28:F29)</f>
        <v>0</v>
      </c>
      <c r="G30" s="288">
        <f t="shared" si="11"/>
        <v>0</v>
      </c>
      <c r="H30" s="288">
        <f t="shared" si="11"/>
        <v>201036</v>
      </c>
      <c r="I30" s="288">
        <f t="shared" si="10"/>
        <v>620270</v>
      </c>
      <c r="J30" s="27">
        <f>SUM(B30:I30)</f>
        <v>6915343</v>
      </c>
    </row>
    <row r="31" spans="1:10" x14ac:dyDescent="0.2">
      <c r="A31" s="62"/>
      <c r="B31" s="21"/>
      <c r="C31" s="21"/>
      <c r="D31" s="21"/>
      <c r="E31" s="21"/>
      <c r="F31" s="21"/>
      <c r="G31" s="21"/>
      <c r="H31" s="21"/>
      <c r="I31" s="21"/>
      <c r="J31" s="27"/>
    </row>
    <row r="32" spans="1:10" x14ac:dyDescent="0.2">
      <c r="A32" s="62" t="s">
        <v>40</v>
      </c>
      <c r="B32" s="21"/>
      <c r="C32" s="21"/>
      <c r="D32" s="21"/>
      <c r="E32" s="21"/>
      <c r="F32" s="21"/>
      <c r="G32" s="21"/>
      <c r="H32" s="21"/>
      <c r="I32" s="21"/>
      <c r="J32" s="27">
        <f t="shared" ref="J32:J40" si="12">SUM(B32:I32)</f>
        <v>0</v>
      </c>
    </row>
    <row r="33" spans="1:10" x14ac:dyDescent="0.2">
      <c r="A33" s="62" t="s">
        <v>37</v>
      </c>
      <c r="B33" s="21">
        <f>[3]American!$FQ$52</f>
        <v>6682</v>
      </c>
      <c r="C33" s="21">
        <f>[3]Delta!$FQ$52</f>
        <v>2331463</v>
      </c>
      <c r="D33" s="21">
        <f>[3]United!$FQ$52</f>
        <v>19913</v>
      </c>
      <c r="E33" s="21">
        <f>[3]Spirit!$FQ$52</f>
        <v>0</v>
      </c>
      <c r="F33" s="21">
        <f>[3]Condor!$FQ$52</f>
        <v>0</v>
      </c>
      <c r="G33" s="21">
        <f>'[3]Air France'!$FQ$52</f>
        <v>0</v>
      </c>
      <c r="H33" s="21">
        <f>[3]KLM!$FQ$52</f>
        <v>57941</v>
      </c>
      <c r="I33" s="21">
        <f>'Other Major Airline Stats'!J33</f>
        <v>125669</v>
      </c>
      <c r="J33" s="27">
        <f t="shared" si="12"/>
        <v>2541668</v>
      </c>
    </row>
    <row r="34" spans="1:10" x14ac:dyDescent="0.2">
      <c r="A34" s="62" t="s">
        <v>38</v>
      </c>
      <c r="B34" s="14">
        <f>[3]American!$FQ$53</f>
        <v>75416</v>
      </c>
      <c r="C34" s="14">
        <f>[3]Delta!$FQ$53</f>
        <v>1781560</v>
      </c>
      <c r="D34" s="14">
        <f>[3]United!$FQ$53</f>
        <v>47114</v>
      </c>
      <c r="E34" s="14">
        <f>[3]Spirit!$FQ$53</f>
        <v>0</v>
      </c>
      <c r="F34" s="14">
        <f>[3]Condor!$FQ$53</f>
        <v>0</v>
      </c>
      <c r="G34" s="14">
        <f>'[3]Air France'!$FQ$53</f>
        <v>0</v>
      </c>
      <c r="H34" s="14">
        <f>[3]KLM!$FQ$53</f>
        <v>0</v>
      </c>
      <c r="I34" s="14">
        <f>'Other Major Airline Stats'!J34</f>
        <v>477142</v>
      </c>
      <c r="J34" s="33">
        <f t="shared" si="12"/>
        <v>2381232</v>
      </c>
    </row>
    <row r="35" spans="1:10" x14ac:dyDescent="0.2">
      <c r="A35" s="66" t="s">
        <v>41</v>
      </c>
      <c r="B35" s="288">
        <f t="shared" ref="B35:I35" si="13">SUM(B33:B34)</f>
        <v>82098</v>
      </c>
      <c r="C35" s="288">
        <f t="shared" si="13"/>
        <v>4113023</v>
      </c>
      <c r="D35" s="288">
        <f t="shared" si="13"/>
        <v>67027</v>
      </c>
      <c r="E35" s="288">
        <f t="shared" si="13"/>
        <v>0</v>
      </c>
      <c r="F35" s="288">
        <f t="shared" ref="F35:H35" si="14">SUM(F33:F34)</f>
        <v>0</v>
      </c>
      <c r="G35" s="288">
        <f t="shared" si="14"/>
        <v>0</v>
      </c>
      <c r="H35" s="288">
        <f t="shared" si="14"/>
        <v>57941</v>
      </c>
      <c r="I35" s="288">
        <f t="shared" si="13"/>
        <v>602811</v>
      </c>
      <c r="J35" s="27">
        <f t="shared" si="12"/>
        <v>4922900</v>
      </c>
    </row>
    <row r="36" spans="1:10" hidden="1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7">
        <f t="shared" si="12"/>
        <v>0</v>
      </c>
    </row>
    <row r="37" spans="1:10" hidden="1" x14ac:dyDescent="0.2">
      <c r="A37" s="62" t="s">
        <v>42</v>
      </c>
      <c r="B37" s="21"/>
      <c r="C37" s="21"/>
      <c r="D37" s="21"/>
      <c r="E37" s="21"/>
      <c r="F37" s="21"/>
      <c r="G37" s="21"/>
      <c r="H37" s="21"/>
      <c r="I37" s="21"/>
      <c r="J37" s="27">
        <f t="shared" si="12"/>
        <v>0</v>
      </c>
    </row>
    <row r="38" spans="1:10" hidden="1" x14ac:dyDescent="0.2">
      <c r="A38" s="62" t="s">
        <v>37</v>
      </c>
      <c r="B38" s="21">
        <f>[3]American!$FQ$57</f>
        <v>0</v>
      </c>
      <c r="C38" s="21">
        <f>[3]Delta!$FQ$57</f>
        <v>0</v>
      </c>
      <c r="D38" s="21">
        <f>[3]United!$FQ$57</f>
        <v>0</v>
      </c>
      <c r="E38" s="21">
        <f>[3]Spirit!$FQ$57</f>
        <v>0</v>
      </c>
      <c r="F38" s="21">
        <f>[3]Condor!$FQ$57</f>
        <v>0</v>
      </c>
      <c r="G38" s="21">
        <f>'[3]Air France'!$FQ$57</f>
        <v>0</v>
      </c>
      <c r="H38" s="21">
        <f>[3]KLM!$FQ$57</f>
        <v>0</v>
      </c>
      <c r="I38" s="21">
        <f>'Other Major Airline Stats'!J38</f>
        <v>0</v>
      </c>
      <c r="J38" s="27">
        <f t="shared" si="12"/>
        <v>0</v>
      </c>
    </row>
    <row r="39" spans="1:10" hidden="1" x14ac:dyDescent="0.2">
      <c r="A39" s="62" t="s">
        <v>38</v>
      </c>
      <c r="B39" s="14">
        <f>[3]American!$FQ$58</f>
        <v>0</v>
      </c>
      <c r="C39" s="14">
        <f>[3]Delta!$FQ$58</f>
        <v>0</v>
      </c>
      <c r="D39" s="14">
        <f>[3]United!$FQ$58</f>
        <v>0</v>
      </c>
      <c r="E39" s="14">
        <f>[3]Spirit!$FQ$58</f>
        <v>0</v>
      </c>
      <c r="F39" s="14">
        <f>[3]Condor!$FQ$58</f>
        <v>0</v>
      </c>
      <c r="G39" s="14">
        <f>'[3]Air France'!$FQ$58</f>
        <v>0</v>
      </c>
      <c r="H39" s="14">
        <f>[3]KLM!$FQ$58</f>
        <v>0</v>
      </c>
      <c r="I39" s="14">
        <f>'Other Major Airline Stats'!J39</f>
        <v>0</v>
      </c>
      <c r="J39" s="33">
        <f t="shared" si="12"/>
        <v>0</v>
      </c>
    </row>
    <row r="40" spans="1:10" hidden="1" x14ac:dyDescent="0.2">
      <c r="A40" s="66" t="s">
        <v>43</v>
      </c>
      <c r="B40" s="288">
        <f t="shared" ref="B40:I40" si="15">SUM(B38:B39)</f>
        <v>0</v>
      </c>
      <c r="C40" s="288">
        <f t="shared" si="15"/>
        <v>0</v>
      </c>
      <c r="D40" s="288">
        <f t="shared" si="15"/>
        <v>0</v>
      </c>
      <c r="E40" s="288">
        <f t="shared" si="15"/>
        <v>0</v>
      </c>
      <c r="F40" s="288">
        <f t="shared" ref="F40:H40" si="16">SUM(F38:F39)</f>
        <v>0</v>
      </c>
      <c r="G40" s="288">
        <f t="shared" si="16"/>
        <v>0</v>
      </c>
      <c r="H40" s="288">
        <f t="shared" si="16"/>
        <v>0</v>
      </c>
      <c r="I40" s="288">
        <f t="shared" si="15"/>
        <v>0</v>
      </c>
      <c r="J40" s="27">
        <f t="shared" si="12"/>
        <v>0</v>
      </c>
    </row>
    <row r="41" spans="1:10" x14ac:dyDescent="0.2">
      <c r="A41" s="62"/>
      <c r="B41" s="21"/>
      <c r="C41" s="21"/>
      <c r="D41" s="21"/>
      <c r="E41" s="21"/>
      <c r="F41" s="21"/>
      <c r="G41" s="21"/>
      <c r="H41" s="21"/>
      <c r="I41" s="21"/>
      <c r="J41" s="27"/>
    </row>
    <row r="42" spans="1:10" x14ac:dyDescent="0.2">
      <c r="A42" s="62" t="s">
        <v>44</v>
      </c>
      <c r="B42" s="21"/>
      <c r="C42" s="21"/>
      <c r="D42" s="21"/>
      <c r="E42" s="21"/>
      <c r="F42" s="21"/>
      <c r="G42" s="21"/>
      <c r="H42" s="21"/>
      <c r="I42" s="21"/>
      <c r="J42" s="27">
        <f>SUM(B42:I42)</f>
        <v>0</v>
      </c>
    </row>
    <row r="43" spans="1:10" x14ac:dyDescent="0.2">
      <c r="A43" s="62" t="s">
        <v>45</v>
      </c>
      <c r="B43" s="21">
        <f t="shared" ref="B43:I44" si="17">B28+B33+B38</f>
        <v>62279</v>
      </c>
      <c r="C43" s="21">
        <f t="shared" si="17"/>
        <v>6863285</v>
      </c>
      <c r="D43" s="21">
        <f t="shared" si="17"/>
        <v>75032</v>
      </c>
      <c r="E43" s="21">
        <f>E28+E33+E38</f>
        <v>0</v>
      </c>
      <c r="F43" s="21">
        <f t="shared" ref="F43:H43" si="18">F28+F33+F38</f>
        <v>0</v>
      </c>
      <c r="G43" s="21">
        <f t="shared" si="18"/>
        <v>0</v>
      </c>
      <c r="H43" s="21">
        <f t="shared" si="18"/>
        <v>258977</v>
      </c>
      <c r="I43" s="21">
        <f t="shared" si="17"/>
        <v>433632</v>
      </c>
      <c r="J43" s="27">
        <f>SUM(B43:I43)</f>
        <v>7693205</v>
      </c>
    </row>
    <row r="44" spans="1:10" x14ac:dyDescent="0.2">
      <c r="A44" s="62" t="s">
        <v>38</v>
      </c>
      <c r="B44" s="14">
        <f t="shared" si="17"/>
        <v>100851</v>
      </c>
      <c r="C44" s="14">
        <f t="shared" si="17"/>
        <v>3198646</v>
      </c>
      <c r="D44" s="14">
        <f t="shared" si="17"/>
        <v>56092</v>
      </c>
      <c r="E44" s="14">
        <f>E29+E34+E39</f>
        <v>0</v>
      </c>
      <c r="F44" s="14">
        <f t="shared" ref="F44:H44" si="19">F29+F34+F39</f>
        <v>0</v>
      </c>
      <c r="G44" s="14">
        <f t="shared" si="19"/>
        <v>0</v>
      </c>
      <c r="H44" s="14">
        <f t="shared" si="19"/>
        <v>0</v>
      </c>
      <c r="I44" s="14">
        <f t="shared" si="17"/>
        <v>789449</v>
      </c>
      <c r="J44" s="27">
        <f>SUM(B44:I44)</f>
        <v>4145038</v>
      </c>
    </row>
    <row r="45" spans="1:10" ht="15.75" thickBot="1" x14ac:dyDescent="0.3">
      <c r="A45" s="63" t="s">
        <v>46</v>
      </c>
      <c r="B45" s="289">
        <f t="shared" ref="B45:I45" si="20">SUM(B43:B44)</f>
        <v>163130</v>
      </c>
      <c r="C45" s="289">
        <f t="shared" si="20"/>
        <v>10061931</v>
      </c>
      <c r="D45" s="289">
        <f t="shared" si="20"/>
        <v>131124</v>
      </c>
      <c r="E45" s="289">
        <f t="shared" si="20"/>
        <v>0</v>
      </c>
      <c r="F45" s="289">
        <f t="shared" ref="F45:H45" si="21">SUM(F43:F44)</f>
        <v>0</v>
      </c>
      <c r="G45" s="289">
        <f t="shared" si="21"/>
        <v>0</v>
      </c>
      <c r="H45" s="289">
        <f t="shared" si="21"/>
        <v>258977</v>
      </c>
      <c r="I45" s="289">
        <f t="shared" si="20"/>
        <v>1223081</v>
      </c>
      <c r="J45" s="290">
        <f>SUM(B45:I45)</f>
        <v>11838243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376" t="s">
        <v>124</v>
      </c>
      <c r="C47" s="319">
        <f>[3]Delta!$FQ$70+[3]Delta!$FQ$73</f>
        <v>395947</v>
      </c>
      <c r="D47" s="306"/>
      <c r="E47" s="306"/>
      <c r="F47" s="306"/>
      <c r="G47" s="306"/>
      <c r="H47" s="306"/>
      <c r="I47" s="306"/>
      <c r="J47" s="307">
        <f>SUM(B47:I47)</f>
        <v>395947</v>
      </c>
    </row>
    <row r="48" spans="1:10" hidden="1" x14ac:dyDescent="0.2">
      <c r="A48" s="377" t="s">
        <v>125</v>
      </c>
      <c r="C48" s="319">
        <f>[3]Delta!$FQ$71+[3]Delta!$FQ$74</f>
        <v>348313</v>
      </c>
      <c r="D48" s="306"/>
      <c r="E48" s="306"/>
      <c r="F48" s="306"/>
      <c r="G48" s="306"/>
      <c r="H48" s="306"/>
      <c r="I48" s="306"/>
      <c r="J48" s="307">
        <f>SUM(B48:I48)</f>
        <v>348313</v>
      </c>
    </row>
    <row r="49" spans="1:10" hidden="1" x14ac:dyDescent="0.2">
      <c r="A49" s="378" t="s">
        <v>126</v>
      </c>
      <c r="C49" s="320">
        <f>SUM(C47:C48)</f>
        <v>744260</v>
      </c>
      <c r="J49" s="307">
        <f>SUM(B49:I49)</f>
        <v>744260</v>
      </c>
    </row>
    <row r="50" spans="1:10" x14ac:dyDescent="0.2">
      <c r="A50" s="376" t="s">
        <v>124</v>
      </c>
      <c r="B50" s="388"/>
      <c r="C50" s="322">
        <f>[3]Delta!$FQ$70+[3]Delta!$FQ$73</f>
        <v>395947</v>
      </c>
      <c r="D50" s="388"/>
      <c r="E50" s="322">
        <f>[3]Spirit!$FQ$70+[3]Spirit!$FQ$73</f>
        <v>0</v>
      </c>
      <c r="F50" s="388"/>
      <c r="G50" s="388"/>
      <c r="H50" s="388"/>
      <c r="I50" s="321">
        <f>'Other Major Airline Stats'!J48</f>
        <v>164690</v>
      </c>
      <c r="J50" s="310">
        <f>SUM(B50:I50)</f>
        <v>560637</v>
      </c>
    </row>
    <row r="51" spans="1:10" x14ac:dyDescent="0.2">
      <c r="A51" s="390" t="s">
        <v>125</v>
      </c>
      <c r="B51" s="388"/>
      <c r="C51" s="322">
        <f>[3]Delta!$FQ$71+[3]Delta!$FQ$74</f>
        <v>348313</v>
      </c>
      <c r="D51" s="388"/>
      <c r="E51" s="322">
        <f>[3]Spirit!$FQ$71+[3]Spirit!$FQ$74</f>
        <v>0</v>
      </c>
      <c r="F51" s="388"/>
      <c r="G51" s="388"/>
      <c r="H51" s="388"/>
      <c r="I51" s="321">
        <f>+'Other Major Airline Stats'!J49</f>
        <v>3094</v>
      </c>
      <c r="J51" s="310">
        <f>SUM(B51:I51)</f>
        <v>351407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April 2018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W49"/>
  <sheetViews>
    <sheetView zoomScaleNormal="100" workbookViewId="0">
      <selection activeCell="B8" sqref="B8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79">
        <v>43191</v>
      </c>
      <c r="B2" s="437" t="s">
        <v>47</v>
      </c>
      <c r="C2" s="437" t="s">
        <v>159</v>
      </c>
      <c r="D2" s="436" t="s">
        <v>196</v>
      </c>
      <c r="E2" s="436" t="s">
        <v>197</v>
      </c>
      <c r="F2" s="437" t="s">
        <v>48</v>
      </c>
      <c r="G2" s="436" t="s">
        <v>132</v>
      </c>
      <c r="H2" s="436" t="s">
        <v>49</v>
      </c>
      <c r="I2" s="436" t="s">
        <v>131</v>
      </c>
      <c r="J2" s="272" t="s">
        <v>61</v>
      </c>
    </row>
    <row r="3" spans="1:13" ht="15.75" thickTop="1" x14ac:dyDescent="0.25">
      <c r="A3" s="64" t="s">
        <v>3</v>
      </c>
      <c r="B3" s="125"/>
      <c r="C3" s="125"/>
      <c r="D3" s="125"/>
      <c r="E3" s="125"/>
      <c r="F3" s="125"/>
      <c r="G3" s="125"/>
      <c r="H3" s="125"/>
      <c r="I3" s="125"/>
      <c r="J3" s="152"/>
    </row>
    <row r="4" spans="1:13" x14ac:dyDescent="0.2">
      <c r="A4" s="62" t="s">
        <v>29</v>
      </c>
      <c r="B4" s="118"/>
      <c r="C4" s="118"/>
      <c r="D4" s="118"/>
      <c r="E4" s="118"/>
      <c r="F4" s="118"/>
      <c r="G4" s="118"/>
      <c r="H4" s="118"/>
      <c r="I4" s="118"/>
      <c r="J4" s="153"/>
    </row>
    <row r="5" spans="1:13" x14ac:dyDescent="0.2">
      <c r="A5" s="62" t="s">
        <v>30</v>
      </c>
      <c r="B5" s="146">
        <f>[3]Frontier!$FQ$22</f>
        <v>20460</v>
      </c>
      <c r="C5" s="146">
        <f>'[3]Great Lakes'!$FQ$22</f>
        <v>0</v>
      </c>
      <c r="D5" s="118">
        <f>'[3]Air Choice One'!$FQ$22</f>
        <v>346</v>
      </c>
      <c r="E5" s="118">
        <f>'[3]Boutique Air'!$FQ$22</f>
        <v>399</v>
      </c>
      <c r="F5" s="146">
        <f>[3]Icelandair!$FQ$32</f>
        <v>2672</v>
      </c>
      <c r="G5" s="118">
        <f>[3]Southwest!$FQ$22</f>
        <v>81134</v>
      </c>
      <c r="H5" s="118">
        <f>'[3]Sun Country'!$FQ$22+'[3]Sun Country'!$FQ$32</f>
        <v>115962</v>
      </c>
      <c r="I5" s="118">
        <f>[3]Alaska!$FQ$22</f>
        <v>8459</v>
      </c>
      <c r="J5" s="147">
        <f>SUM(B5:I5)</f>
        <v>229432</v>
      </c>
      <c r="M5" s="130"/>
    </row>
    <row r="6" spans="1:13" x14ac:dyDescent="0.2">
      <c r="A6" s="62" t="s">
        <v>31</v>
      </c>
      <c r="B6" s="146">
        <f>[3]Frontier!$FQ$23</f>
        <v>20210</v>
      </c>
      <c r="C6" s="146">
        <f>'[3]Great Lakes'!$FQ$23</f>
        <v>0</v>
      </c>
      <c r="D6" s="118">
        <f>'[3]Air Choice One'!$FQ$23</f>
        <v>333</v>
      </c>
      <c r="E6" s="118">
        <f>'[3]Boutique Air'!$FQ$23</f>
        <v>382</v>
      </c>
      <c r="F6" s="146">
        <f>[3]Icelandair!$FQ$33</f>
        <v>2690</v>
      </c>
      <c r="G6" s="118">
        <f>[3]Southwest!$FQ$23</f>
        <v>72683</v>
      </c>
      <c r="H6" s="118">
        <f>'[3]Sun Country'!$FQ$23+'[3]Sun Country'!$FQ$33</f>
        <v>95101</v>
      </c>
      <c r="I6" s="118">
        <f>[3]Alaska!$FQ$23</f>
        <v>7767</v>
      </c>
      <c r="J6" s="147">
        <f>SUM(B6:I6)</f>
        <v>199166</v>
      </c>
    </row>
    <row r="7" spans="1:13" ht="15" x14ac:dyDescent="0.25">
      <c r="A7" s="60" t="s">
        <v>7</v>
      </c>
      <c r="B7" s="155">
        <f t="shared" ref="B7:I7" si="0">SUM(B5:B6)</f>
        <v>40670</v>
      </c>
      <c r="C7" s="155">
        <f t="shared" si="0"/>
        <v>0</v>
      </c>
      <c r="D7" s="155">
        <f t="shared" ref="D7:E7" si="1">SUM(D5:D6)</f>
        <v>679</v>
      </c>
      <c r="E7" s="155">
        <f t="shared" si="1"/>
        <v>781</v>
      </c>
      <c r="F7" s="155">
        <f t="shared" si="0"/>
        <v>5362</v>
      </c>
      <c r="G7" s="155">
        <f t="shared" si="0"/>
        <v>153817</v>
      </c>
      <c r="H7" s="155">
        <f>SUM(H5:H6)</f>
        <v>211063</v>
      </c>
      <c r="I7" s="155">
        <f t="shared" si="0"/>
        <v>16226</v>
      </c>
      <c r="J7" s="156">
        <f>SUM(B7:I7)</f>
        <v>428598</v>
      </c>
    </row>
    <row r="8" spans="1:13" x14ac:dyDescent="0.2">
      <c r="A8" s="62"/>
      <c r="B8" s="154"/>
      <c r="C8" s="154"/>
      <c r="D8" s="154"/>
      <c r="E8" s="154"/>
      <c r="F8" s="154"/>
      <c r="G8" s="154"/>
      <c r="H8" s="154"/>
      <c r="I8" s="154"/>
      <c r="J8" s="147"/>
    </row>
    <row r="9" spans="1:13" x14ac:dyDescent="0.2">
      <c r="A9" s="62" t="s">
        <v>32</v>
      </c>
      <c r="B9" s="154"/>
      <c r="C9" s="154"/>
      <c r="D9" s="154"/>
      <c r="E9" s="154"/>
      <c r="F9" s="154"/>
      <c r="G9" s="154"/>
      <c r="H9" s="154"/>
      <c r="I9" s="154"/>
      <c r="J9" s="147"/>
    </row>
    <row r="10" spans="1:13" x14ac:dyDescent="0.2">
      <c r="A10" s="62" t="s">
        <v>30</v>
      </c>
      <c r="B10" s="154">
        <f>[3]Frontier!$FQ$27</f>
        <v>183</v>
      </c>
      <c r="C10" s="154">
        <f>'[3]Great Lakes'!$FQ$27</f>
        <v>0</v>
      </c>
      <c r="D10" s="154">
        <f>'[3]Air Choice One'!$FQ$27</f>
        <v>0</v>
      </c>
      <c r="E10" s="154">
        <f>'[3]Boutique Air'!$FQ$27</f>
        <v>0</v>
      </c>
      <c r="F10" s="154">
        <f>[3]Icelandair!$FQ$37</f>
        <v>52</v>
      </c>
      <c r="G10" s="154">
        <f>[3]Southwest!$FQ$27</f>
        <v>1361</v>
      </c>
      <c r="H10" s="154">
        <f>'[3]Sun Country'!$FQ$27+'[3]Sun Country'!$FQ$37</f>
        <v>1864</v>
      </c>
      <c r="I10" s="154">
        <f>[3]Alaska!$FQ$27</f>
        <v>227</v>
      </c>
      <c r="J10" s="147">
        <f>SUM(B10:I10)</f>
        <v>3687</v>
      </c>
    </row>
    <row r="11" spans="1:13" x14ac:dyDescent="0.2">
      <c r="A11" s="62" t="s">
        <v>33</v>
      </c>
      <c r="B11" s="157">
        <f>[3]Frontier!$FQ$28</f>
        <v>181</v>
      </c>
      <c r="C11" s="157">
        <f>'[3]Great Lakes'!$FQ$28</f>
        <v>0</v>
      </c>
      <c r="D11" s="157">
        <f>'[3]Air Choice One'!$FQ$28</f>
        <v>0</v>
      </c>
      <c r="E11" s="157">
        <f>'[3]Boutique Air'!$FQ$28</f>
        <v>0</v>
      </c>
      <c r="F11" s="157">
        <f>[3]Icelandair!$FQ$38</f>
        <v>60</v>
      </c>
      <c r="G11" s="157">
        <f>[3]Southwest!$FQ$28</f>
        <v>1597</v>
      </c>
      <c r="H11" s="157">
        <f>'[3]Sun Country'!$FQ$28+'[3]Sun Country'!$FQ$38</f>
        <v>1861</v>
      </c>
      <c r="I11" s="157">
        <f>[3]Alaska!$FQ$28</f>
        <v>272</v>
      </c>
      <c r="J11" s="147">
        <f>SUM(B11:I11)</f>
        <v>3971</v>
      </c>
    </row>
    <row r="12" spans="1:13" ht="15.75" thickBot="1" x14ac:dyDescent="0.3">
      <c r="A12" s="63" t="s">
        <v>34</v>
      </c>
      <c r="B12" s="150">
        <f t="shared" ref="B12:I12" si="2">SUM(B10:B11)</f>
        <v>364</v>
      </c>
      <c r="C12" s="150">
        <f t="shared" si="2"/>
        <v>0</v>
      </c>
      <c r="D12" s="150">
        <f t="shared" ref="D12:E12" si="3">SUM(D10:D11)</f>
        <v>0</v>
      </c>
      <c r="E12" s="150">
        <f t="shared" si="3"/>
        <v>0</v>
      </c>
      <c r="F12" s="150">
        <f t="shared" si="2"/>
        <v>112</v>
      </c>
      <c r="G12" s="150">
        <f t="shared" si="2"/>
        <v>2958</v>
      </c>
      <c r="H12" s="150">
        <f>SUM(H10:H11)</f>
        <v>3725</v>
      </c>
      <c r="I12" s="150">
        <f t="shared" si="2"/>
        <v>499</v>
      </c>
      <c r="J12" s="158">
        <f>SUM(B12:I12)</f>
        <v>7658</v>
      </c>
      <c r="M12" s="130"/>
    </row>
    <row r="13" spans="1:13" ht="15" x14ac:dyDescent="0.25">
      <c r="A13" s="59"/>
      <c r="B13" s="292"/>
      <c r="C13" s="292"/>
      <c r="D13" s="292"/>
      <c r="E13" s="292"/>
      <c r="F13" s="292"/>
      <c r="G13" s="292"/>
      <c r="H13" s="292"/>
      <c r="I13" s="292"/>
      <c r="J13" s="293"/>
    </row>
    <row r="14" spans="1:13" ht="13.5" thickBot="1" x14ac:dyDescent="0.25"/>
    <row r="15" spans="1:13" ht="15.75" thickTop="1" x14ac:dyDescent="0.25">
      <c r="A15" s="61" t="s">
        <v>9</v>
      </c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3" x14ac:dyDescent="0.2">
      <c r="A16" s="62" t="s">
        <v>22</v>
      </c>
      <c r="B16" s="146">
        <f>[3]Frontier!$FQ$4</f>
        <v>150</v>
      </c>
      <c r="C16" s="146">
        <f>'[3]Great Lakes'!$FQ$4</f>
        <v>0</v>
      </c>
      <c r="D16" s="106">
        <f>'[3]Air Choice One'!$FQ$4</f>
        <v>86</v>
      </c>
      <c r="E16" s="106">
        <f>'[3]Boutique Air'!$FQ$4</f>
        <v>72</v>
      </c>
      <c r="F16" s="146">
        <f>[3]Icelandair!$FQ$15</f>
        <v>20</v>
      </c>
      <c r="G16" s="106">
        <f>[3]Southwest!$FQ$4</f>
        <v>651</v>
      </c>
      <c r="H16" s="118">
        <f>'[3]Sun Country'!$FQ$4+'[3]Sun Country'!$FQ$15</f>
        <v>803</v>
      </c>
      <c r="I16" s="118">
        <f>[3]Alaska!$FQ$4</f>
        <v>54</v>
      </c>
      <c r="J16" s="147">
        <f>SUM(B16:I16)</f>
        <v>1836</v>
      </c>
    </row>
    <row r="17" spans="1:257" x14ac:dyDescent="0.2">
      <c r="A17" s="62" t="s">
        <v>23</v>
      </c>
      <c r="B17" s="146">
        <f>[3]Frontier!$FQ$5</f>
        <v>152</v>
      </c>
      <c r="C17" s="146">
        <f>'[3]Great Lakes'!$FQ$5</f>
        <v>0</v>
      </c>
      <c r="D17" s="106">
        <f>'[3]Air Choice One'!$FQ$5</f>
        <v>86</v>
      </c>
      <c r="E17" s="106">
        <f>'[3]Boutique Air'!$FQ$5</f>
        <v>72</v>
      </c>
      <c r="F17" s="146">
        <f>[3]Icelandair!$FQ$16</f>
        <v>20</v>
      </c>
      <c r="G17" s="106">
        <f>[3]Southwest!$FQ$5</f>
        <v>650</v>
      </c>
      <c r="H17" s="118">
        <f>'[3]Sun Country'!$FQ$5+'[3]Sun Country'!$FQ$16</f>
        <v>800</v>
      </c>
      <c r="I17" s="118">
        <f>[3]Alaska!$FQ$5</f>
        <v>54</v>
      </c>
      <c r="J17" s="147">
        <f>SUM(B17:I17)</f>
        <v>1834</v>
      </c>
    </row>
    <row r="18" spans="1:257" x14ac:dyDescent="0.2">
      <c r="A18" s="66" t="s">
        <v>24</v>
      </c>
      <c r="B18" s="148">
        <f t="shared" ref="B18:I18" si="4">SUM(B16:B17)</f>
        <v>302</v>
      </c>
      <c r="C18" s="148">
        <f t="shared" si="4"/>
        <v>0</v>
      </c>
      <c r="D18" s="148">
        <f t="shared" ref="D18:E18" si="5">SUM(D16:D17)</f>
        <v>172</v>
      </c>
      <c r="E18" s="148">
        <f t="shared" si="5"/>
        <v>144</v>
      </c>
      <c r="F18" s="148">
        <f t="shared" si="4"/>
        <v>40</v>
      </c>
      <c r="G18" s="148">
        <f t="shared" si="4"/>
        <v>1301</v>
      </c>
      <c r="H18" s="148">
        <f t="shared" si="4"/>
        <v>1603</v>
      </c>
      <c r="I18" s="148">
        <f t="shared" si="4"/>
        <v>108</v>
      </c>
      <c r="J18" s="149">
        <f>SUM(B18:I18)</f>
        <v>3670</v>
      </c>
    </row>
    <row r="19" spans="1:257" x14ac:dyDescent="0.2">
      <c r="A19" s="66"/>
      <c r="B19" s="116"/>
      <c r="C19" s="116"/>
      <c r="D19" s="116"/>
      <c r="E19" s="116"/>
      <c r="F19" s="116"/>
      <c r="G19" s="116"/>
      <c r="H19" s="116"/>
      <c r="I19" s="116"/>
      <c r="J19" s="147"/>
    </row>
    <row r="20" spans="1:257" x14ac:dyDescent="0.2">
      <c r="A20" s="62" t="s">
        <v>25</v>
      </c>
      <c r="B20" s="146">
        <f>[3]Frontier!$FQ$8</f>
        <v>0</v>
      </c>
      <c r="C20" s="146">
        <f>'[3]Great Lakes'!$FQ$8</f>
        <v>0</v>
      </c>
      <c r="D20" s="118">
        <f>'[3]Air Choice One'!$FQ$8</f>
        <v>0</v>
      </c>
      <c r="E20" s="118">
        <f>'[3]Boutique Air'!$FQ$8</f>
        <v>0</v>
      </c>
      <c r="F20" s="146">
        <f>[3]Icelandair!$FQ$8</f>
        <v>0</v>
      </c>
      <c r="G20" s="118">
        <f>[3]Southwest!$FQ$8</f>
        <v>0</v>
      </c>
      <c r="H20" s="118">
        <f>'[3]Sun Country'!$FQ$8</f>
        <v>69</v>
      </c>
      <c r="I20" s="118">
        <f>[3]Alaska!$FQ$8</f>
        <v>0</v>
      </c>
      <c r="J20" s="147">
        <f>SUM(B20:I20)</f>
        <v>69</v>
      </c>
    </row>
    <row r="21" spans="1:257" x14ac:dyDescent="0.2">
      <c r="A21" s="62" t="s">
        <v>26</v>
      </c>
      <c r="B21" s="146">
        <f>[3]Frontier!$FQ$9</f>
        <v>0</v>
      </c>
      <c r="C21" s="146">
        <f>'[3]Great Lakes'!$FQ$9</f>
        <v>0</v>
      </c>
      <c r="D21" s="118">
        <f>'[3]Air Choice One'!$FQ$9</f>
        <v>0</v>
      </c>
      <c r="E21" s="118">
        <f>'[3]Boutique Air'!$FQ$9</f>
        <v>0</v>
      </c>
      <c r="F21" s="146">
        <f>[3]Icelandair!$FQ$9</f>
        <v>0</v>
      </c>
      <c r="G21" s="118">
        <f>[3]Southwest!$FQ$9</f>
        <v>0</v>
      </c>
      <c r="H21" s="118">
        <f>'[3]Sun Country'!$FQ$9</f>
        <v>71</v>
      </c>
      <c r="I21" s="118">
        <f>[3]Alaska!$FQ$9</f>
        <v>0</v>
      </c>
      <c r="J21" s="147">
        <f>SUM(B21:I21)</f>
        <v>71</v>
      </c>
    </row>
    <row r="22" spans="1:257" x14ac:dyDescent="0.2">
      <c r="A22" s="66" t="s">
        <v>27</v>
      </c>
      <c r="B22" s="148">
        <f t="shared" ref="B22:I22" si="6">SUM(B20:B21)</f>
        <v>0</v>
      </c>
      <c r="C22" s="148">
        <f t="shared" si="6"/>
        <v>0</v>
      </c>
      <c r="D22" s="148">
        <f t="shared" ref="D22:E22" si="7">SUM(D20:D21)</f>
        <v>0</v>
      </c>
      <c r="E22" s="148">
        <f t="shared" si="7"/>
        <v>0</v>
      </c>
      <c r="F22" s="148">
        <f t="shared" si="6"/>
        <v>0</v>
      </c>
      <c r="G22" s="148">
        <f t="shared" si="6"/>
        <v>0</v>
      </c>
      <c r="H22" s="148">
        <f t="shared" si="6"/>
        <v>140</v>
      </c>
      <c r="I22" s="148">
        <f t="shared" si="6"/>
        <v>0</v>
      </c>
      <c r="J22" s="149">
        <f>SUM(B22:I22)</f>
        <v>140</v>
      </c>
    </row>
    <row r="23" spans="1:257" ht="15.75" thickBot="1" x14ac:dyDescent="0.3">
      <c r="A23" s="63" t="s">
        <v>28</v>
      </c>
      <c r="B23" s="150">
        <f t="shared" ref="B23:I23" si="8">B22+B18</f>
        <v>302</v>
      </c>
      <c r="C23" s="150">
        <f t="shared" si="8"/>
        <v>0</v>
      </c>
      <c r="D23" s="150">
        <f t="shared" ref="D23:E23" si="9">D22+D18</f>
        <v>172</v>
      </c>
      <c r="E23" s="150">
        <f t="shared" si="9"/>
        <v>144</v>
      </c>
      <c r="F23" s="150">
        <f t="shared" si="8"/>
        <v>40</v>
      </c>
      <c r="G23" s="150">
        <f t="shared" si="8"/>
        <v>1301</v>
      </c>
      <c r="H23" s="150">
        <f t="shared" si="8"/>
        <v>1743</v>
      </c>
      <c r="I23" s="150">
        <f t="shared" si="8"/>
        <v>108</v>
      </c>
      <c r="J23" s="151">
        <f>SUM(B23:I23)</f>
        <v>3810</v>
      </c>
    </row>
    <row r="24" spans="1:25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spans="1:257" ht="13.5" thickBot="1" x14ac:dyDescent="0.25">
      <c r="B25" s="414"/>
      <c r="C25" s="414"/>
      <c r="D25" s="414"/>
      <c r="E25" s="414"/>
      <c r="F25" s="414"/>
      <c r="G25" s="414"/>
      <c r="H25" s="414"/>
      <c r="I25" s="414"/>
      <c r="J25" s="130"/>
    </row>
    <row r="26" spans="1:257" ht="15.75" thickTop="1" x14ac:dyDescent="0.25">
      <c r="A26" s="65" t="s">
        <v>35</v>
      </c>
      <c r="B26" s="159"/>
      <c r="C26" s="159"/>
      <c r="D26" s="159"/>
      <c r="E26" s="159"/>
      <c r="F26" s="159"/>
      <c r="G26" s="159"/>
      <c r="H26" s="159"/>
      <c r="I26" s="159"/>
      <c r="J26" s="160"/>
    </row>
    <row r="27" spans="1:257" x14ac:dyDescent="0.2">
      <c r="A27" s="62" t="s">
        <v>36</v>
      </c>
      <c r="B27" s="161"/>
      <c r="C27" s="161"/>
      <c r="D27" s="161"/>
      <c r="E27" s="161"/>
      <c r="F27" s="161"/>
      <c r="G27" s="161"/>
      <c r="H27" s="161"/>
      <c r="I27" s="161"/>
      <c r="J27" s="153"/>
    </row>
    <row r="28" spans="1:257" x14ac:dyDescent="0.2">
      <c r="A28" s="62" t="s">
        <v>37</v>
      </c>
      <c r="B28" s="146">
        <f>[3]Frontier!$FQ$47</f>
        <v>0</v>
      </c>
      <c r="C28" s="146">
        <f>'[3]Great Lakes'!$FQ$47</f>
        <v>0</v>
      </c>
      <c r="D28" s="118">
        <f>'[3]Air Choice One'!$FQ$47</f>
        <v>0</v>
      </c>
      <c r="E28" s="118">
        <f>'[3]Boutique Air'!$FQ$47</f>
        <v>0</v>
      </c>
      <c r="F28" s="146">
        <f>[3]Icelandair!$FQ$47</f>
        <v>28668</v>
      </c>
      <c r="G28" s="118">
        <f>[3]Southwest!$FQ$47</f>
        <v>179052</v>
      </c>
      <c r="H28" s="118">
        <f>'[3]Sun Country'!$FQ$47</f>
        <v>82010</v>
      </c>
      <c r="I28" s="118">
        <f>[3]Alaska!$FQ$47</f>
        <v>18233</v>
      </c>
      <c r="J28" s="147">
        <f>SUM(B28:I28)</f>
        <v>307963</v>
      </c>
    </row>
    <row r="29" spans="1:257" x14ac:dyDescent="0.2">
      <c r="A29" s="62" t="s">
        <v>38</v>
      </c>
      <c r="B29" s="146">
        <f>[3]Frontier!$FQ$48</f>
        <v>0</v>
      </c>
      <c r="C29" s="146">
        <f>'[3]Great Lakes'!$FQ$48</f>
        <v>0</v>
      </c>
      <c r="D29" s="118">
        <f>'[3]Air Choice One'!$FQ$48</f>
        <v>0</v>
      </c>
      <c r="E29" s="118">
        <f>'[3]Boutique Air'!$FQ$48</f>
        <v>0</v>
      </c>
      <c r="F29" s="146">
        <f>[3]Icelandair!$FQ$48</f>
        <v>0</v>
      </c>
      <c r="G29" s="118">
        <f>[3]Southwest!$FQ$48</f>
        <v>0</v>
      </c>
      <c r="H29" s="118">
        <f>'[3]Sun Country'!$FQ$48</f>
        <v>311515</v>
      </c>
      <c r="I29" s="118">
        <f>[3]Alaska!$FQ$48</f>
        <v>792</v>
      </c>
      <c r="J29" s="147">
        <f>SUM(B29:I29)</f>
        <v>312307</v>
      </c>
    </row>
    <row r="30" spans="1:257" x14ac:dyDescent="0.2">
      <c r="A30" s="66" t="s">
        <v>39</v>
      </c>
      <c r="B30" s="162">
        <f t="shared" ref="B30:I30" si="10">SUM(B28:B29)</f>
        <v>0</v>
      </c>
      <c r="C30" s="162">
        <f t="shared" si="10"/>
        <v>0</v>
      </c>
      <c r="D30" s="162">
        <f t="shared" ref="D30:E30" si="11">SUM(D28:D29)</f>
        <v>0</v>
      </c>
      <c r="E30" s="162">
        <f t="shared" si="11"/>
        <v>0</v>
      </c>
      <c r="F30" s="162">
        <f t="shared" si="10"/>
        <v>28668</v>
      </c>
      <c r="G30" s="162">
        <f t="shared" si="10"/>
        <v>179052</v>
      </c>
      <c r="H30" s="162">
        <f t="shared" si="10"/>
        <v>393525</v>
      </c>
      <c r="I30" s="162">
        <f t="shared" si="10"/>
        <v>19025</v>
      </c>
      <c r="J30" s="165">
        <f>SUM(B30:I30)</f>
        <v>620270</v>
      </c>
    </row>
    <row r="31" spans="1:257" x14ac:dyDescent="0.2">
      <c r="A31" s="62"/>
      <c r="B31" s="154"/>
      <c r="C31" s="154"/>
      <c r="D31" s="154"/>
      <c r="E31" s="154"/>
      <c r="F31" s="154"/>
      <c r="G31" s="154"/>
      <c r="H31" s="154"/>
      <c r="I31" s="154"/>
      <c r="J31" s="147"/>
    </row>
    <row r="32" spans="1:257" x14ac:dyDescent="0.2">
      <c r="A32" s="62" t="s">
        <v>40</v>
      </c>
      <c r="B32" s="146"/>
      <c r="C32" s="146"/>
      <c r="D32" s="118"/>
      <c r="E32" s="118"/>
      <c r="F32" s="146"/>
      <c r="G32" s="118"/>
      <c r="H32" s="118"/>
      <c r="I32" s="118"/>
      <c r="J32" s="147"/>
    </row>
    <row r="33" spans="1:10" x14ac:dyDescent="0.2">
      <c r="A33" s="62" t="s">
        <v>37</v>
      </c>
      <c r="B33" s="146">
        <f>[3]Frontier!$FQ$52</f>
        <v>0</v>
      </c>
      <c r="C33" s="146">
        <f>'[3]Great Lakes'!$FQ$52</f>
        <v>0</v>
      </c>
      <c r="D33" s="118">
        <f>'[3]Air Choice One'!$FQ$52</f>
        <v>0</v>
      </c>
      <c r="E33" s="118">
        <f>'[3]Boutique Air'!$FQ$52</f>
        <v>0</v>
      </c>
      <c r="F33" s="146">
        <f>[3]Icelandair!$FQ$52</f>
        <v>0</v>
      </c>
      <c r="G33" s="118">
        <f>[3]Southwest!$FQ$52</f>
        <v>59469</v>
      </c>
      <c r="H33" s="118">
        <f>'[3]Sun Country'!$FQ$52</f>
        <v>60327</v>
      </c>
      <c r="I33" s="118">
        <f>[3]Alaska!$FQ$52</f>
        <v>5873</v>
      </c>
      <c r="J33" s="147">
        <f>SUM(B33:I33)</f>
        <v>125669</v>
      </c>
    </row>
    <row r="34" spans="1:10" x14ac:dyDescent="0.2">
      <c r="A34" s="62" t="s">
        <v>38</v>
      </c>
      <c r="B34" s="146">
        <f>[3]Frontier!$FQ$53</f>
        <v>0</v>
      </c>
      <c r="C34" s="146">
        <f>'[3]Great Lakes'!$FQ$53</f>
        <v>0</v>
      </c>
      <c r="D34" s="118">
        <f>'[3]Air Choice One'!$FQ$53</f>
        <v>0</v>
      </c>
      <c r="E34" s="118">
        <f>'[3]Boutique Air'!$FQ$53</f>
        <v>0</v>
      </c>
      <c r="F34" s="146">
        <f>[3]Icelandair!$FQ$53</f>
        <v>0</v>
      </c>
      <c r="G34" s="118">
        <f>[3]Southwest!$FQ$53</f>
        <v>0</v>
      </c>
      <c r="H34" s="118">
        <f>'[3]Sun Country'!$FQ$53</f>
        <v>474903</v>
      </c>
      <c r="I34" s="118">
        <f>[3]Alaska!$FQ$53</f>
        <v>2239</v>
      </c>
      <c r="J34" s="163">
        <f>SUM(B34:I34)</f>
        <v>477142</v>
      </c>
    </row>
    <row r="35" spans="1:10" x14ac:dyDescent="0.2">
      <c r="A35" s="66" t="s">
        <v>41</v>
      </c>
      <c r="B35" s="164">
        <f t="shared" ref="B35:I35" si="12">SUM(B33:B34)</f>
        <v>0</v>
      </c>
      <c r="C35" s="164">
        <f t="shared" si="12"/>
        <v>0</v>
      </c>
      <c r="D35" s="164">
        <f t="shared" ref="D35:E35" si="13">SUM(D33:D34)</f>
        <v>0</v>
      </c>
      <c r="E35" s="164">
        <f t="shared" si="13"/>
        <v>0</v>
      </c>
      <c r="F35" s="164">
        <f t="shared" si="12"/>
        <v>0</v>
      </c>
      <c r="G35" s="164">
        <f t="shared" si="12"/>
        <v>59469</v>
      </c>
      <c r="H35" s="164">
        <f t="shared" si="12"/>
        <v>535230</v>
      </c>
      <c r="I35" s="164">
        <f t="shared" si="12"/>
        <v>8112</v>
      </c>
      <c r="J35" s="165">
        <f>SUM(B35:I35)</f>
        <v>602811</v>
      </c>
    </row>
    <row r="36" spans="1:10" hidden="1" x14ac:dyDescent="0.2">
      <c r="A36" s="62"/>
      <c r="B36" s="154"/>
      <c r="C36" s="154"/>
      <c r="D36" s="154"/>
      <c r="E36" s="154"/>
      <c r="F36" s="154"/>
      <c r="G36" s="154"/>
      <c r="H36" s="154"/>
      <c r="I36" s="154"/>
      <c r="J36" s="147"/>
    </row>
    <row r="37" spans="1:10" hidden="1" x14ac:dyDescent="0.2">
      <c r="A37" s="62" t="s">
        <v>42</v>
      </c>
      <c r="B37" s="154"/>
      <c r="C37" s="154"/>
      <c r="D37" s="154"/>
      <c r="E37" s="154"/>
      <c r="F37" s="154"/>
      <c r="G37" s="154"/>
      <c r="H37" s="154"/>
      <c r="I37" s="154"/>
      <c r="J37" s="147"/>
    </row>
    <row r="38" spans="1:10" hidden="1" x14ac:dyDescent="0.2">
      <c r="A38" s="62" t="s">
        <v>37</v>
      </c>
      <c r="B38" s="154">
        <f>[3]Frontier!$FQ$57</f>
        <v>0</v>
      </c>
      <c r="C38" s="154">
        <f>'[3]Great Lakes'!$FQ$57</f>
        <v>0</v>
      </c>
      <c r="D38" s="154">
        <f>'[3]Air Choice One'!$FQ$57</f>
        <v>0</v>
      </c>
      <c r="E38" s="154">
        <f>'[3]Boutique Air'!$FQ$57</f>
        <v>0</v>
      </c>
      <c r="F38" s="154">
        <f>[3]Icelandair!$FQ$57</f>
        <v>0</v>
      </c>
      <c r="G38" s="154">
        <f>[3]Southwest!$FQ$57</f>
        <v>0</v>
      </c>
      <c r="H38" s="154">
        <f>'[3]Sun Country'!$FQ$57</f>
        <v>0</v>
      </c>
      <c r="I38" s="154">
        <f>[3]Alaska!$FQ$57</f>
        <v>0</v>
      </c>
      <c r="J38" s="147">
        <f>SUM(B38:H38)</f>
        <v>0</v>
      </c>
    </row>
    <row r="39" spans="1:10" hidden="1" x14ac:dyDescent="0.2">
      <c r="A39" s="62" t="s">
        <v>38</v>
      </c>
      <c r="B39" s="157">
        <f>[3]Frontier!$FQ$58</f>
        <v>0</v>
      </c>
      <c r="C39" s="157">
        <f>'[3]Great Lakes'!$FQ$58</f>
        <v>0</v>
      </c>
      <c r="D39" s="157">
        <f>'[3]Air Choice One'!$FQ$58</f>
        <v>0</v>
      </c>
      <c r="E39" s="157">
        <f>'[3]Boutique Air'!$FQ$58</f>
        <v>0</v>
      </c>
      <c r="F39" s="157">
        <f>[3]Icelandair!$FQ$58</f>
        <v>0</v>
      </c>
      <c r="G39" s="157">
        <f>[3]Southwest!$FQ$58</f>
        <v>0</v>
      </c>
      <c r="H39" s="157">
        <f>'[3]Sun Country'!$FQ$58</f>
        <v>0</v>
      </c>
      <c r="I39" s="157">
        <f>[3]Alaska!$FQ$58</f>
        <v>0</v>
      </c>
      <c r="J39" s="163">
        <f>SUM(B39:H39)</f>
        <v>0</v>
      </c>
    </row>
    <row r="40" spans="1:10" hidden="1" x14ac:dyDescent="0.2">
      <c r="A40" s="66" t="s">
        <v>43</v>
      </c>
      <c r="B40" s="166">
        <f t="shared" ref="B40:I40" si="14">SUM(B38:B39)</f>
        <v>0</v>
      </c>
      <c r="C40" s="166">
        <f t="shared" si="14"/>
        <v>0</v>
      </c>
      <c r="D40" s="166">
        <f t="shared" ref="D40:E40" si="15">SUM(D38:D39)</f>
        <v>0</v>
      </c>
      <c r="E40" s="166">
        <f t="shared" si="15"/>
        <v>0</v>
      </c>
      <c r="F40" s="166">
        <f t="shared" si="14"/>
        <v>0</v>
      </c>
      <c r="G40" s="166">
        <f t="shared" si="14"/>
        <v>0</v>
      </c>
      <c r="H40" s="166">
        <f t="shared" si="14"/>
        <v>0</v>
      </c>
      <c r="I40" s="166">
        <f t="shared" si="14"/>
        <v>0</v>
      </c>
      <c r="J40" s="147">
        <f>SUM(B40:H40)</f>
        <v>0</v>
      </c>
    </row>
    <row r="41" spans="1:10" x14ac:dyDescent="0.2">
      <c r="A41" s="62"/>
      <c r="B41" s="154"/>
      <c r="C41" s="154"/>
      <c r="D41" s="154"/>
      <c r="E41" s="154"/>
      <c r="F41" s="154"/>
      <c r="G41" s="154"/>
      <c r="H41" s="154"/>
      <c r="I41" s="154"/>
      <c r="J41" s="147"/>
    </row>
    <row r="42" spans="1:10" x14ac:dyDescent="0.2">
      <c r="A42" s="62" t="s">
        <v>44</v>
      </c>
      <c r="B42" s="154"/>
      <c r="C42" s="154"/>
      <c r="D42" s="154"/>
      <c r="E42" s="154"/>
      <c r="F42" s="154"/>
      <c r="G42" s="154"/>
      <c r="H42" s="154"/>
      <c r="I42" s="154"/>
      <c r="J42" s="147"/>
    </row>
    <row r="43" spans="1:10" x14ac:dyDescent="0.2">
      <c r="A43" s="62" t="s">
        <v>45</v>
      </c>
      <c r="B43" s="154">
        <f t="shared" ref="B43:I43" si="16">B28+B33+B38</f>
        <v>0</v>
      </c>
      <c r="C43" s="154">
        <f>C28+C33+C38</f>
        <v>0</v>
      </c>
      <c r="D43" s="154">
        <f t="shared" ref="D43:E43" si="17">D28+D33+D38</f>
        <v>0</v>
      </c>
      <c r="E43" s="154">
        <f t="shared" si="17"/>
        <v>0</v>
      </c>
      <c r="F43" s="154">
        <f t="shared" si="16"/>
        <v>28668</v>
      </c>
      <c r="G43" s="154">
        <f t="shared" si="16"/>
        <v>238521</v>
      </c>
      <c r="H43" s="154">
        <f t="shared" si="16"/>
        <v>142337</v>
      </c>
      <c r="I43" s="154">
        <f t="shared" si="16"/>
        <v>24106</v>
      </c>
      <c r="J43" s="147">
        <f>SUM(B43:I43)</f>
        <v>433632</v>
      </c>
    </row>
    <row r="44" spans="1:10" x14ac:dyDescent="0.2">
      <c r="A44" s="62" t="s">
        <v>38</v>
      </c>
      <c r="B44" s="157">
        <f t="shared" ref="B44:I44" si="18">+B39+B34+B29</f>
        <v>0</v>
      </c>
      <c r="C44" s="157">
        <f>+C39+C34+C29</f>
        <v>0</v>
      </c>
      <c r="D44" s="157">
        <f t="shared" ref="D44:E44" si="19">+D39+D34+D29</f>
        <v>0</v>
      </c>
      <c r="E44" s="157">
        <f t="shared" si="19"/>
        <v>0</v>
      </c>
      <c r="F44" s="157">
        <f t="shared" si="18"/>
        <v>0</v>
      </c>
      <c r="G44" s="157">
        <f t="shared" si="18"/>
        <v>0</v>
      </c>
      <c r="H44" s="157">
        <f t="shared" si="18"/>
        <v>786418</v>
      </c>
      <c r="I44" s="157">
        <f t="shared" si="18"/>
        <v>3031</v>
      </c>
      <c r="J44" s="147">
        <f>SUM(B44:I44)</f>
        <v>789449</v>
      </c>
    </row>
    <row r="45" spans="1:10" ht="15.75" thickBot="1" x14ac:dyDescent="0.3">
      <c r="A45" s="63" t="s">
        <v>46</v>
      </c>
      <c r="B45" s="167">
        <f t="shared" ref="B45:I45" si="20">B43+B44</f>
        <v>0</v>
      </c>
      <c r="C45" s="167">
        <f t="shared" si="20"/>
        <v>0</v>
      </c>
      <c r="D45" s="167">
        <f t="shared" ref="D45:E45" si="21">D43+D44</f>
        <v>0</v>
      </c>
      <c r="E45" s="167">
        <f t="shared" si="21"/>
        <v>0</v>
      </c>
      <c r="F45" s="167">
        <f t="shared" si="20"/>
        <v>28668</v>
      </c>
      <c r="G45" s="167">
        <f t="shared" si="20"/>
        <v>238521</v>
      </c>
      <c r="H45" s="167">
        <f t="shared" si="20"/>
        <v>928755</v>
      </c>
      <c r="I45" s="167">
        <f t="shared" si="20"/>
        <v>27137</v>
      </c>
      <c r="J45" s="168">
        <f>SUM(B45:I45)</f>
        <v>1223081</v>
      </c>
    </row>
    <row r="48" spans="1:10" x14ac:dyDescent="0.2">
      <c r="A48" s="376" t="s">
        <v>124</v>
      </c>
      <c r="B48" s="388"/>
      <c r="C48" s="388"/>
      <c r="D48" s="388"/>
      <c r="E48" s="388"/>
      <c r="G48" s="322">
        <f>[3]Southwest!$FQ$70+[3]Southwest!$FQ$73</f>
        <v>72379</v>
      </c>
      <c r="H48" s="322">
        <f>'[3]Sun Country'!$FQ$70+'[3]Sun Country'!$FQ$73</f>
        <v>92311</v>
      </c>
      <c r="I48" s="388"/>
      <c r="J48" s="310">
        <f>SUM(B48:I48)</f>
        <v>164690</v>
      </c>
    </row>
    <row r="49" spans="1:10" x14ac:dyDescent="0.2">
      <c r="A49" s="390" t="s">
        <v>125</v>
      </c>
      <c r="B49" s="388"/>
      <c r="C49" s="388"/>
      <c r="D49" s="388"/>
      <c r="E49" s="388"/>
      <c r="G49" s="322">
        <f>[3]Southwest!$FQ$71+[3]Southwest!$FQ$74</f>
        <v>304</v>
      </c>
      <c r="H49" s="322">
        <f>'[3]Sun Country'!$FQ$71+'[3]Sun Country'!$FQ$74</f>
        <v>2790</v>
      </c>
      <c r="I49" s="388"/>
      <c r="J49" s="310">
        <f>SUM(B49:I49)</f>
        <v>3094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April 2018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Normal="100" workbookViewId="0">
      <selection activeCell="H50" sqref="H50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s="7" customFormat="1" x14ac:dyDescent="0.2">
      <c r="A1" s="386"/>
    </row>
    <row r="2" spans="1:13" s="7" customFormat="1" ht="51.75" thickBot="1" x14ac:dyDescent="0.25">
      <c r="A2" s="379">
        <v>43191</v>
      </c>
      <c r="B2" s="435" t="s">
        <v>163</v>
      </c>
      <c r="C2" s="435" t="s">
        <v>166</v>
      </c>
      <c r="D2" s="435" t="s">
        <v>176</v>
      </c>
      <c r="E2" s="435" t="s">
        <v>175</v>
      </c>
      <c r="F2" s="435" t="s">
        <v>177</v>
      </c>
      <c r="G2" s="435" t="s">
        <v>228</v>
      </c>
      <c r="H2" s="435" t="s">
        <v>181</v>
      </c>
      <c r="I2" s="435" t="s">
        <v>198</v>
      </c>
      <c r="J2" s="435" t="s">
        <v>223</v>
      </c>
      <c r="K2" s="435" t="s">
        <v>180</v>
      </c>
      <c r="L2" s="19" t="s">
        <v>118</v>
      </c>
      <c r="M2" s="19" t="s">
        <v>21</v>
      </c>
    </row>
    <row r="3" spans="1:13" ht="15.75" thickTop="1" x14ac:dyDescent="0.25">
      <c r="A3" s="279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5"/>
      <c r="M3" s="127"/>
    </row>
    <row r="4" spans="1:13" x14ac:dyDescent="0.2">
      <c r="A4" s="62" t="s">
        <v>29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30"/>
      <c r="M4" s="110"/>
    </row>
    <row r="5" spans="1:13" x14ac:dyDescent="0.2">
      <c r="A5" s="62" t="s">
        <v>30</v>
      </c>
      <c r="B5" s="131">
        <f>[3]Pinnacle!$FQ$22+[3]Pinnacle!$FQ$32</f>
        <v>50315</v>
      </c>
      <c r="C5" s="132">
        <f>[3]MESA_UA!$FQ$22</f>
        <v>11155</v>
      </c>
      <c r="D5" s="130">
        <f>'[3]Sky West'!$FQ$22+'[3]Sky West'!$FQ$32</f>
        <v>192608</v>
      </c>
      <c r="E5" s="130">
        <f>'[3]Sky West_UA'!$FQ$22</f>
        <v>6176</v>
      </c>
      <c r="F5" s="130">
        <f>'[3]Sky West_AS'!$FQ$22</f>
        <v>3924</v>
      </c>
      <c r="G5" s="130">
        <f>'[3]Sky West_AA'!$FQ$22</f>
        <v>1853</v>
      </c>
      <c r="H5" s="130">
        <f>[3]Republic!$FQ$22</f>
        <v>13217</v>
      </c>
      <c r="I5" s="130">
        <f>[3]Republic_UA!$FQ$22</f>
        <v>10102</v>
      </c>
      <c r="J5" s="130">
        <f>'[3]Sky Regional'!$FQ$32</f>
        <v>4630</v>
      </c>
      <c r="K5" s="130">
        <f>'[3]American Eagle'!$FQ$22</f>
        <v>4664</v>
      </c>
      <c r="L5" s="130">
        <f>'Other Regional'!M5</f>
        <v>32120</v>
      </c>
      <c r="M5" s="110">
        <f>SUM(B5:L5)</f>
        <v>330764</v>
      </c>
    </row>
    <row r="6" spans="1:13" s="10" customFormat="1" x14ac:dyDescent="0.2">
      <c r="A6" s="62" t="s">
        <v>31</v>
      </c>
      <c r="B6" s="131">
        <f>[3]Pinnacle!$FQ$23+[3]Pinnacle!$FQ$33</f>
        <v>49911</v>
      </c>
      <c r="C6" s="132">
        <f>[3]MESA_UA!$FQ$23</f>
        <v>10368</v>
      </c>
      <c r="D6" s="130">
        <f>'[3]Sky West'!$FQ$23+'[3]Sky West'!$FQ$33</f>
        <v>194264</v>
      </c>
      <c r="E6" s="130">
        <f>'[3]Sky West_UA'!$FQ$23</f>
        <v>5771</v>
      </c>
      <c r="F6" s="130">
        <f>'[3]Sky West_AS'!$FQ$23</f>
        <v>3752</v>
      </c>
      <c r="G6" s="130">
        <f>'[3]Sky West_AA'!$FQ$23</f>
        <v>1908</v>
      </c>
      <c r="H6" s="130">
        <f>[3]Republic!$FQ$23</f>
        <v>11532</v>
      </c>
      <c r="I6" s="130">
        <f>[3]Republic_UA!$FQ$23</f>
        <v>10476</v>
      </c>
      <c r="J6" s="130">
        <f>'[3]Sky Regional'!$FQ$33</f>
        <v>3717</v>
      </c>
      <c r="K6" s="130">
        <f>'[3]American Eagle'!$FQ$23</f>
        <v>4407</v>
      </c>
      <c r="L6" s="130">
        <f>'Other Regional'!M6</f>
        <v>31219</v>
      </c>
      <c r="M6" s="115">
        <f>SUM(B6:L6)</f>
        <v>327325</v>
      </c>
    </row>
    <row r="7" spans="1:13" ht="15" thickBot="1" x14ac:dyDescent="0.25">
      <c r="A7" s="73" t="s">
        <v>7</v>
      </c>
      <c r="B7" s="133">
        <f>SUM(B5:B6)</f>
        <v>100226</v>
      </c>
      <c r="C7" s="133">
        <f t="shared" ref="C7:L7" si="0">SUM(C5:C6)</f>
        <v>21523</v>
      </c>
      <c r="D7" s="133">
        <f t="shared" si="0"/>
        <v>386872</v>
      </c>
      <c r="E7" s="133">
        <f t="shared" si="0"/>
        <v>11947</v>
      </c>
      <c r="F7" s="133">
        <f t="shared" ref="F7:G7" si="1">SUM(F5:F6)</f>
        <v>7676</v>
      </c>
      <c r="G7" s="133">
        <f t="shared" si="1"/>
        <v>3761</v>
      </c>
      <c r="H7" s="133">
        <f t="shared" si="0"/>
        <v>24749</v>
      </c>
      <c r="I7" s="133">
        <f t="shared" si="0"/>
        <v>20578</v>
      </c>
      <c r="J7" s="133">
        <f t="shared" si="0"/>
        <v>8347</v>
      </c>
      <c r="K7" s="133">
        <f t="shared" si="0"/>
        <v>9071</v>
      </c>
      <c r="L7" s="133">
        <f t="shared" si="0"/>
        <v>63339</v>
      </c>
      <c r="M7" s="134">
        <f>SUM(B7:L7)</f>
        <v>658089</v>
      </c>
    </row>
    <row r="8" spans="1:13" ht="13.5" thickTop="1" x14ac:dyDescent="0.2">
      <c r="A8" s="62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0"/>
      <c r="M8" s="135"/>
    </row>
    <row r="9" spans="1:13" s="10" customFormat="1" x14ac:dyDescent="0.2">
      <c r="A9" s="62" t="s">
        <v>32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30"/>
      <c r="M9" s="110"/>
    </row>
    <row r="10" spans="1:13" x14ac:dyDescent="0.2">
      <c r="A10" s="62" t="s">
        <v>30</v>
      </c>
      <c r="B10" s="131">
        <f>[3]Pinnacle!$FQ$27+[3]Pinnacle!$FQ$37</f>
        <v>2091</v>
      </c>
      <c r="C10" s="132">
        <f>[3]MESA_UA!$FQ$27</f>
        <v>303</v>
      </c>
      <c r="D10" s="130">
        <f>'[3]Sky West'!$FQ$27+'[3]Sky West'!$FQ$37</f>
        <v>7638</v>
      </c>
      <c r="E10" s="130">
        <f>'[3]Sky West_UA'!$FQ$27</f>
        <v>180</v>
      </c>
      <c r="F10" s="130">
        <f>'[3]Sky West_AS'!$FQ$27</f>
        <v>59</v>
      </c>
      <c r="G10" s="130">
        <f>'[3]Sky West_AA'!$FQ$27</f>
        <v>87</v>
      </c>
      <c r="H10" s="130">
        <f>[3]Republic!$FQ$27</f>
        <v>421</v>
      </c>
      <c r="I10" s="130">
        <f>[3]Republic_UA!$FQ$27</f>
        <v>393</v>
      </c>
      <c r="J10" s="130">
        <f>'[3]Sky Regional'!$FQ$37</f>
        <v>60</v>
      </c>
      <c r="K10" s="130">
        <f>'[3]American Eagle'!$FQ$27</f>
        <v>196</v>
      </c>
      <c r="L10" s="130">
        <f>'Other Regional'!M10</f>
        <v>1011</v>
      </c>
      <c r="M10" s="110">
        <f>SUM(B10:L10)</f>
        <v>12439</v>
      </c>
    </row>
    <row r="11" spans="1:13" x14ac:dyDescent="0.2">
      <c r="A11" s="62" t="s">
        <v>33</v>
      </c>
      <c r="B11" s="131">
        <f>[3]Pinnacle!$FQ$28+[3]Pinnacle!$FQ$38</f>
        <v>1853</v>
      </c>
      <c r="C11" s="132">
        <f>[3]MESA_UA!$FQ$28</f>
        <v>316</v>
      </c>
      <c r="D11" s="130">
        <f>'[3]Sky West'!$FQ$28+'[3]Sky West'!$FQ$38</f>
        <v>7574</v>
      </c>
      <c r="E11" s="130">
        <f>'[3]Sky West_UA'!$FQ$28</f>
        <v>222</v>
      </c>
      <c r="F11" s="130">
        <f>'[3]Sky West_AS'!$FQ$28</f>
        <v>66</v>
      </c>
      <c r="G11" s="130">
        <f>'[3]Sky West_AA'!$FQ$28</f>
        <v>113</v>
      </c>
      <c r="H11" s="130">
        <f>[3]Republic!$FQ$28</f>
        <v>443</v>
      </c>
      <c r="I11" s="130">
        <f>[3]Republic_UA!$FQ$28</f>
        <v>416</v>
      </c>
      <c r="J11" s="130">
        <f>'[3]Sky Regional'!$FQ$38</f>
        <v>68</v>
      </c>
      <c r="K11" s="130">
        <f>'[3]American Eagle'!$FQ$28</f>
        <v>263</v>
      </c>
      <c r="L11" s="130">
        <f>'Other Regional'!M11</f>
        <v>865</v>
      </c>
      <c r="M11" s="115">
        <f>SUM(B11:L11)</f>
        <v>12199</v>
      </c>
    </row>
    <row r="12" spans="1:13" ht="15" thickBot="1" x14ac:dyDescent="0.25">
      <c r="A12" s="74" t="s">
        <v>34</v>
      </c>
      <c r="B12" s="136">
        <f t="shared" ref="B12:L12" si="2">SUM(B10:B11)</f>
        <v>3944</v>
      </c>
      <c r="C12" s="136">
        <f t="shared" si="2"/>
        <v>619</v>
      </c>
      <c r="D12" s="136">
        <f t="shared" si="2"/>
        <v>15212</v>
      </c>
      <c r="E12" s="136">
        <f t="shared" si="2"/>
        <v>402</v>
      </c>
      <c r="F12" s="136">
        <f t="shared" ref="F12:G12" si="3">SUM(F10:F11)</f>
        <v>125</v>
      </c>
      <c r="G12" s="136">
        <f t="shared" si="3"/>
        <v>200</v>
      </c>
      <c r="H12" s="136">
        <f t="shared" si="2"/>
        <v>864</v>
      </c>
      <c r="I12" s="136">
        <f t="shared" si="2"/>
        <v>809</v>
      </c>
      <c r="J12" s="136">
        <f t="shared" si="2"/>
        <v>128</v>
      </c>
      <c r="K12" s="136">
        <f t="shared" si="2"/>
        <v>459</v>
      </c>
      <c r="L12" s="136">
        <f t="shared" si="2"/>
        <v>1876</v>
      </c>
      <c r="M12" s="137">
        <f>SUM(B12:L12)</f>
        <v>24638</v>
      </c>
    </row>
    <row r="13" spans="1:13" ht="13.5" thickBot="1" x14ac:dyDescent="0.25"/>
    <row r="14" spans="1:13" ht="15.75" thickTop="1" x14ac:dyDescent="0.25">
      <c r="A14" s="61" t="s">
        <v>9</v>
      </c>
      <c r="B14" s="103"/>
      <c r="C14" s="104"/>
      <c r="D14" s="103"/>
      <c r="E14" s="103"/>
      <c r="F14" s="103"/>
      <c r="G14" s="103"/>
      <c r="H14" s="103"/>
      <c r="I14" s="103"/>
      <c r="J14" s="103"/>
      <c r="K14" s="103"/>
      <c r="L14" s="103"/>
      <c r="M14" s="105">
        <f t="shared" ref="M14" si="4">SUM(B14:L14)</f>
        <v>0</v>
      </c>
    </row>
    <row r="15" spans="1:13" x14ac:dyDescent="0.2">
      <c r="A15" s="62" t="s">
        <v>53</v>
      </c>
      <c r="B15" s="21">
        <f>[3]Pinnacle!$FQ$4+[3]Pinnacle!$FQ$15</f>
        <v>848</v>
      </c>
      <c r="C15" s="108">
        <f>[3]MESA_UA!$FQ$4</f>
        <v>172</v>
      </c>
      <c r="D15" s="106">
        <f>'[3]Sky West'!$FQ$4+'[3]Sky West'!$FQ$15</f>
        <v>4124</v>
      </c>
      <c r="E15" s="106">
        <f>'[3]Sky West_UA'!$FQ$4</f>
        <v>94</v>
      </c>
      <c r="F15" s="106">
        <f>'[3]Sky West_AS'!$FQ$4</f>
        <v>57</v>
      </c>
      <c r="G15" s="106">
        <f>'[3]Sky West_AA'!$FQ$4</f>
        <v>30</v>
      </c>
      <c r="H15" s="109">
        <f>[3]Republic!$FQ$4</f>
        <v>217</v>
      </c>
      <c r="I15" s="458">
        <f>[3]Republic_UA!$FQ$4</f>
        <v>159</v>
      </c>
      <c r="J15" s="458">
        <f>'[3]Sky Regional'!$FQ$15</f>
        <v>81</v>
      </c>
      <c r="K15" s="109">
        <f>'[3]American Eagle'!$FQ$4</f>
        <v>69</v>
      </c>
      <c r="L15" s="107">
        <f>'Other Regional'!M15</f>
        <v>556</v>
      </c>
      <c r="M15" s="110">
        <f t="shared" ref="M15:M21" si="5">SUM(B15:L15)</f>
        <v>6407</v>
      </c>
    </row>
    <row r="16" spans="1:13" x14ac:dyDescent="0.2">
      <c r="A16" s="62" t="s">
        <v>54</v>
      </c>
      <c r="B16" s="14">
        <f>[3]Pinnacle!$FQ$5+[3]Pinnacle!$FQ$16</f>
        <v>849</v>
      </c>
      <c r="C16" s="113">
        <f>[3]MESA_UA!$FQ$5</f>
        <v>172</v>
      </c>
      <c r="D16" s="111">
        <f>'[3]Sky West'!$FQ$5+'[3]Sky West'!$FQ$16</f>
        <v>4117</v>
      </c>
      <c r="E16" s="111">
        <f>'[3]Sky West_UA'!$FQ$5</f>
        <v>94</v>
      </c>
      <c r="F16" s="111">
        <f>'[3]Sky West_AS'!$FQ$5</f>
        <v>57</v>
      </c>
      <c r="G16" s="111">
        <f>'[3]Sky West_AA'!$FQ$5</f>
        <v>30</v>
      </c>
      <c r="H16" s="114">
        <f>[3]Republic!$FQ$5</f>
        <v>217</v>
      </c>
      <c r="I16" s="297">
        <f>[3]Republic_UA!$FQ$5</f>
        <v>159</v>
      </c>
      <c r="J16" s="297">
        <f>'[3]Sky Regional'!$FQ$16</f>
        <v>81</v>
      </c>
      <c r="K16" s="114">
        <f>'[3]American Eagle'!$FQ$5</f>
        <v>68</v>
      </c>
      <c r="L16" s="112">
        <f>'Other Regional'!M16</f>
        <v>555</v>
      </c>
      <c r="M16" s="115">
        <f t="shared" si="5"/>
        <v>6399</v>
      </c>
    </row>
    <row r="17" spans="1:13" x14ac:dyDescent="0.2">
      <c r="A17" s="71" t="s">
        <v>55</v>
      </c>
      <c r="B17" s="116">
        <f t="shared" ref="B17:K17" si="6">SUM(B15:B16)</f>
        <v>1697</v>
      </c>
      <c r="C17" s="116">
        <f t="shared" si="6"/>
        <v>344</v>
      </c>
      <c r="D17" s="116">
        <f t="shared" si="6"/>
        <v>8241</v>
      </c>
      <c r="E17" s="116">
        <f t="shared" si="6"/>
        <v>188</v>
      </c>
      <c r="F17" s="116">
        <f t="shared" ref="F17:G17" si="7">SUM(F15:F16)</f>
        <v>114</v>
      </c>
      <c r="G17" s="116">
        <f t="shared" si="7"/>
        <v>60</v>
      </c>
      <c r="H17" s="116">
        <f t="shared" si="6"/>
        <v>434</v>
      </c>
      <c r="I17" s="116">
        <f t="shared" ref="I17:J17" si="8">SUM(I15:I16)</f>
        <v>318</v>
      </c>
      <c r="J17" s="116">
        <f t="shared" si="8"/>
        <v>162</v>
      </c>
      <c r="K17" s="116">
        <f t="shared" si="6"/>
        <v>137</v>
      </c>
      <c r="L17" s="116">
        <f>SUM(L15:L16)</f>
        <v>1111</v>
      </c>
      <c r="M17" s="117">
        <f t="shared" si="5"/>
        <v>12806</v>
      </c>
    </row>
    <row r="18" spans="1:13" x14ac:dyDescent="0.2">
      <c r="A18" s="62" t="s">
        <v>56</v>
      </c>
      <c r="B18" s="118">
        <f>[3]Pinnacle!$FQ$8</f>
        <v>1</v>
      </c>
      <c r="C18" s="119">
        <f>[3]MESA_UA!$FQ$8</f>
        <v>0</v>
      </c>
      <c r="D18" s="118">
        <f>'[3]Sky West'!$FQ$8</f>
        <v>0</v>
      </c>
      <c r="E18" s="118">
        <f>'[3]Sky West_UA'!$FQ$8</f>
        <v>0</v>
      </c>
      <c r="F18" s="118">
        <f>'[3]Sky West_AS'!$FQ$8</f>
        <v>0</v>
      </c>
      <c r="G18" s="118">
        <f>'[3]Sky West_AA'!$FQ$8</f>
        <v>0</v>
      </c>
      <c r="H18" s="118">
        <f>[3]Republic!$FQ$8</f>
        <v>0</v>
      </c>
      <c r="I18" s="118">
        <f>[3]Republic_UA!$FQ$8</f>
        <v>0</v>
      </c>
      <c r="J18" s="118">
        <f>'[3]Sky Regional'!$FQ$8</f>
        <v>0</v>
      </c>
      <c r="K18" s="118">
        <f>'[3]American Eagle'!$FQ$8</f>
        <v>0</v>
      </c>
      <c r="L18" s="118">
        <f>'Other Regional'!M18</f>
        <v>0</v>
      </c>
      <c r="M18" s="110">
        <f t="shared" si="5"/>
        <v>1</v>
      </c>
    </row>
    <row r="19" spans="1:13" x14ac:dyDescent="0.2">
      <c r="A19" s="62" t="s">
        <v>57</v>
      </c>
      <c r="B19" s="120">
        <f>[3]Pinnacle!$FQ$9</f>
        <v>1</v>
      </c>
      <c r="C19" s="121">
        <f>[3]MESA_UA!$FQ$9</f>
        <v>0</v>
      </c>
      <c r="D19" s="120">
        <f>'[3]Sky West'!$FQ$9</f>
        <v>4</v>
      </c>
      <c r="E19" s="120">
        <f>'[3]Sky West_UA'!$FQ$9</f>
        <v>0</v>
      </c>
      <c r="F19" s="120">
        <f>'[3]Sky West_AS'!$FQ$9</f>
        <v>0</v>
      </c>
      <c r="G19" s="120">
        <f>'[3]Sky West_AA'!$FQ$9</f>
        <v>0</v>
      </c>
      <c r="H19" s="120">
        <f>[3]Republic!$FQ$9</f>
        <v>0</v>
      </c>
      <c r="I19" s="120">
        <f>[3]Republic_UA!$FQ$9</f>
        <v>0</v>
      </c>
      <c r="J19" s="120">
        <f>'[3]Sky Regional'!$FQ$9</f>
        <v>0</v>
      </c>
      <c r="K19" s="120">
        <f>'[3]American Eagle'!$FQ$9</f>
        <v>0</v>
      </c>
      <c r="L19" s="120">
        <f>'Other Regional'!M19</f>
        <v>0</v>
      </c>
      <c r="M19" s="115">
        <f t="shared" si="5"/>
        <v>5</v>
      </c>
    </row>
    <row r="20" spans="1:13" x14ac:dyDescent="0.2">
      <c r="A20" s="71" t="s">
        <v>58</v>
      </c>
      <c r="B20" s="116">
        <f t="shared" ref="B20:L20" si="9">SUM(B18:B19)</f>
        <v>2</v>
      </c>
      <c r="C20" s="116">
        <f t="shared" si="9"/>
        <v>0</v>
      </c>
      <c r="D20" s="116">
        <f t="shared" si="9"/>
        <v>4</v>
      </c>
      <c r="E20" s="116">
        <f t="shared" si="9"/>
        <v>0</v>
      </c>
      <c r="F20" s="116">
        <f t="shared" ref="F20:G20" si="10">SUM(F18:F19)</f>
        <v>0</v>
      </c>
      <c r="G20" s="116">
        <f t="shared" si="10"/>
        <v>0</v>
      </c>
      <c r="H20" s="116">
        <f t="shared" si="9"/>
        <v>0</v>
      </c>
      <c r="I20" s="116">
        <f t="shared" si="9"/>
        <v>0</v>
      </c>
      <c r="J20" s="116">
        <f t="shared" si="9"/>
        <v>0</v>
      </c>
      <c r="K20" s="116">
        <f t="shared" si="9"/>
        <v>0</v>
      </c>
      <c r="L20" s="116">
        <f t="shared" si="9"/>
        <v>0</v>
      </c>
      <c r="M20" s="117">
        <f t="shared" si="5"/>
        <v>6</v>
      </c>
    </row>
    <row r="21" spans="1:13" ht="15.75" thickBot="1" x14ac:dyDescent="0.3">
      <c r="A21" s="72" t="s">
        <v>28</v>
      </c>
      <c r="B21" s="122">
        <f t="shared" ref="B21:K21" si="11">SUM(B20,B17)</f>
        <v>1699</v>
      </c>
      <c r="C21" s="122">
        <f t="shared" si="11"/>
        <v>344</v>
      </c>
      <c r="D21" s="122">
        <f t="shared" si="11"/>
        <v>8245</v>
      </c>
      <c r="E21" s="122">
        <f t="shared" si="11"/>
        <v>188</v>
      </c>
      <c r="F21" s="122">
        <f t="shared" ref="F21:G21" si="12">SUM(F20,F17)</f>
        <v>114</v>
      </c>
      <c r="G21" s="122">
        <f t="shared" si="12"/>
        <v>60</v>
      </c>
      <c r="H21" s="122">
        <f t="shared" si="11"/>
        <v>434</v>
      </c>
      <c r="I21" s="122">
        <f t="shared" si="11"/>
        <v>318</v>
      </c>
      <c r="J21" s="122">
        <f t="shared" si="11"/>
        <v>162</v>
      </c>
      <c r="K21" s="122">
        <f t="shared" si="11"/>
        <v>137</v>
      </c>
      <c r="L21" s="122">
        <f>SUM(L20,L17)</f>
        <v>1111</v>
      </c>
      <c r="M21" s="123">
        <f t="shared" si="5"/>
        <v>12812</v>
      </c>
    </row>
    <row r="22" spans="1:13" ht="13.5" thickBot="1" x14ac:dyDescent="0.25"/>
    <row r="23" spans="1:13" ht="15.75" thickTop="1" x14ac:dyDescent="0.25">
      <c r="A23" s="65" t="s">
        <v>117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38"/>
      <c r="M23" s="140"/>
    </row>
    <row r="24" spans="1:13" x14ac:dyDescent="0.2">
      <c r="A24" s="75" t="s">
        <v>36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30"/>
      <c r="M24" s="110"/>
    </row>
    <row r="25" spans="1:13" x14ac:dyDescent="0.2">
      <c r="A25" s="75" t="s">
        <v>37</v>
      </c>
      <c r="B25" s="130">
        <f>[3]Pinnacle!$FQ$47</f>
        <v>0</v>
      </c>
      <c r="C25" s="132">
        <f>[3]MESA_UA!$FQ$47</f>
        <v>0</v>
      </c>
      <c r="D25" s="130">
        <f>'[3]Sky West'!$FQ$47</f>
        <v>0</v>
      </c>
      <c r="E25" s="130">
        <f>'[3]Sky West_UA'!$FQ$47</f>
        <v>0</v>
      </c>
      <c r="F25" s="130">
        <f>'[3]Sky West_AS'!$FQ$47</f>
        <v>653</v>
      </c>
      <c r="G25" s="130">
        <f>'[3]Sky West_AA'!$FQ$47</f>
        <v>535</v>
      </c>
      <c r="H25" s="130">
        <f>[3]Republic!$FQ$47</f>
        <v>0</v>
      </c>
      <c r="I25" s="130">
        <f>[3]Republic_UA!$FQ$47</f>
        <v>0</v>
      </c>
      <c r="J25" s="130">
        <f>'[3]Sky Regional'!$FQ$47</f>
        <v>0</v>
      </c>
      <c r="K25" s="130">
        <f>'[3]American Eagle'!$FQ$47</f>
        <v>0</v>
      </c>
      <c r="L25" s="130">
        <f>'Other Regional'!M25</f>
        <v>2219</v>
      </c>
      <c r="M25" s="110">
        <f>SUM(B25:L25)</f>
        <v>3407</v>
      </c>
    </row>
    <row r="26" spans="1:13" x14ac:dyDescent="0.2">
      <c r="A26" s="75" t="s">
        <v>38</v>
      </c>
      <c r="B26" s="130">
        <f>[3]Pinnacle!$FQ$48</f>
        <v>0</v>
      </c>
      <c r="C26" s="132">
        <f>[3]MESA_UA!$FQ$48</f>
        <v>0</v>
      </c>
      <c r="D26" s="130">
        <f>'[3]Sky West'!$FQ$48</f>
        <v>0</v>
      </c>
      <c r="E26" s="130">
        <f>'[3]Sky West_UA'!$FQ$48</f>
        <v>0</v>
      </c>
      <c r="F26" s="130">
        <f>'[3]Sky West_AS'!$FQ$48</f>
        <v>1006</v>
      </c>
      <c r="G26" s="130">
        <f>'[3]Sky West_AA'!$FQ$48</f>
        <v>0</v>
      </c>
      <c r="H26" s="130">
        <f>[3]Republic!$FQ$48</f>
        <v>0</v>
      </c>
      <c r="I26" s="130">
        <f>[3]Republic_UA!$FQ$48</f>
        <v>0</v>
      </c>
      <c r="J26" s="130">
        <f>'[3]Sky Regional'!$FQ$48</f>
        <v>0</v>
      </c>
      <c r="K26" s="130">
        <f>'[3]American Eagle'!$FQ$48</f>
        <v>0</v>
      </c>
      <c r="L26" s="130">
        <f>'Other Regional'!M26</f>
        <v>0</v>
      </c>
      <c r="M26" s="110">
        <f>SUM(B26:L26)</f>
        <v>1006</v>
      </c>
    </row>
    <row r="27" spans="1:13" ht="15" thickBot="1" x14ac:dyDescent="0.25">
      <c r="A27" s="73" t="s">
        <v>39</v>
      </c>
      <c r="B27" s="133">
        <f t="shared" ref="B27:L27" si="13">SUM(B25:B26)</f>
        <v>0</v>
      </c>
      <c r="C27" s="133">
        <f t="shared" si="13"/>
        <v>0</v>
      </c>
      <c r="D27" s="133">
        <f t="shared" si="13"/>
        <v>0</v>
      </c>
      <c r="E27" s="133">
        <f t="shared" si="13"/>
        <v>0</v>
      </c>
      <c r="F27" s="133">
        <f t="shared" ref="F27:G27" si="14">SUM(F25:F26)</f>
        <v>1659</v>
      </c>
      <c r="G27" s="133">
        <f t="shared" si="14"/>
        <v>535</v>
      </c>
      <c r="H27" s="133">
        <f t="shared" si="13"/>
        <v>0</v>
      </c>
      <c r="I27" s="133">
        <f t="shared" si="13"/>
        <v>0</v>
      </c>
      <c r="J27" s="133">
        <f t="shared" si="13"/>
        <v>0</v>
      </c>
      <c r="K27" s="133">
        <f t="shared" si="13"/>
        <v>0</v>
      </c>
      <c r="L27" s="133">
        <f t="shared" si="13"/>
        <v>2219</v>
      </c>
      <c r="M27" s="134">
        <f>SUM(B27:L27)</f>
        <v>4413</v>
      </c>
    </row>
    <row r="28" spans="1:13" ht="13.5" thickTop="1" x14ac:dyDescent="0.2">
      <c r="A28" s="75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30"/>
      <c r="M28" s="110"/>
    </row>
    <row r="29" spans="1:13" x14ac:dyDescent="0.2">
      <c r="A29" s="75" t="s">
        <v>40</v>
      </c>
      <c r="B29" s="130"/>
      <c r="C29" s="132"/>
      <c r="D29" s="130"/>
      <c r="E29" s="130"/>
      <c r="F29" s="130"/>
      <c r="G29" s="130"/>
      <c r="H29" s="130"/>
      <c r="I29" s="130"/>
      <c r="J29" s="130"/>
      <c r="K29" s="130"/>
      <c r="M29" s="110"/>
    </row>
    <row r="30" spans="1:13" x14ac:dyDescent="0.2">
      <c r="A30" s="75" t="s">
        <v>59</v>
      </c>
      <c r="B30" s="130">
        <f>[3]Pinnacle!$FQ$52</f>
        <v>0</v>
      </c>
      <c r="C30" s="132">
        <f>[3]MESA_UA!$FQ$52</f>
        <v>0</v>
      </c>
      <c r="D30" s="130">
        <f>'[3]Sky West'!$FQ$52</f>
        <v>0</v>
      </c>
      <c r="E30" s="130">
        <f>'[3]Sky West_UA'!$FQ$52</f>
        <v>0</v>
      </c>
      <c r="F30" s="130">
        <f>'[3]Sky West_AS'!$FQ$52</f>
        <v>244</v>
      </c>
      <c r="G30" s="130">
        <f>'[3]Sky West_AA'!$FQ$52</f>
        <v>0</v>
      </c>
      <c r="H30" s="130">
        <f>[3]Republic!$FQ$52</f>
        <v>0</v>
      </c>
      <c r="I30" s="130">
        <f>[3]Republic_UA!$FQ$52</f>
        <v>0</v>
      </c>
      <c r="J30" s="130">
        <f>'[3]Sky Regional'!$FQ$52</f>
        <v>0</v>
      </c>
      <c r="K30" s="130">
        <f>'[3]American Eagle'!$FQ$52</f>
        <v>0</v>
      </c>
      <c r="L30" s="130">
        <f>'Other Regional'!M30</f>
        <v>291</v>
      </c>
      <c r="M30" s="110">
        <f t="shared" ref="M30:M37" si="15">SUM(B30:L30)</f>
        <v>535</v>
      </c>
    </row>
    <row r="31" spans="1:13" x14ac:dyDescent="0.2">
      <c r="A31" s="75" t="s">
        <v>60</v>
      </c>
      <c r="B31" s="130">
        <f>[3]Pinnacle!$FQ$53</f>
        <v>0</v>
      </c>
      <c r="C31" s="132">
        <f>[3]MESA_UA!$FQ$53</f>
        <v>0</v>
      </c>
      <c r="D31" s="130">
        <f>'[3]Sky West'!$FQ$53</f>
        <v>0</v>
      </c>
      <c r="E31" s="130">
        <f>'[3]Sky West_UA'!$FQ$53</f>
        <v>0</v>
      </c>
      <c r="F31" s="130">
        <f>'[3]Sky West_AS'!$FQ$53</f>
        <v>1437</v>
      </c>
      <c r="G31" s="130">
        <f>'[3]Sky West_AA'!$FQ$53</f>
        <v>0</v>
      </c>
      <c r="H31" s="130">
        <f>[3]Republic!$FQ$53</f>
        <v>0</v>
      </c>
      <c r="I31" s="130">
        <f>[3]Republic_UA!$FQ$53</f>
        <v>0</v>
      </c>
      <c r="J31" s="130">
        <f>'[3]Sky Regional'!$FQ$53</f>
        <v>0</v>
      </c>
      <c r="K31" s="130">
        <f>'[3]American Eagle'!$FQ$53</f>
        <v>0</v>
      </c>
      <c r="L31" s="130">
        <f>'Other Regional'!M31</f>
        <v>434</v>
      </c>
      <c r="M31" s="110">
        <f t="shared" si="15"/>
        <v>1871</v>
      </c>
    </row>
    <row r="32" spans="1:13" ht="15" thickBot="1" x14ac:dyDescent="0.25">
      <c r="A32" s="73" t="s">
        <v>41</v>
      </c>
      <c r="B32" s="133">
        <f t="shared" ref="B32:K32" si="16">SUM(B30:B31)</f>
        <v>0</v>
      </c>
      <c r="C32" s="133">
        <f t="shared" si="16"/>
        <v>0</v>
      </c>
      <c r="D32" s="133">
        <f t="shared" si="16"/>
        <v>0</v>
      </c>
      <c r="E32" s="133">
        <f t="shared" si="16"/>
        <v>0</v>
      </c>
      <c r="F32" s="133">
        <f t="shared" ref="F32:G32" si="17">SUM(F30:F31)</f>
        <v>1681</v>
      </c>
      <c r="G32" s="133">
        <f t="shared" si="17"/>
        <v>0</v>
      </c>
      <c r="H32" s="133">
        <f t="shared" si="16"/>
        <v>0</v>
      </c>
      <c r="I32" s="133">
        <f t="shared" si="16"/>
        <v>0</v>
      </c>
      <c r="J32" s="133">
        <f t="shared" si="16"/>
        <v>0</v>
      </c>
      <c r="K32" s="133">
        <f t="shared" si="16"/>
        <v>0</v>
      </c>
      <c r="L32" s="133">
        <f>SUM(L30:L31)</f>
        <v>725</v>
      </c>
      <c r="M32" s="134">
        <f t="shared" si="15"/>
        <v>2406</v>
      </c>
    </row>
    <row r="33" spans="1:13" ht="13.5" hidden="1" thickTop="1" x14ac:dyDescent="0.2">
      <c r="A33" s="75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30"/>
      <c r="M33" s="110">
        <f t="shared" si="15"/>
        <v>0</v>
      </c>
    </row>
    <row r="34" spans="1:13" ht="13.5" hidden="1" thickTop="1" x14ac:dyDescent="0.2">
      <c r="A34" s="75" t="s">
        <v>42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30"/>
      <c r="M34" s="110">
        <f t="shared" si="15"/>
        <v>0</v>
      </c>
    </row>
    <row r="35" spans="1:13" ht="13.5" hidden="1" thickTop="1" x14ac:dyDescent="0.2">
      <c r="A35" s="75" t="s">
        <v>37</v>
      </c>
      <c r="B35" s="130">
        <f>[3]Pinnacle!$FQ$57</f>
        <v>0</v>
      </c>
      <c r="C35" s="132">
        <f>[3]MESA_UA!$FQ$57</f>
        <v>0</v>
      </c>
      <c r="D35" s="130">
        <f>'[3]Sky West'!$FQ$57</f>
        <v>0</v>
      </c>
      <c r="E35" s="130">
        <f>'[3]Sky West_UA'!$FQ$57</f>
        <v>0</v>
      </c>
      <c r="F35" s="130">
        <f>'[3]Sky West_AS'!$FQ$57</f>
        <v>0</v>
      </c>
      <c r="G35" s="130">
        <f>'[3]Sky West_AA'!$FQ$57</f>
        <v>0</v>
      </c>
      <c r="H35" s="130">
        <f>[3]Republic!$FQ$57</f>
        <v>0</v>
      </c>
      <c r="I35" s="130">
        <f>[3]Republic!$FQ$57</f>
        <v>0</v>
      </c>
      <c r="J35" s="130">
        <f>[3]Republic!$FQ$57</f>
        <v>0</v>
      </c>
      <c r="K35" s="130">
        <f>'[3]American Eagle'!$FQ$57</f>
        <v>0</v>
      </c>
      <c r="L35" s="130">
        <f>'Other Regional'!M35</f>
        <v>0</v>
      </c>
      <c r="M35" s="110">
        <f t="shared" si="15"/>
        <v>0</v>
      </c>
    </row>
    <row r="36" spans="1:13" ht="13.5" hidden="1" thickTop="1" x14ac:dyDescent="0.2">
      <c r="A36" s="75" t="s">
        <v>38</v>
      </c>
      <c r="B36" s="130">
        <f>[3]Pinnacle!$FQ$58</f>
        <v>0</v>
      </c>
      <c r="C36" s="132">
        <f>[3]MESA_UA!$FQ$58</f>
        <v>0</v>
      </c>
      <c r="D36" s="130">
        <f>'[3]Sky West'!$FQ$58</f>
        <v>0</v>
      </c>
      <c r="E36" s="130">
        <f>'[3]Sky West_UA'!$FQ$58</f>
        <v>0</v>
      </c>
      <c r="F36" s="130">
        <f>'[3]Sky West_AS'!$FQ$58</f>
        <v>0</v>
      </c>
      <c r="G36" s="130">
        <f>'[3]Sky West_AA'!$FQ$58</f>
        <v>0</v>
      </c>
      <c r="H36" s="130">
        <f>[3]Republic!$FQ$58</f>
        <v>0</v>
      </c>
      <c r="I36" s="130">
        <f>[3]Republic!$FQ$58</f>
        <v>0</v>
      </c>
      <c r="J36" s="130">
        <f>[3]Republic!$FQ$58</f>
        <v>0</v>
      </c>
      <c r="K36" s="130">
        <f>'[3]American Eagle'!$FQ$58</f>
        <v>0</v>
      </c>
      <c r="L36" s="130">
        <f>'Other Regional'!M36</f>
        <v>0</v>
      </c>
      <c r="M36" s="110">
        <f t="shared" si="15"/>
        <v>0</v>
      </c>
    </row>
    <row r="37" spans="1:13" ht="13.5" hidden="1" thickTop="1" x14ac:dyDescent="0.2">
      <c r="A37" s="76" t="s">
        <v>43</v>
      </c>
      <c r="B37" s="141">
        <f t="shared" ref="B37:K37" si="18">SUM(B35:B36)</f>
        <v>0</v>
      </c>
      <c r="C37" s="141">
        <f t="shared" si="18"/>
        <v>0</v>
      </c>
      <c r="D37" s="141">
        <f t="shared" si="18"/>
        <v>0</v>
      </c>
      <c r="E37" s="141">
        <f t="shared" si="18"/>
        <v>0</v>
      </c>
      <c r="F37" s="141">
        <f t="shared" ref="F37:G37" si="19">SUM(F35:F36)</f>
        <v>0</v>
      </c>
      <c r="G37" s="141">
        <f t="shared" si="19"/>
        <v>0</v>
      </c>
      <c r="H37" s="141">
        <f t="shared" si="18"/>
        <v>0</v>
      </c>
      <c r="I37" s="141">
        <f t="shared" si="18"/>
        <v>0</v>
      </c>
      <c r="J37" s="141">
        <f t="shared" si="18"/>
        <v>0</v>
      </c>
      <c r="K37" s="141">
        <f t="shared" si="18"/>
        <v>0</v>
      </c>
      <c r="L37" s="141">
        <f>SUM(L35:L36)</f>
        <v>0</v>
      </c>
      <c r="M37" s="143">
        <f t="shared" si="15"/>
        <v>0</v>
      </c>
    </row>
    <row r="38" spans="1:13" ht="13.5" thickTop="1" x14ac:dyDescent="0.2">
      <c r="A38" s="75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30"/>
      <c r="M38" s="110"/>
    </row>
    <row r="39" spans="1:13" x14ac:dyDescent="0.2">
      <c r="A39" s="75" t="s">
        <v>44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30"/>
      <c r="M39" s="110"/>
    </row>
    <row r="40" spans="1:13" x14ac:dyDescent="0.2">
      <c r="A40" s="75" t="s">
        <v>45</v>
      </c>
      <c r="B40" s="130">
        <f t="shared" ref="B40:J42" si="20">SUM(B35,B30,B25)</f>
        <v>0</v>
      </c>
      <c r="C40" s="130">
        <f>SUM(C35,C30,C25)</f>
        <v>0</v>
      </c>
      <c r="D40" s="130">
        <f t="shared" si="20"/>
        <v>0</v>
      </c>
      <c r="E40" s="130">
        <f t="shared" ref="E40:F42" si="21">SUM(E35,E30,E25)</f>
        <v>0</v>
      </c>
      <c r="F40" s="130">
        <f t="shared" si="21"/>
        <v>897</v>
      </c>
      <c r="G40" s="130">
        <f t="shared" ref="G40" si="22">SUM(G35,G30,G25)</f>
        <v>535</v>
      </c>
      <c r="H40" s="130">
        <f t="shared" si="20"/>
        <v>0</v>
      </c>
      <c r="I40" s="130">
        <f t="shared" si="20"/>
        <v>0</v>
      </c>
      <c r="J40" s="130">
        <f t="shared" si="20"/>
        <v>0</v>
      </c>
      <c r="K40" s="130">
        <f>SUM(K35,K30,K25)</f>
        <v>0</v>
      </c>
      <c r="L40" s="130">
        <f>L35+L30+L25</f>
        <v>2510</v>
      </c>
      <c r="M40" s="110">
        <f>SUM(B40:L40)</f>
        <v>3942</v>
      </c>
    </row>
    <row r="41" spans="1:13" x14ac:dyDescent="0.2">
      <c r="A41" s="75" t="s">
        <v>38</v>
      </c>
      <c r="B41" s="130">
        <f t="shared" si="20"/>
        <v>0</v>
      </c>
      <c r="C41" s="130">
        <f>SUM(C36,C31,C26)</f>
        <v>0</v>
      </c>
      <c r="D41" s="130">
        <f t="shared" si="20"/>
        <v>0</v>
      </c>
      <c r="E41" s="130">
        <f t="shared" si="21"/>
        <v>0</v>
      </c>
      <c r="F41" s="130">
        <f t="shared" si="21"/>
        <v>2443</v>
      </c>
      <c r="G41" s="130">
        <f t="shared" ref="G41" si="23">SUM(G36,G31,G26)</f>
        <v>0</v>
      </c>
      <c r="H41" s="130">
        <f t="shared" si="20"/>
        <v>0</v>
      </c>
      <c r="I41" s="130">
        <f t="shared" si="20"/>
        <v>0</v>
      </c>
      <c r="J41" s="130">
        <f t="shared" si="20"/>
        <v>0</v>
      </c>
      <c r="K41" s="130">
        <f>SUM(K36,K31,K26)</f>
        <v>0</v>
      </c>
      <c r="L41" s="130">
        <f>L36+L31+L26</f>
        <v>434</v>
      </c>
      <c r="M41" s="110">
        <f>SUM(B41:L41)</f>
        <v>2877</v>
      </c>
    </row>
    <row r="42" spans="1:13" ht="15" thickBot="1" x14ac:dyDescent="0.25">
      <c r="A42" s="74" t="s">
        <v>46</v>
      </c>
      <c r="B42" s="136">
        <f t="shared" si="20"/>
        <v>0</v>
      </c>
      <c r="C42" s="136">
        <f>SUM(C37,C32,C27)</f>
        <v>0</v>
      </c>
      <c r="D42" s="136">
        <f t="shared" si="20"/>
        <v>0</v>
      </c>
      <c r="E42" s="136">
        <f t="shared" si="21"/>
        <v>0</v>
      </c>
      <c r="F42" s="136">
        <f t="shared" si="21"/>
        <v>3340</v>
      </c>
      <c r="G42" s="136">
        <f t="shared" ref="G42" si="24">SUM(G37,G32,G27)</f>
        <v>535</v>
      </c>
      <c r="H42" s="136">
        <f t="shared" si="20"/>
        <v>0</v>
      </c>
      <c r="I42" s="136">
        <f t="shared" si="20"/>
        <v>0</v>
      </c>
      <c r="J42" s="136">
        <f t="shared" si="20"/>
        <v>0</v>
      </c>
      <c r="K42" s="136">
        <f>SUM(K37,K32,K27)</f>
        <v>0</v>
      </c>
      <c r="L42" s="136">
        <f>SUM(L37,L32,L27)</f>
        <v>2944</v>
      </c>
      <c r="M42" s="137">
        <f>SUM(B42:L42)</f>
        <v>6819</v>
      </c>
    </row>
    <row r="44" spans="1:13" x14ac:dyDescent="0.2">
      <c r="A44" s="376" t="s">
        <v>124</v>
      </c>
      <c r="B44" s="321">
        <f>[3]Pinnacle!$FQ$70+[3]Pinnacle!$FQ$73</f>
        <v>22810</v>
      </c>
      <c r="D44" s="322">
        <f>'[3]Sky West'!$FQ$70+'[3]Sky West'!$FQ$73</f>
        <v>68381</v>
      </c>
      <c r="E44" s="5"/>
      <c r="F44" s="5"/>
      <c r="G44" s="5"/>
      <c r="L44" s="322">
        <f>+'Other Regional'!M46</f>
        <v>12768</v>
      </c>
      <c r="M44" s="310">
        <f>SUM(B44:L44)</f>
        <v>103959</v>
      </c>
    </row>
    <row r="45" spans="1:13" x14ac:dyDescent="0.2">
      <c r="A45" s="390" t="s">
        <v>125</v>
      </c>
      <c r="B45" s="321">
        <f>[3]Pinnacle!$FQ$71+[3]Pinnacle!$FQ$74</f>
        <v>27101</v>
      </c>
      <c r="D45" s="322">
        <f>'[3]Sky West'!$FQ$71+'[3]Sky West'!$FQ$74</f>
        <v>125883</v>
      </c>
      <c r="E45" s="5"/>
      <c r="F45" s="5"/>
      <c r="G45" s="5"/>
      <c r="L45" s="322">
        <f>+'Other Regional'!M47</f>
        <v>14489</v>
      </c>
      <c r="M45" s="310">
        <f>SUM(B45:L45)</f>
        <v>167473</v>
      </c>
    </row>
    <row r="46" spans="1:13" x14ac:dyDescent="0.2">
      <c r="A46" s="312" t="s">
        <v>126</v>
      </c>
      <c r="B46" s="313">
        <f>SUM(B44:B45)</f>
        <v>49911</v>
      </c>
      <c r="L46" s="2"/>
      <c r="M46" s="311"/>
    </row>
    <row r="47" spans="1:13" x14ac:dyDescent="0.2">
      <c r="A47" s="314"/>
      <c r="B47" s="315" t="b">
        <f>IF(B46=B6,TRUE,FALSE)</f>
        <v>1</v>
      </c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4
&amp;CMinneapolis-St. Paul International Airport
&amp;"Arial,Bold"Regional Major
April 2018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Normal="100" zoomScaleSheetLayoutView="100" workbookViewId="0">
      <selection activeCell="A2" sqref="A2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10.42578125" customWidth="1"/>
    <col min="7" max="7" width="9.7109375" customWidth="1"/>
    <col min="8" max="8" width="10.140625" customWidth="1"/>
    <col min="9" max="9" width="9.5703125" customWidth="1"/>
    <col min="10" max="10" width="9.28515625" bestFit="1" customWidth="1"/>
    <col min="11" max="11" width="10.42578125" customWidth="1"/>
    <col min="12" max="12" width="9.85546875" customWidth="1"/>
    <col min="13" max="13" width="12.140625" customWidth="1"/>
  </cols>
  <sheetData>
    <row r="1" spans="1:13" s="7" customFormat="1" ht="36" customHeight="1" x14ac:dyDescent="0.2">
      <c r="A1" s="386"/>
    </row>
    <row r="2" spans="1:13" s="7" customFormat="1" ht="55.5" customHeight="1" thickBot="1" x14ac:dyDescent="0.25">
      <c r="A2" s="379">
        <v>43191</v>
      </c>
      <c r="B2" s="435" t="s">
        <v>179</v>
      </c>
      <c r="C2" s="435" t="s">
        <v>178</v>
      </c>
      <c r="D2" s="435" t="s">
        <v>227</v>
      </c>
      <c r="E2" s="435" t="s">
        <v>199</v>
      </c>
      <c r="F2" s="435" t="s">
        <v>170</v>
      </c>
      <c r="G2" s="435" t="s">
        <v>184</v>
      </c>
      <c r="H2" s="435" t="s">
        <v>183</v>
      </c>
      <c r="I2" s="435" t="s">
        <v>165</v>
      </c>
      <c r="J2" s="435" t="s">
        <v>169</v>
      </c>
      <c r="K2" s="435" t="s">
        <v>185</v>
      </c>
      <c r="L2" s="435" t="s">
        <v>182</v>
      </c>
      <c r="M2" s="291" t="s">
        <v>21</v>
      </c>
    </row>
    <row r="3" spans="1:13" ht="15.75" thickTop="1" x14ac:dyDescent="0.25">
      <c r="A3" s="279" t="s">
        <v>3</v>
      </c>
      <c r="B3" s="402"/>
      <c r="C3" s="402"/>
      <c r="D3" s="402"/>
      <c r="E3" s="402"/>
      <c r="F3" s="402"/>
      <c r="G3" s="403"/>
      <c r="H3" s="403"/>
      <c r="I3" s="403"/>
      <c r="J3" s="403"/>
      <c r="K3" s="403"/>
      <c r="L3" s="402"/>
      <c r="M3" s="127"/>
    </row>
    <row r="4" spans="1:13" x14ac:dyDescent="0.2">
      <c r="A4" s="62" t="s">
        <v>29</v>
      </c>
      <c r="B4" s="128"/>
      <c r="C4" s="128"/>
      <c r="D4" s="128"/>
      <c r="E4" s="129"/>
      <c r="F4" s="130"/>
      <c r="G4" s="131"/>
      <c r="H4" s="131"/>
      <c r="I4" s="131"/>
      <c r="J4" s="131"/>
      <c r="K4" s="132"/>
      <c r="L4" s="130"/>
      <c r="M4" s="110"/>
    </row>
    <row r="5" spans="1:13" x14ac:dyDescent="0.2">
      <c r="A5" s="62" t="s">
        <v>30</v>
      </c>
      <c r="B5" s="131">
        <f>'[3]Shuttle America'!$FQ$22</f>
        <v>0</v>
      </c>
      <c r="C5" s="131">
        <f>'[3]Shuttle America_Delta'!$FQ$22</f>
        <v>23</v>
      </c>
      <c r="D5" s="459">
        <f>[3]Horizon_AS!$FQ$22</f>
        <v>3839</v>
      </c>
      <c r="E5" s="459">
        <f>[3]PSA!$FQ$22</f>
        <v>106</v>
      </c>
      <c r="F5" s="21">
        <f>[3]Compass!$FQ$22+[3]Compass!$FQ$32</f>
        <v>0</v>
      </c>
      <c r="G5" s="131">
        <f>'[3]Atlantic Southeast'!$FQ$22+'[3]Atlantic Southeast'!$FQ$32</f>
        <v>7391</v>
      </c>
      <c r="H5" s="131">
        <f>'[3]Continental Express'!$FQ$22</f>
        <v>100</v>
      </c>
      <c r="I5" s="130">
        <f>'[3]Go Jet_UA'!$FQ$22</f>
        <v>406</v>
      </c>
      <c r="J5" s="21">
        <f>'[3]Go Jet'!$FQ$22+'[3]Go Jet'!$FQ$32</f>
        <v>20255</v>
      </c>
      <c r="K5" s="132">
        <f>'[3]Air Wisconsin'!$FQ$22</f>
        <v>0</v>
      </c>
      <c r="L5" s="130">
        <f>[3]MESA!$FQ$22</f>
        <v>0</v>
      </c>
      <c r="M5" s="110">
        <f>SUM(B5:L5)</f>
        <v>32120</v>
      </c>
    </row>
    <row r="6" spans="1:13" s="10" customFormat="1" x14ac:dyDescent="0.2">
      <c r="A6" s="62" t="s">
        <v>31</v>
      </c>
      <c r="B6" s="131">
        <f>'[3]Shuttle America'!$FQ$23</f>
        <v>0</v>
      </c>
      <c r="C6" s="131">
        <f>'[3]Shuttle America_Delta'!$FQ$23</f>
        <v>53</v>
      </c>
      <c r="D6" s="459">
        <f>[3]Horizon_AS!$FQ$23</f>
        <v>3447</v>
      </c>
      <c r="E6" s="459">
        <f>[3]PSA!$FQ$23</f>
        <v>106</v>
      </c>
      <c r="F6" s="14">
        <f>[3]Compass!$FQ$23+[3]Compass!$FQ$33</f>
        <v>0</v>
      </c>
      <c r="G6" s="131">
        <f>'[3]Atlantic Southeast'!$FQ$23+'[3]Atlantic Southeast'!$FQ$33</f>
        <v>7415</v>
      </c>
      <c r="H6" s="131">
        <f>'[3]Continental Express'!$FQ$23</f>
        <v>0</v>
      </c>
      <c r="I6" s="130">
        <f>'[3]Go Jet_UA'!$FQ$23</f>
        <v>409</v>
      </c>
      <c r="J6" s="14">
        <f>'[3]Go Jet'!$FQ$23+'[3]Go Jet'!$FQ$33</f>
        <v>19789</v>
      </c>
      <c r="K6" s="132">
        <f>'[3]Air Wisconsin'!$FQ$23</f>
        <v>0</v>
      </c>
      <c r="L6" s="130">
        <f>[3]MESA!$FQ$23</f>
        <v>0</v>
      </c>
      <c r="M6" s="115">
        <f>SUM(B6:L6)</f>
        <v>31219</v>
      </c>
    </row>
    <row r="7" spans="1:13" ht="15" thickBot="1" x14ac:dyDescent="0.25">
      <c r="A7" s="73" t="s">
        <v>7</v>
      </c>
      <c r="B7" s="133">
        <f t="shared" ref="B7:L7" si="0">SUM(B5:B6)</f>
        <v>0</v>
      </c>
      <c r="C7" s="133">
        <f t="shared" si="0"/>
        <v>76</v>
      </c>
      <c r="D7" s="133">
        <f t="shared" ref="D7" si="1">SUM(D5:D6)</f>
        <v>7286</v>
      </c>
      <c r="E7" s="133">
        <f t="shared" si="0"/>
        <v>212</v>
      </c>
      <c r="F7" s="133">
        <f>SUM(F5:F6)</f>
        <v>0</v>
      </c>
      <c r="G7" s="133">
        <f t="shared" si="0"/>
        <v>14806</v>
      </c>
      <c r="H7" s="133">
        <f t="shared" si="0"/>
        <v>100</v>
      </c>
      <c r="I7" s="133">
        <f t="shared" si="0"/>
        <v>815</v>
      </c>
      <c r="J7" s="133">
        <f>SUM(J5:J6)</f>
        <v>40044</v>
      </c>
      <c r="K7" s="133">
        <f t="shared" si="0"/>
        <v>0</v>
      </c>
      <c r="L7" s="133">
        <f t="shared" si="0"/>
        <v>0</v>
      </c>
      <c r="M7" s="134">
        <f>SUM(B7:L7)</f>
        <v>63339</v>
      </c>
    </row>
    <row r="8" spans="1:13" ht="13.5" thickTop="1" x14ac:dyDescent="0.2">
      <c r="A8" s="62"/>
      <c r="B8" s="131"/>
      <c r="C8" s="131"/>
      <c r="D8" s="459"/>
      <c r="E8" s="459"/>
      <c r="F8" s="340"/>
      <c r="G8" s="131"/>
      <c r="H8" s="131"/>
      <c r="I8" s="130"/>
      <c r="J8" s="340"/>
      <c r="K8" s="132"/>
      <c r="L8" s="130"/>
      <c r="M8" s="135"/>
    </row>
    <row r="9" spans="1:13" s="10" customFormat="1" x14ac:dyDescent="0.2">
      <c r="A9" s="62" t="s">
        <v>32</v>
      </c>
      <c r="B9" s="131"/>
      <c r="C9" s="131"/>
      <c r="D9" s="459"/>
      <c r="E9" s="459"/>
      <c r="F9" s="21"/>
      <c r="G9" s="131"/>
      <c r="H9" s="131"/>
      <c r="I9" s="130"/>
      <c r="J9" s="21"/>
      <c r="K9" s="132"/>
      <c r="L9" s="130"/>
      <c r="M9" s="110"/>
    </row>
    <row r="10" spans="1:13" x14ac:dyDescent="0.2">
      <c r="A10" s="62" t="s">
        <v>30</v>
      </c>
      <c r="B10" s="131">
        <f>'[3]Shuttle America'!$FQ$27</f>
        <v>0</v>
      </c>
      <c r="C10" s="131">
        <f>'[3]Shuttle America_Delta'!$FQ$27</f>
        <v>2</v>
      </c>
      <c r="D10" s="459">
        <f>[3]Horizon_AS!$FQ$27</f>
        <v>90</v>
      </c>
      <c r="E10" s="459">
        <f>[3]PSA!$FQ$27</f>
        <v>5</v>
      </c>
      <c r="F10" s="21">
        <f>[3]Compass!$FQ$27+[3]Compass!$FQ$37</f>
        <v>0</v>
      </c>
      <c r="G10" s="21">
        <f>'[3]Atlantic Southeast'!$FQ$27+'[3]Atlantic Southeast'!$FQ$37</f>
        <v>225</v>
      </c>
      <c r="H10" s="131">
        <f>'[3]Continental Express'!$FQ$27</f>
        <v>0</v>
      </c>
      <c r="I10" s="130">
        <f>'[3]Go Jet_UA'!$FQ$27</f>
        <v>9</v>
      </c>
      <c r="J10" s="21">
        <f>'[3]Go Jet'!$FQ$27+'[3]Go Jet'!$FQ$37</f>
        <v>680</v>
      </c>
      <c r="K10" s="132">
        <f>'[3]Air Wisconsin'!$FQ$27</f>
        <v>0</v>
      </c>
      <c r="L10" s="130">
        <f>[3]MESA!$FQ$27</f>
        <v>0</v>
      </c>
      <c r="M10" s="110">
        <f>SUM(B10:L10)</f>
        <v>1011</v>
      </c>
    </row>
    <row r="11" spans="1:13" x14ac:dyDescent="0.2">
      <c r="A11" s="62" t="s">
        <v>33</v>
      </c>
      <c r="B11" s="131">
        <f>'[3]Shuttle America'!$FQ$28</f>
        <v>0</v>
      </c>
      <c r="C11" s="131">
        <f>'[3]Shuttle America_Delta'!$FQ$28</f>
        <v>10</v>
      </c>
      <c r="D11" s="459">
        <f>[3]Horizon_AS!$FQ$28</f>
        <v>92</v>
      </c>
      <c r="E11" s="459">
        <f>[3]PSA!$FQ$28</f>
        <v>7</v>
      </c>
      <c r="F11" s="14">
        <f>[3]Compass!$FQ$28+[3]Compass!$FQ$38</f>
        <v>0</v>
      </c>
      <c r="G11" s="14">
        <f>'[3]Atlantic Southeast'!$FQ$28+'[3]Atlantic Southeast'!$FQ$38</f>
        <v>212</v>
      </c>
      <c r="H11" s="131">
        <f>'[3]Continental Express'!$FQ$28</f>
        <v>0</v>
      </c>
      <c r="I11" s="130">
        <f>'[3]Go Jet_UA'!$FQ$28</f>
        <v>7</v>
      </c>
      <c r="J11" s="14">
        <f>'[3]Go Jet'!$FQ$28+'[3]Go Jet'!$FQ$38</f>
        <v>537</v>
      </c>
      <c r="K11" s="132">
        <f>'[3]Air Wisconsin'!$FQ$28</f>
        <v>0</v>
      </c>
      <c r="L11" s="130">
        <f>[3]MESA!$FQ$28</f>
        <v>0</v>
      </c>
      <c r="M11" s="115">
        <f>SUM(B11:L11)</f>
        <v>865</v>
      </c>
    </row>
    <row r="12" spans="1:13" ht="15" thickBot="1" x14ac:dyDescent="0.25">
      <c r="A12" s="74" t="s">
        <v>34</v>
      </c>
      <c r="B12" s="136">
        <f>SUM(B10:B11)</f>
        <v>0</v>
      </c>
      <c r="C12" s="136">
        <f>SUM(C10:C11)</f>
        <v>12</v>
      </c>
      <c r="D12" s="136">
        <f t="shared" ref="D12:E12" si="2">SUM(D10:D11)</f>
        <v>182</v>
      </c>
      <c r="E12" s="136">
        <f t="shared" si="2"/>
        <v>12</v>
      </c>
      <c r="F12" s="136">
        <f t="shared" ref="F12:L12" si="3">SUM(F10:F11)</f>
        <v>0</v>
      </c>
      <c r="G12" s="136">
        <f t="shared" si="3"/>
        <v>437</v>
      </c>
      <c r="H12" s="136">
        <f t="shared" si="3"/>
        <v>0</v>
      </c>
      <c r="I12" s="136">
        <f t="shared" si="3"/>
        <v>16</v>
      </c>
      <c r="J12" s="136">
        <f t="shared" ref="J12" si="4">SUM(J10:J11)</f>
        <v>1217</v>
      </c>
      <c r="K12" s="136">
        <f t="shared" si="3"/>
        <v>0</v>
      </c>
      <c r="L12" s="136">
        <f t="shared" si="3"/>
        <v>0</v>
      </c>
      <c r="M12" s="137">
        <f>SUM(B12:L12)</f>
        <v>1876</v>
      </c>
    </row>
    <row r="13" spans="1:13" ht="6" customHeight="1" thickBot="1" x14ac:dyDescent="0.25"/>
    <row r="14" spans="1:13" ht="15.75" thickTop="1" x14ac:dyDescent="0.25">
      <c r="A14" s="61" t="s">
        <v>9</v>
      </c>
      <c r="B14" s="103"/>
      <c r="C14" s="103"/>
      <c r="D14" s="103"/>
      <c r="E14" s="103"/>
      <c r="F14" s="103"/>
      <c r="G14" s="104"/>
      <c r="H14" s="104"/>
      <c r="I14" s="103"/>
      <c r="J14" s="103"/>
      <c r="K14" s="104"/>
      <c r="L14" s="103"/>
      <c r="M14" s="105"/>
    </row>
    <row r="15" spans="1:13" x14ac:dyDescent="0.2">
      <c r="A15" s="62" t="s">
        <v>53</v>
      </c>
      <c r="B15" s="106">
        <f>'[3]Shuttle America'!$FQ$4</f>
        <v>0</v>
      </c>
      <c r="C15" s="106">
        <f>'[3]Shuttle America_Delta'!$FQ$4</f>
        <v>1</v>
      </c>
      <c r="D15" s="460">
        <f>[3]Horizon_AS!$FQ$4</f>
        <v>58</v>
      </c>
      <c r="E15" s="460">
        <f>[3]PSA!$FQ$4</f>
        <v>2</v>
      </c>
      <c r="F15" s="21">
        <f>[3]Compass!$FQ$4+[3]Compass!$FQ$15</f>
        <v>0</v>
      </c>
      <c r="G15" s="107">
        <f>'[3]Atlantic Southeast'!$FQ$4+'[3]Atlantic Southeast'!$FQ$15</f>
        <v>143</v>
      </c>
      <c r="H15" s="107">
        <f>'[3]Continental Express'!$FQ$4</f>
        <v>2</v>
      </c>
      <c r="I15" s="106">
        <f>'[3]Go Jet_UA'!$FQ$4</f>
        <v>6</v>
      </c>
      <c r="J15" s="21">
        <f>'[3]Go Jet'!$FQ$4+'[3]Go Jet'!$FQ$15</f>
        <v>344</v>
      </c>
      <c r="K15" s="108">
        <f>'[3]Air Wisconsin'!$FQ$4</f>
        <v>0</v>
      </c>
      <c r="L15" s="106">
        <f>[3]MESA!$FQ$4</f>
        <v>0</v>
      </c>
      <c r="M15" s="110">
        <f t="shared" ref="M15:M21" si="5">SUM(B15:L15)</f>
        <v>556</v>
      </c>
    </row>
    <row r="16" spans="1:13" x14ac:dyDescent="0.2">
      <c r="A16" s="62" t="s">
        <v>54</v>
      </c>
      <c r="B16" s="111">
        <f>'[3]Shuttle America'!$FQ$5</f>
        <v>0</v>
      </c>
      <c r="C16" s="111">
        <f>'[3]Shuttle America_Delta'!$FQ$5</f>
        <v>1</v>
      </c>
      <c r="D16" s="461">
        <f>[3]Horizon_AS!$FQ$5</f>
        <v>58</v>
      </c>
      <c r="E16" s="461">
        <f>[3]PSA!$FQ$5</f>
        <v>2</v>
      </c>
      <c r="F16" s="14">
        <f>[3]Compass!$FQ$5+[3]Compass!$FQ$16</f>
        <v>0</v>
      </c>
      <c r="G16" s="112">
        <f>'[3]Atlantic Southeast'!$FQ$5+'[3]Atlantic Southeast'!$FQ$16</f>
        <v>142</v>
      </c>
      <c r="H16" s="112">
        <f>'[3]Continental Express'!$FQ$5</f>
        <v>2</v>
      </c>
      <c r="I16" s="111">
        <f>'[3]Go Jet_UA'!$FQ$5</f>
        <v>6</v>
      </c>
      <c r="J16" s="14">
        <f>'[3]Go Jet'!$FQ$5+'[3]Go Jet'!$FQ$16</f>
        <v>344</v>
      </c>
      <c r="K16" s="113">
        <f>'[3]Air Wisconsin'!$FQ$5</f>
        <v>0</v>
      </c>
      <c r="L16" s="111">
        <f>[3]MESA!$FQ$5</f>
        <v>0</v>
      </c>
      <c r="M16" s="115">
        <f t="shared" si="5"/>
        <v>555</v>
      </c>
    </row>
    <row r="17" spans="1:13" x14ac:dyDescent="0.2">
      <c r="A17" s="71" t="s">
        <v>55</v>
      </c>
      <c r="B17" s="116">
        <f>SUM(B15:B16)</f>
        <v>0</v>
      </c>
      <c r="C17" s="116">
        <f>SUM(C15:C16)</f>
        <v>2</v>
      </c>
      <c r="D17" s="116">
        <f t="shared" ref="D17:E17" si="6">SUM(D15:D16)</f>
        <v>116</v>
      </c>
      <c r="E17" s="116">
        <f t="shared" si="6"/>
        <v>4</v>
      </c>
      <c r="F17" s="286">
        <f>SUM(F15:F16)</f>
        <v>0</v>
      </c>
      <c r="G17" s="116">
        <f t="shared" ref="G17:L17" si="7">SUM(G15:G16)</f>
        <v>285</v>
      </c>
      <c r="H17" s="116">
        <f t="shared" si="7"/>
        <v>4</v>
      </c>
      <c r="I17" s="116">
        <f t="shared" si="7"/>
        <v>12</v>
      </c>
      <c r="J17" s="286">
        <f>SUM(J15:J16)</f>
        <v>688</v>
      </c>
      <c r="K17" s="116">
        <f t="shared" si="7"/>
        <v>0</v>
      </c>
      <c r="L17" s="116">
        <f t="shared" si="7"/>
        <v>0</v>
      </c>
      <c r="M17" s="117">
        <f t="shared" si="5"/>
        <v>1111</v>
      </c>
    </row>
    <row r="18" spans="1:13" x14ac:dyDescent="0.2">
      <c r="A18" s="62" t="s">
        <v>56</v>
      </c>
      <c r="B18" s="118">
        <f>'[3]Shuttle America'!$FQ$8</f>
        <v>0</v>
      </c>
      <c r="C18" s="118">
        <f>'[3]Shuttle America_Delta'!$FQ$8</f>
        <v>0</v>
      </c>
      <c r="D18" s="118">
        <f>[3]Horizon_AS!$FQ$8</f>
        <v>0</v>
      </c>
      <c r="E18" s="118">
        <f>[3]PSA!$FQ$8</f>
        <v>0</v>
      </c>
      <c r="F18" s="21">
        <f>[3]Compass!$FQ$8</f>
        <v>0</v>
      </c>
      <c r="G18" s="109">
        <f>'[3]Atlantic Southeast'!$FQ$8</f>
        <v>0</v>
      </c>
      <c r="H18" s="109">
        <f>'[3]Continental Express'!$FQ$8</f>
        <v>0</v>
      </c>
      <c r="I18" s="118">
        <f>'[3]Go Jet_UA'!$FQ$8</f>
        <v>0</v>
      </c>
      <c r="J18" s="21">
        <f>'[3]Go Jet'!$FQ$8</f>
        <v>0</v>
      </c>
      <c r="K18" s="119">
        <f>'[3]Air Wisconsin'!$FQ$8</f>
        <v>0</v>
      </c>
      <c r="L18" s="118">
        <f>[3]MESA!$FQ$8</f>
        <v>0</v>
      </c>
      <c r="M18" s="110">
        <f t="shared" si="5"/>
        <v>0</v>
      </c>
    </row>
    <row r="19" spans="1:13" x14ac:dyDescent="0.2">
      <c r="A19" s="62" t="s">
        <v>57</v>
      </c>
      <c r="B19" s="120">
        <f>'[3]Shuttle America'!$FQ$9</f>
        <v>0</v>
      </c>
      <c r="C19" s="120">
        <f>'[3]Shuttle America_Delta'!$FQ$9</f>
        <v>0</v>
      </c>
      <c r="D19" s="120">
        <f>[3]Horizon_AS!$FQ$9</f>
        <v>0</v>
      </c>
      <c r="E19" s="120">
        <f>[3]PSA!$FQ$9</f>
        <v>0</v>
      </c>
      <c r="F19" s="14">
        <f>[3]Compass!$FQ$9</f>
        <v>0</v>
      </c>
      <c r="G19" s="114">
        <f>'[3]Atlantic Southeast'!$FQ$9</f>
        <v>0</v>
      </c>
      <c r="H19" s="114">
        <f>'[3]Continental Express'!$FQ$9</f>
        <v>0</v>
      </c>
      <c r="I19" s="120">
        <f>'[3]Go Jet_UA'!$FQ$9</f>
        <v>0</v>
      </c>
      <c r="J19" s="14">
        <f>'[3]Go Jet'!$FQ$9</f>
        <v>0</v>
      </c>
      <c r="K19" s="121">
        <f>'[3]Air Wisconsin'!$FQ$9</f>
        <v>0</v>
      </c>
      <c r="L19" s="120">
        <f>[3]MESA!$FQ$9</f>
        <v>0</v>
      </c>
      <c r="M19" s="115">
        <f t="shared" si="5"/>
        <v>0</v>
      </c>
    </row>
    <row r="20" spans="1:13" x14ac:dyDescent="0.2">
      <c r="A20" s="71" t="s">
        <v>58</v>
      </c>
      <c r="B20" s="116">
        <f>SUM(B18:B19)</f>
        <v>0</v>
      </c>
      <c r="C20" s="116">
        <f>SUM(C18:C19)</f>
        <v>0</v>
      </c>
      <c r="D20" s="116">
        <f t="shared" ref="D20:E20" si="8">SUM(D18:D19)</f>
        <v>0</v>
      </c>
      <c r="E20" s="116">
        <f t="shared" si="8"/>
        <v>0</v>
      </c>
      <c r="F20" s="286">
        <f>SUM(F18:F19)</f>
        <v>0</v>
      </c>
      <c r="G20" s="116">
        <f t="shared" ref="G20:L20" si="9">SUM(G18:G19)</f>
        <v>0</v>
      </c>
      <c r="H20" s="116">
        <f t="shared" si="9"/>
        <v>0</v>
      </c>
      <c r="I20" s="116">
        <f t="shared" si="9"/>
        <v>0</v>
      </c>
      <c r="J20" s="286">
        <f>SUM(J18:J19)</f>
        <v>0</v>
      </c>
      <c r="K20" s="116">
        <f t="shared" si="9"/>
        <v>0</v>
      </c>
      <c r="L20" s="116">
        <f t="shared" si="9"/>
        <v>0</v>
      </c>
      <c r="M20" s="117">
        <f t="shared" si="5"/>
        <v>0</v>
      </c>
    </row>
    <row r="21" spans="1:13" ht="15.75" thickBot="1" x14ac:dyDescent="0.3">
      <c r="A21" s="72" t="s">
        <v>28</v>
      </c>
      <c r="B21" s="122">
        <f>SUM(B20,B17)</f>
        <v>0</v>
      </c>
      <c r="C21" s="122">
        <f>SUM(C20,C17)</f>
        <v>2</v>
      </c>
      <c r="D21" s="122">
        <f t="shared" ref="D21:E21" si="10">SUM(D20,D17)</f>
        <v>116</v>
      </c>
      <c r="E21" s="122">
        <f t="shared" si="10"/>
        <v>4</v>
      </c>
      <c r="F21" s="122">
        <f t="shared" ref="F21:L21" si="11">SUM(F20,F17)</f>
        <v>0</v>
      </c>
      <c r="G21" s="122">
        <f t="shared" si="11"/>
        <v>285</v>
      </c>
      <c r="H21" s="122">
        <f t="shared" si="11"/>
        <v>4</v>
      </c>
      <c r="I21" s="122">
        <f t="shared" si="11"/>
        <v>12</v>
      </c>
      <c r="J21" s="122">
        <f t="shared" ref="J21" si="12">SUM(J20,J17)</f>
        <v>688</v>
      </c>
      <c r="K21" s="122">
        <f t="shared" si="11"/>
        <v>0</v>
      </c>
      <c r="L21" s="122">
        <f t="shared" si="11"/>
        <v>0</v>
      </c>
      <c r="M21" s="123">
        <f t="shared" si="5"/>
        <v>1111</v>
      </c>
    </row>
    <row r="22" spans="1:13" ht="3.75" customHeight="1" thickBot="1" x14ac:dyDescent="0.25"/>
    <row r="23" spans="1:13" ht="15.75" thickTop="1" x14ac:dyDescent="0.25">
      <c r="A23" s="65" t="s">
        <v>117</v>
      </c>
      <c r="B23" s="138"/>
      <c r="C23" s="138"/>
      <c r="D23" s="138"/>
      <c r="E23" s="138"/>
      <c r="F23" s="138"/>
      <c r="G23" s="139"/>
      <c r="H23" s="139"/>
      <c r="I23" s="138"/>
      <c r="J23" s="138"/>
      <c r="K23" s="139"/>
      <c r="L23" s="138"/>
      <c r="M23" s="140"/>
    </row>
    <row r="24" spans="1:13" x14ac:dyDescent="0.2">
      <c r="A24" s="75" t="s">
        <v>36</v>
      </c>
      <c r="B24" s="130"/>
      <c r="C24" s="130"/>
      <c r="D24" s="130"/>
      <c r="E24" s="130"/>
      <c r="G24" s="131"/>
      <c r="H24" s="131"/>
      <c r="I24" s="130"/>
      <c r="K24" s="132"/>
      <c r="L24" s="130"/>
      <c r="M24" s="110"/>
    </row>
    <row r="25" spans="1:13" x14ac:dyDescent="0.2">
      <c r="A25" s="75" t="s">
        <v>37</v>
      </c>
      <c r="B25" s="130">
        <f>'[3]Shuttle America'!$FQ$47</f>
        <v>0</v>
      </c>
      <c r="C25" s="130">
        <f>'[3]Shuttle America_Delta'!$FQ$47</f>
        <v>0</v>
      </c>
      <c r="D25" s="130">
        <f>[3]Horizon_AS!$FQ$47</f>
        <v>2046</v>
      </c>
      <c r="E25" s="130">
        <f>[3]PSA!$FQ$47</f>
        <v>0</v>
      </c>
      <c r="F25" s="130">
        <f>[3]Compass!$FQ$47</f>
        <v>0</v>
      </c>
      <c r="G25" s="131">
        <f>'[3]Atlantic Southeast'!$FQ$47</f>
        <v>0</v>
      </c>
      <c r="H25" s="131">
        <f>'[3]Continental Express'!$FQ$47</f>
        <v>0</v>
      </c>
      <c r="I25" s="130">
        <f>'[3]Go Jet_UA'!$FQ$47</f>
        <v>0</v>
      </c>
      <c r="J25" s="130">
        <f>'[3]Go Jet'!$FQ$47</f>
        <v>173</v>
      </c>
      <c r="K25" s="132">
        <f>'[3]Air Wisconsin'!$FQ$47</f>
        <v>0</v>
      </c>
      <c r="L25" s="130">
        <f>[3]MESA!$FQ$47</f>
        <v>0</v>
      </c>
      <c r="M25" s="110">
        <f>SUM(B25:L25)</f>
        <v>2219</v>
      </c>
    </row>
    <row r="26" spans="1:13" x14ac:dyDescent="0.2">
      <c r="A26" s="75" t="s">
        <v>38</v>
      </c>
      <c r="B26" s="130">
        <f>'[3]Shuttle America'!$FQ$48</f>
        <v>0</v>
      </c>
      <c r="C26" s="130">
        <f>'[3]Shuttle America_Delta'!$FQ$48</f>
        <v>0</v>
      </c>
      <c r="D26" s="130">
        <f>[3]Horizon_AS!$FQ$48</f>
        <v>0</v>
      </c>
      <c r="E26" s="130">
        <f>[3]PSA!$FQ$48</f>
        <v>0</v>
      </c>
      <c r="F26" s="130">
        <f>[3]Compass!$FQ$48</f>
        <v>0</v>
      </c>
      <c r="G26" s="131">
        <f>'[3]Atlantic Southeast'!$FQ$48</f>
        <v>0</v>
      </c>
      <c r="H26" s="131">
        <f>'[3]Continental Express'!$FQ$48</f>
        <v>0</v>
      </c>
      <c r="I26" s="130">
        <f>'[3]Go Jet_UA'!$FQ$48</f>
        <v>0</v>
      </c>
      <c r="J26" s="130">
        <f>'[3]Go Jet'!$FQ$48</f>
        <v>0</v>
      </c>
      <c r="K26" s="132">
        <f>'[3]Air Wisconsin'!$FQ$48</f>
        <v>0</v>
      </c>
      <c r="L26" s="130">
        <f>[3]MESA!$FQ$48</f>
        <v>0</v>
      </c>
      <c r="M26" s="110">
        <f>SUM(B26:L26)</f>
        <v>0</v>
      </c>
    </row>
    <row r="27" spans="1:13" ht="15" thickBot="1" x14ac:dyDescent="0.25">
      <c r="A27" s="73" t="s">
        <v>39</v>
      </c>
      <c r="B27" s="133">
        <f>SUM(B25:B26)</f>
        <v>0</v>
      </c>
      <c r="C27" s="133">
        <f>SUM(C25:C26)</f>
        <v>0</v>
      </c>
      <c r="D27" s="133">
        <f t="shared" ref="D27:E27" si="13">SUM(D25:D26)</f>
        <v>2046</v>
      </c>
      <c r="E27" s="133">
        <f t="shared" si="13"/>
        <v>0</v>
      </c>
      <c r="F27" s="133">
        <f>SUM(F25:F26)</f>
        <v>0</v>
      </c>
      <c r="G27" s="133">
        <f t="shared" ref="G27:L27" si="14">SUM(G25:G26)</f>
        <v>0</v>
      </c>
      <c r="H27" s="133">
        <f t="shared" si="14"/>
        <v>0</v>
      </c>
      <c r="I27" s="133">
        <f t="shared" si="14"/>
        <v>0</v>
      </c>
      <c r="J27" s="133">
        <f>SUM(J25:J26)</f>
        <v>173</v>
      </c>
      <c r="K27" s="133">
        <f t="shared" si="14"/>
        <v>0</v>
      </c>
      <c r="L27" s="133">
        <f t="shared" si="14"/>
        <v>0</v>
      </c>
      <c r="M27" s="134">
        <f>SUM(B27:L27)</f>
        <v>2219</v>
      </c>
    </row>
    <row r="28" spans="1:13" ht="7.5" customHeight="1" thickTop="1" x14ac:dyDescent="0.2">
      <c r="A28" s="75"/>
      <c r="B28" s="130"/>
      <c r="C28" s="130"/>
      <c r="D28" s="130"/>
      <c r="E28" s="130"/>
      <c r="F28" s="130"/>
      <c r="G28" s="131"/>
      <c r="H28" s="131"/>
      <c r="I28" s="130"/>
      <c r="J28" s="130"/>
      <c r="K28" s="132"/>
      <c r="L28" s="130"/>
      <c r="M28" s="110"/>
    </row>
    <row r="29" spans="1:13" x14ac:dyDescent="0.2">
      <c r="A29" s="75" t="s">
        <v>40</v>
      </c>
      <c r="B29" s="130"/>
      <c r="C29" s="130"/>
      <c r="D29" s="130"/>
      <c r="E29" s="130"/>
      <c r="F29" s="130"/>
      <c r="G29" s="131"/>
      <c r="H29" s="131"/>
      <c r="I29" s="130"/>
      <c r="J29" s="130"/>
      <c r="K29" s="132"/>
      <c r="L29" s="130"/>
      <c r="M29" s="110"/>
    </row>
    <row r="30" spans="1:13" x14ac:dyDescent="0.2">
      <c r="A30" s="75" t="s">
        <v>59</v>
      </c>
      <c r="B30" s="130">
        <f>'[3]Shuttle America'!$FQ$52</f>
        <v>0</v>
      </c>
      <c r="C30" s="130">
        <f>'[3]Shuttle America_Delta'!$FQ$52</f>
        <v>0</v>
      </c>
      <c r="D30" s="130">
        <f>[3]Horizon_AS!$FQ$52</f>
        <v>291</v>
      </c>
      <c r="E30" s="130">
        <f>[3]PSA!$FQ$52</f>
        <v>0</v>
      </c>
      <c r="F30" s="130">
        <f>[3]Compass!$FQ$52</f>
        <v>0</v>
      </c>
      <c r="G30" s="131">
        <f>'[3]Atlantic Southeast'!$FQ$52</f>
        <v>0</v>
      </c>
      <c r="H30" s="131">
        <f>'[3]Continental Express'!$FQ$52</f>
        <v>0</v>
      </c>
      <c r="I30" s="130">
        <f>'[3]Go Jet_UA'!$FQ$52</f>
        <v>0</v>
      </c>
      <c r="J30" s="130">
        <f>'[3]Go Jet'!$FQ$52</f>
        <v>0</v>
      </c>
      <c r="K30" s="132">
        <f>'[3]Air Wisconsin'!BH$52</f>
        <v>0</v>
      </c>
      <c r="L30" s="130">
        <f>[3]MESA!$FQ$52</f>
        <v>0</v>
      </c>
      <c r="M30" s="110">
        <f>SUM(B30:L30)</f>
        <v>291</v>
      </c>
    </row>
    <row r="31" spans="1:13" x14ac:dyDescent="0.2">
      <c r="A31" s="75" t="s">
        <v>60</v>
      </c>
      <c r="B31" s="130">
        <f>'[3]Shuttle America'!$FQ$53</f>
        <v>0</v>
      </c>
      <c r="C31" s="130">
        <f>'[3]Shuttle America_Delta'!$FQ$53</f>
        <v>0</v>
      </c>
      <c r="D31" s="130">
        <f>[3]Horizon_AS!$FQ$53</f>
        <v>434</v>
      </c>
      <c r="E31" s="130">
        <f>[3]PSA!$FQ$53</f>
        <v>0</v>
      </c>
      <c r="F31" s="130">
        <f>[3]Compass!$FQ$53</f>
        <v>0</v>
      </c>
      <c r="G31" s="131">
        <f>'[3]Atlantic Southeast'!$FQ$53</f>
        <v>0</v>
      </c>
      <c r="H31" s="131">
        <f>'[3]Continental Express'!$FQ$53</f>
        <v>0</v>
      </c>
      <c r="I31" s="130">
        <f>'[3]Go Jet_UA'!$FQ$53</f>
        <v>0</v>
      </c>
      <c r="J31" s="130">
        <f>'[3]Go Jet'!$FQ$53</f>
        <v>0</v>
      </c>
      <c r="K31" s="132">
        <f>'[3]Air Wisconsin'!$FQ$53</f>
        <v>0</v>
      </c>
      <c r="L31" s="130">
        <f>[3]MESA!$FQ$53</f>
        <v>0</v>
      </c>
      <c r="M31" s="110">
        <f>SUM(B31:L31)</f>
        <v>434</v>
      </c>
    </row>
    <row r="32" spans="1:13" ht="15" thickBot="1" x14ac:dyDescent="0.25">
      <c r="A32" s="73" t="s">
        <v>41</v>
      </c>
      <c r="B32" s="133">
        <f t="shared" ref="B32:L32" si="15">SUM(B30:B31)</f>
        <v>0</v>
      </c>
      <c r="C32" s="133">
        <f t="shared" si="15"/>
        <v>0</v>
      </c>
      <c r="D32" s="133">
        <f t="shared" ref="D32" si="16">SUM(D30:D31)</f>
        <v>725</v>
      </c>
      <c r="E32" s="133">
        <f t="shared" si="15"/>
        <v>0</v>
      </c>
      <c r="F32" s="133">
        <f t="shared" si="15"/>
        <v>0</v>
      </c>
      <c r="G32" s="133">
        <f t="shared" si="15"/>
        <v>0</v>
      </c>
      <c r="H32" s="133">
        <f t="shared" si="15"/>
        <v>0</v>
      </c>
      <c r="I32" s="133">
        <f t="shared" si="15"/>
        <v>0</v>
      </c>
      <c r="J32" s="133">
        <f t="shared" ref="J32" si="17">SUM(J30:J31)</f>
        <v>0</v>
      </c>
      <c r="K32" s="133">
        <f t="shared" si="15"/>
        <v>0</v>
      </c>
      <c r="L32" s="133">
        <f t="shared" si="15"/>
        <v>0</v>
      </c>
      <c r="M32" s="134">
        <f>SUM(B32:L32)</f>
        <v>725</v>
      </c>
    </row>
    <row r="33" spans="1:13" ht="13.5" hidden="1" thickTop="1" x14ac:dyDescent="0.2">
      <c r="A33" s="75"/>
      <c r="B33" s="130"/>
      <c r="C33" s="130"/>
      <c r="D33" s="130"/>
      <c r="E33" s="130"/>
      <c r="F33" s="130"/>
      <c r="G33" s="131"/>
      <c r="H33" s="131"/>
      <c r="I33" s="130"/>
      <c r="J33" s="130"/>
      <c r="K33" s="132"/>
      <c r="L33" s="130"/>
      <c r="M33" s="110"/>
    </row>
    <row r="34" spans="1:13" ht="13.5" hidden="1" thickTop="1" x14ac:dyDescent="0.2">
      <c r="A34" s="75" t="s">
        <v>42</v>
      </c>
      <c r="B34" s="130"/>
      <c r="C34" s="130"/>
      <c r="D34" s="130"/>
      <c r="E34" s="130"/>
      <c r="F34" s="130"/>
      <c r="G34" s="131"/>
      <c r="H34" s="131"/>
      <c r="I34" s="130"/>
      <c r="J34" s="130"/>
      <c r="K34" s="132"/>
      <c r="L34" s="130"/>
      <c r="M34" s="110"/>
    </row>
    <row r="35" spans="1:13" ht="13.5" hidden="1" thickTop="1" x14ac:dyDescent="0.2">
      <c r="A35" s="75" t="s">
        <v>37</v>
      </c>
      <c r="B35" s="130">
        <f>'[3]Shuttle America'!$FQ$57</f>
        <v>0</v>
      </c>
      <c r="C35" s="130">
        <f>'[3]Shuttle America_Delta'!$FQ$57</f>
        <v>0</v>
      </c>
      <c r="D35" s="130">
        <f>[3]Horizon_AS!$FQ$57</f>
        <v>0</v>
      </c>
      <c r="E35" s="130">
        <f>[3]PSA!$FQ$57</f>
        <v>0</v>
      </c>
      <c r="F35" s="130">
        <f>[3]Compass!$FQ$57</f>
        <v>0</v>
      </c>
      <c r="G35" s="131">
        <f>'[3]Atlantic Southeast'!$FQ$57</f>
        <v>0</v>
      </c>
      <c r="H35" s="131">
        <f>'[3]Continental Express'!$FQ$57</f>
        <v>0</v>
      </c>
      <c r="I35" s="130">
        <f>'[3]Go Jet_UA'!$AJ$57</f>
        <v>0</v>
      </c>
      <c r="J35" s="130">
        <f>'[3]Go Jet'!$FQ$57</f>
        <v>0</v>
      </c>
      <c r="K35" s="132">
        <f>'[3]Air Wisconsin'!BG$57</f>
        <v>0</v>
      </c>
      <c r="L35" s="130">
        <f>[3]MESA!$AJ$57</f>
        <v>0</v>
      </c>
      <c r="M35" s="110">
        <f>SUM(B35:L35)</f>
        <v>0</v>
      </c>
    </row>
    <row r="36" spans="1:13" ht="13.5" hidden="1" thickTop="1" x14ac:dyDescent="0.2">
      <c r="A36" s="75" t="s">
        <v>38</v>
      </c>
      <c r="B36" s="130">
        <f>'[3]Shuttle America'!BG$58</f>
        <v>0</v>
      </c>
      <c r="C36" s="130">
        <f>'[3]Shuttle America_Delta'!BH$58</f>
        <v>0</v>
      </c>
      <c r="D36" s="130">
        <f>[3]Horizon_AS!BF$58</f>
        <v>0</v>
      </c>
      <c r="E36" s="130">
        <f>[3]PSA!BG$58</f>
        <v>0</v>
      </c>
      <c r="F36" s="130">
        <f>[3]Compass!BG$58</f>
        <v>0</v>
      </c>
      <c r="G36" s="131">
        <f>'[3]Atlantic Southeast'!BG$58</f>
        <v>0</v>
      </c>
      <c r="H36" s="131">
        <f>'[3]Continental Express'!BG$58</f>
        <v>0</v>
      </c>
      <c r="I36" s="130">
        <f>'[3]Go Jet_UA'!$AJ$58</f>
        <v>0</v>
      </c>
      <c r="J36" s="130">
        <f>'[3]Go Jet'!BK$58</f>
        <v>0</v>
      </c>
      <c r="K36" s="132">
        <f>'[3]Air Wisconsin'!BG$58</f>
        <v>0</v>
      </c>
      <c r="L36" s="130">
        <f>[3]MESA!$AJ$58</f>
        <v>0</v>
      </c>
      <c r="M36" s="110">
        <f>SUM(B36:L36)</f>
        <v>0</v>
      </c>
    </row>
    <row r="37" spans="1:13" ht="13.5" hidden="1" thickTop="1" x14ac:dyDescent="0.2">
      <c r="A37" s="76" t="s">
        <v>43</v>
      </c>
      <c r="B37" s="141">
        <f>SUM(B35:B36)</f>
        <v>0</v>
      </c>
      <c r="C37" s="141">
        <f>SUM(C35:C36)</f>
        <v>0</v>
      </c>
      <c r="D37" s="141">
        <f t="shared" ref="D37:E37" si="18">SUM(D35:D36)</f>
        <v>0</v>
      </c>
      <c r="E37" s="141">
        <f t="shared" si="18"/>
        <v>0</v>
      </c>
      <c r="F37" s="141">
        <f>SUM(F35:F36)</f>
        <v>0</v>
      </c>
      <c r="G37" s="142">
        <f t="shared" ref="G37:L37" si="19">SUM(G35:G36)</f>
        <v>0</v>
      </c>
      <c r="H37" s="142">
        <f t="shared" si="19"/>
        <v>0</v>
      </c>
      <c r="I37" s="141">
        <f t="shared" si="19"/>
        <v>0</v>
      </c>
      <c r="J37" s="141">
        <f>SUM(J35:J36)</f>
        <v>0</v>
      </c>
      <c r="K37" s="141">
        <f t="shared" si="19"/>
        <v>0</v>
      </c>
      <c r="L37" s="141">
        <f t="shared" si="19"/>
        <v>0</v>
      </c>
      <c r="M37" s="143">
        <f>SUM(B37:L37)</f>
        <v>0</v>
      </c>
    </row>
    <row r="38" spans="1:13" ht="6.75" customHeight="1" thickTop="1" x14ac:dyDescent="0.2">
      <c r="A38" s="75"/>
      <c r="B38" s="130"/>
      <c r="C38" s="130"/>
      <c r="D38" s="130"/>
      <c r="E38" s="130"/>
      <c r="F38" s="130"/>
      <c r="G38" s="131"/>
      <c r="H38" s="131"/>
      <c r="I38" s="130"/>
      <c r="J38" s="130"/>
      <c r="K38" s="132"/>
      <c r="L38" s="130"/>
      <c r="M38" s="110"/>
    </row>
    <row r="39" spans="1:13" x14ac:dyDescent="0.2">
      <c r="A39" s="75" t="s">
        <v>44</v>
      </c>
      <c r="B39" s="130"/>
      <c r="C39" s="130"/>
      <c r="D39" s="130"/>
      <c r="E39" s="130"/>
      <c r="F39" s="130"/>
      <c r="G39" s="131"/>
      <c r="H39" s="131"/>
      <c r="I39" s="130"/>
      <c r="J39" s="130"/>
      <c r="K39" s="132"/>
      <c r="L39" s="130"/>
      <c r="M39" s="110"/>
    </row>
    <row r="40" spans="1:13" x14ac:dyDescent="0.2">
      <c r="A40" s="75" t="s">
        <v>45</v>
      </c>
      <c r="B40" s="130">
        <f t="shared" ref="B40:L40" si="20">SUM(B35,B30,B25)</f>
        <v>0</v>
      </c>
      <c r="C40" s="130">
        <f>SUM(C35,C30,C25)</f>
        <v>0</v>
      </c>
      <c r="D40" s="130">
        <f t="shared" ref="D40:E41" si="21">SUM(D35,D30,D25)</f>
        <v>2337</v>
      </c>
      <c r="E40" s="130">
        <f t="shared" si="21"/>
        <v>0</v>
      </c>
      <c r="F40" s="130">
        <f t="shared" si="20"/>
        <v>0</v>
      </c>
      <c r="G40" s="130">
        <f t="shared" si="20"/>
        <v>0</v>
      </c>
      <c r="H40" s="130">
        <f t="shared" si="20"/>
        <v>0</v>
      </c>
      <c r="I40" s="130">
        <f>SUM(I35,I30,I25)</f>
        <v>0</v>
      </c>
      <c r="J40" s="130">
        <f t="shared" ref="J40" si="22">SUM(J35,J30,J25)</f>
        <v>173</v>
      </c>
      <c r="K40" s="130">
        <f t="shared" si="20"/>
        <v>0</v>
      </c>
      <c r="L40" s="130">
        <f t="shared" si="20"/>
        <v>0</v>
      </c>
      <c r="M40" s="110">
        <f>SUM(B40:L40)</f>
        <v>2510</v>
      </c>
    </row>
    <row r="41" spans="1:13" x14ac:dyDescent="0.2">
      <c r="A41" s="75" t="s">
        <v>38</v>
      </c>
      <c r="B41" s="130">
        <f>SUM(B36,B31,B26)</f>
        <v>0</v>
      </c>
      <c r="C41" s="130">
        <f>SUM(C36,C31,C26)</f>
        <v>0</v>
      </c>
      <c r="D41" s="130">
        <f t="shared" si="21"/>
        <v>434</v>
      </c>
      <c r="E41" s="130">
        <f t="shared" si="21"/>
        <v>0</v>
      </c>
      <c r="F41" s="130">
        <f t="shared" ref="F41:L41" si="23">SUM(F36,F31,F26)</f>
        <v>0</v>
      </c>
      <c r="G41" s="130">
        <f t="shared" si="23"/>
        <v>0</v>
      </c>
      <c r="H41" s="130">
        <f t="shared" si="23"/>
        <v>0</v>
      </c>
      <c r="I41" s="130">
        <f>SUM(I36,I31,I26)</f>
        <v>0</v>
      </c>
      <c r="J41" s="130">
        <f t="shared" ref="J41" si="24">SUM(J36,J31,J26)</f>
        <v>0</v>
      </c>
      <c r="K41" s="130">
        <f t="shared" si="23"/>
        <v>0</v>
      </c>
      <c r="L41" s="130">
        <f t="shared" si="23"/>
        <v>0</v>
      </c>
      <c r="M41" s="110">
        <f>SUM(B41:L41)</f>
        <v>434</v>
      </c>
    </row>
    <row r="42" spans="1:13" ht="15" thickBot="1" x14ac:dyDescent="0.25">
      <c r="A42" s="74" t="s">
        <v>46</v>
      </c>
      <c r="B42" s="136">
        <f>SUM(B40:B41)</f>
        <v>0</v>
      </c>
      <c r="C42" s="136">
        <f>SUM(C40:C41)</f>
        <v>0</v>
      </c>
      <c r="D42" s="136">
        <f t="shared" ref="D42:E42" si="25">SUM(D40:D41)</f>
        <v>2771</v>
      </c>
      <c r="E42" s="136">
        <f t="shared" si="25"/>
        <v>0</v>
      </c>
      <c r="F42" s="136">
        <f t="shared" ref="F42:L42" si="26">SUM(F40:F41)</f>
        <v>0</v>
      </c>
      <c r="G42" s="136">
        <f t="shared" si="26"/>
        <v>0</v>
      </c>
      <c r="H42" s="136">
        <f t="shared" si="26"/>
        <v>0</v>
      </c>
      <c r="I42" s="136">
        <f t="shared" si="26"/>
        <v>0</v>
      </c>
      <c r="J42" s="136">
        <f t="shared" ref="J42" si="27">SUM(J40:J41)</f>
        <v>173</v>
      </c>
      <c r="K42" s="136">
        <f t="shared" si="26"/>
        <v>0</v>
      </c>
      <c r="L42" s="136">
        <f t="shared" si="26"/>
        <v>0</v>
      </c>
      <c r="M42" s="137">
        <f>SUM(B42:L42)</f>
        <v>2944</v>
      </c>
    </row>
    <row r="43" spans="1:13" ht="4.5" customHeight="1" x14ac:dyDescent="0.2"/>
    <row r="44" spans="1:13" hidden="1" x14ac:dyDescent="0.2">
      <c r="A44" s="323" t="s">
        <v>127</v>
      </c>
      <c r="F44" s="322">
        <f>[3]Compass!BG$70+[3]Compass!BG$73</f>
        <v>27782</v>
      </c>
      <c r="G44" s="308"/>
      <c r="J44" s="322">
        <f>'[3]Go Jet'!BK$70+'[3]Go Jet'!BK$73</f>
        <v>0</v>
      </c>
      <c r="M44" s="310">
        <f>SUM(F44:F44)</f>
        <v>27782</v>
      </c>
    </row>
    <row r="45" spans="1:13" hidden="1" x14ac:dyDescent="0.2">
      <c r="A45" s="323" t="s">
        <v>128</v>
      </c>
      <c r="F45" s="322">
        <f>[3]Compass!BG$71+[3]Compass!BG$74</f>
        <v>47176</v>
      </c>
      <c r="G45" s="326"/>
      <c r="J45" s="322">
        <f>'[3]Go Jet'!BK$71+'[3]Go Jet'!BK$74</f>
        <v>0</v>
      </c>
      <c r="M45" s="310">
        <f>SUM(F45:F45)</f>
        <v>47176</v>
      </c>
    </row>
    <row r="46" spans="1:13" x14ac:dyDescent="0.2">
      <c r="A46" s="376" t="s">
        <v>124</v>
      </c>
      <c r="C46" s="322">
        <f>'[3]Shuttle America_Delta'!$FQ$70+'[3]Shuttle America_Delta'!$FQ$73</f>
        <v>40</v>
      </c>
      <c r="D46" s="5"/>
      <c r="F46" s="322">
        <f>[3]Compass!$FQ$70+[3]Compass!$FQ$73</f>
        <v>0</v>
      </c>
      <c r="G46" s="322">
        <f>'[3]Atlantic Southeast'!$FQ$70+'[3]Atlantic Southeast'!$FQ$73</f>
        <v>2655</v>
      </c>
      <c r="J46" s="322">
        <f>'[3]Go Jet'!$FQ$70+'[3]Go Jet'!$FQ$73</f>
        <v>10073</v>
      </c>
      <c r="M46" s="389">
        <f>SUM(B46:L46)</f>
        <v>12768</v>
      </c>
    </row>
    <row r="47" spans="1:13" x14ac:dyDescent="0.2">
      <c r="A47" s="390" t="s">
        <v>125</v>
      </c>
      <c r="C47" s="322">
        <f>'[3]Shuttle America_Delta'!$FQ$71+'[3]Shuttle America_Delta'!$FQ$74</f>
        <v>13</v>
      </c>
      <c r="D47" s="5"/>
      <c r="F47" s="322">
        <f>[3]Compass!$FQ$71+[3]Compass!$FQ$74</f>
        <v>0</v>
      </c>
      <c r="G47" s="322">
        <f>'[3]Atlantic Southeast'!$FQ$71+'[3]Atlantic Southeast'!$FQ$74</f>
        <v>4760</v>
      </c>
      <c r="J47" s="322">
        <f>'[3]Go Jet'!$FQ$71+'[3]Go Jet'!$FQ$74</f>
        <v>9716</v>
      </c>
      <c r="M47" s="389">
        <f>SUM(B47:L47)</f>
        <v>14489</v>
      </c>
    </row>
  </sheetData>
  <phoneticPr fontId="6" type="noConversion"/>
  <printOptions horizontalCentered="1"/>
  <pageMargins left="0.75" right="0.75" top="0.92" bottom="1" header="0.5" footer="0.5"/>
  <pageSetup scale="80" orientation="landscape" r:id="rId1"/>
  <headerFooter alignWithMargins="0">
    <oddHeader>&amp;L
Schedule 5
&amp;CMinneapolis-St. Paul International Airport
&amp;"Arial,Bold"Other Regional
April 2018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topLeftCell="A10" zoomScale="115" zoomScaleNormal="115" workbookViewId="0">
      <selection activeCell="E24" sqref="E24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79">
        <v>43191</v>
      </c>
      <c r="B2" s="180" t="s">
        <v>119</v>
      </c>
      <c r="C2" s="180" t="s">
        <v>157</v>
      </c>
      <c r="D2" s="102" t="s">
        <v>78</v>
      </c>
      <c r="E2" s="102" t="s">
        <v>158</v>
      </c>
      <c r="F2" s="180" t="s">
        <v>133</v>
      </c>
      <c r="G2" s="174" t="s">
        <v>79</v>
      </c>
    </row>
    <row r="3" spans="1:17" x14ac:dyDescent="0.2">
      <c r="A3" s="278" t="s">
        <v>3</v>
      </c>
      <c r="B3" s="186"/>
      <c r="C3" s="185"/>
      <c r="D3" s="185"/>
      <c r="E3" s="185"/>
      <c r="F3" s="185"/>
      <c r="G3" s="269"/>
    </row>
    <row r="4" spans="1:17" x14ac:dyDescent="0.2">
      <c r="A4" s="62" t="s">
        <v>29</v>
      </c>
      <c r="B4" s="418"/>
      <c r="C4" s="184"/>
      <c r="D4" s="184"/>
      <c r="E4" s="184"/>
      <c r="F4" s="184"/>
      <c r="G4" s="254"/>
    </row>
    <row r="5" spans="1:17" x14ac:dyDescent="0.2">
      <c r="A5" s="62" t="s">
        <v>30</v>
      </c>
      <c r="B5" s="418">
        <f>'[3]Charter Misc'!$FQ$22</f>
        <v>150</v>
      </c>
      <c r="C5" s="184">
        <f>[3]Ryan!$FQ$22</f>
        <v>0</v>
      </c>
      <c r="D5" s="184">
        <f>'[3]Charter Misc'!$FQ$32</f>
        <v>37</v>
      </c>
      <c r="E5" s="184">
        <f>[3]Omni!$FQ$32</f>
        <v>0</v>
      </c>
      <c r="F5" s="184">
        <f>[3]Xtra!$FQ$32+[3]Xtra!$FQ$22</f>
        <v>0</v>
      </c>
      <c r="G5" s="339">
        <f>SUM(B5:F5)</f>
        <v>187</v>
      </c>
    </row>
    <row r="6" spans="1:17" x14ac:dyDescent="0.2">
      <c r="A6" s="62" t="s">
        <v>31</v>
      </c>
      <c r="B6" s="419">
        <f>'[3]Charter Misc'!$FQ$23</f>
        <v>0</v>
      </c>
      <c r="C6" s="187">
        <f>[3]Ryan!$FQ$23</f>
        <v>0</v>
      </c>
      <c r="D6" s="187">
        <f>'[3]Charter Misc'!$FQ$33</f>
        <v>0</v>
      </c>
      <c r="E6" s="187">
        <f>[3]Omni!$FQ$33</f>
        <v>0</v>
      </c>
      <c r="F6" s="187">
        <f>[3]Xtra!$FQ$33+[3]Xtra!$FQ$23</f>
        <v>0</v>
      </c>
      <c r="G6" s="338">
        <f>SUM(B6:F6)</f>
        <v>0</v>
      </c>
    </row>
    <row r="7" spans="1:17" ht="15.75" thickBot="1" x14ac:dyDescent="0.3">
      <c r="A7" s="183" t="s">
        <v>7</v>
      </c>
      <c r="B7" s="420">
        <f>SUM(B5:B6)</f>
        <v>150</v>
      </c>
      <c r="C7" s="298">
        <f>SUM(C5:C6)</f>
        <v>0</v>
      </c>
      <c r="D7" s="298">
        <f>SUM(D5:D6)</f>
        <v>37</v>
      </c>
      <c r="E7" s="298">
        <f>SUM(E5:E6)</f>
        <v>0</v>
      </c>
      <c r="F7" s="298">
        <f>SUM(F5:F6)</f>
        <v>0</v>
      </c>
      <c r="G7" s="299">
        <f>SUM(B7:F7)</f>
        <v>187</v>
      </c>
    </row>
    <row r="8" spans="1:17" ht="13.5" thickBot="1" x14ac:dyDescent="0.25"/>
    <row r="9" spans="1:17" x14ac:dyDescent="0.2">
      <c r="A9" s="181" t="s">
        <v>9</v>
      </c>
      <c r="B9" s="421"/>
      <c r="C9" s="45"/>
      <c r="D9" s="45"/>
      <c r="E9" s="45"/>
      <c r="F9" s="45"/>
      <c r="G9" s="57"/>
    </row>
    <row r="10" spans="1:17" x14ac:dyDescent="0.2">
      <c r="A10" s="182" t="s">
        <v>80</v>
      </c>
      <c r="B10" s="418">
        <f>'[3]Charter Misc'!$FQ$4</f>
        <v>1</v>
      </c>
      <c r="C10" s="184">
        <f>[3]Ryan!$FQ$4</f>
        <v>0</v>
      </c>
      <c r="D10" s="184">
        <f>'[3]Charter Misc'!$FQ$15</f>
        <v>0</v>
      </c>
      <c r="E10" s="184">
        <f>[3]Omni!$FQ$15</f>
        <v>0</v>
      </c>
      <c r="F10" s="184">
        <f>[3]Xtra!$FQ$15+[3]Xtra!$FQ$4</f>
        <v>0</v>
      </c>
      <c r="G10" s="338">
        <f>SUM(B10:F10)</f>
        <v>1</v>
      </c>
    </row>
    <row r="11" spans="1:17" x14ac:dyDescent="0.2">
      <c r="A11" s="182" t="s">
        <v>81</v>
      </c>
      <c r="B11" s="418">
        <f>'[3]Charter Misc'!$FQ$5</f>
        <v>1</v>
      </c>
      <c r="C11" s="184">
        <f>[3]Ryan!$FQ$5</f>
        <v>0</v>
      </c>
      <c r="D11" s="184">
        <f>'[3]Charter Misc'!$FQ$16</f>
        <v>0</v>
      </c>
      <c r="E11" s="184">
        <f>[3]Omni!$FQ$16</f>
        <v>0</v>
      </c>
      <c r="F11" s="184">
        <f>[3]Xtra!$FQ$16+[3]Xtra!$FQ$5</f>
        <v>0</v>
      </c>
      <c r="G11" s="338">
        <f>SUM(B11:F11)</f>
        <v>1</v>
      </c>
    </row>
    <row r="12" spans="1:17" ht="15.75" thickBot="1" x14ac:dyDescent="0.3">
      <c r="A12" s="277" t="s">
        <v>28</v>
      </c>
      <c r="B12" s="422">
        <f>SUM(B10:B11)</f>
        <v>2</v>
      </c>
      <c r="C12" s="300">
        <f>SUM(C10:C11)</f>
        <v>0</v>
      </c>
      <c r="D12" s="300">
        <f>SUM(D10:D11)</f>
        <v>0</v>
      </c>
      <c r="E12" s="300">
        <f>SUM(E10:E11)</f>
        <v>0</v>
      </c>
      <c r="F12" s="300">
        <f>SUM(F10:F11)</f>
        <v>0</v>
      </c>
      <c r="G12" s="301">
        <f>SUM(B12:F12)</f>
        <v>2</v>
      </c>
      <c r="Q12" s="130"/>
    </row>
    <row r="17" spans="1:16" x14ac:dyDescent="0.2">
      <c r="B17" s="521" t="s">
        <v>155</v>
      </c>
      <c r="C17" s="522"/>
      <c r="D17" s="522"/>
      <c r="E17" s="522"/>
      <c r="F17" s="522"/>
      <c r="G17" s="522"/>
      <c r="H17" s="522"/>
      <c r="I17" s="522"/>
      <c r="J17" s="522"/>
      <c r="K17" s="522"/>
      <c r="L17" s="522"/>
      <c r="M17" s="522"/>
      <c r="N17" s="522"/>
      <c r="O17" s="522"/>
      <c r="P17" s="523"/>
    </row>
    <row r="18" spans="1:16" ht="13.5" thickBot="1" x14ac:dyDescent="0.25">
      <c r="A18" s="317"/>
      <c r="E18" s="226"/>
      <c r="G18" s="226"/>
      <c r="H18" s="226"/>
      <c r="L18" s="233"/>
      <c r="N18" s="234"/>
    </row>
    <row r="19" spans="1:16" ht="13.5" customHeight="1" thickBot="1" x14ac:dyDescent="0.25">
      <c r="A19" s="404"/>
      <c r="B19" s="524" t="s">
        <v>121</v>
      </c>
      <c r="C19" s="525"/>
      <c r="D19" s="525"/>
      <c r="E19" s="526"/>
      <c r="G19" s="524" t="s">
        <v>122</v>
      </c>
      <c r="H19" s="527"/>
      <c r="I19" s="527"/>
      <c r="J19" s="528"/>
      <c r="L19" s="529" t="s">
        <v>123</v>
      </c>
      <c r="M19" s="530"/>
      <c r="N19" s="530"/>
      <c r="O19" s="531"/>
    </row>
    <row r="20" spans="1:16" ht="13.5" thickBot="1" x14ac:dyDescent="0.25">
      <c r="A20" s="237" t="s">
        <v>102</v>
      </c>
      <c r="B20" s="242" t="s">
        <v>103</v>
      </c>
      <c r="C20" s="8" t="s">
        <v>104</v>
      </c>
      <c r="D20" s="8" t="s">
        <v>226</v>
      </c>
      <c r="E20" s="8" t="s">
        <v>190</v>
      </c>
      <c r="F20" s="243" t="s">
        <v>99</v>
      </c>
      <c r="G20" s="8" t="s">
        <v>103</v>
      </c>
      <c r="H20" s="8" t="s">
        <v>104</v>
      </c>
      <c r="I20" s="503" t="s">
        <v>226</v>
      </c>
      <c r="J20" s="503" t="s">
        <v>190</v>
      </c>
      <c r="K20" s="243" t="s">
        <v>99</v>
      </c>
      <c r="L20" s="242" t="s">
        <v>103</v>
      </c>
      <c r="M20" s="236" t="s">
        <v>104</v>
      </c>
      <c r="N20" s="503" t="s">
        <v>226</v>
      </c>
      <c r="O20" s="503" t="s">
        <v>190</v>
      </c>
      <c r="P20" s="243" t="s">
        <v>99</v>
      </c>
    </row>
    <row r="21" spans="1:16" ht="14.1" customHeight="1" x14ac:dyDescent="0.2">
      <c r="A21" s="246" t="s">
        <v>105</v>
      </c>
      <c r="B21" s="513">
        <f>+[4]Charter!$B$21</f>
        <v>137179</v>
      </c>
      <c r="C21" s="514">
        <f>+[4]Charter!$C$21</f>
        <v>131658</v>
      </c>
      <c r="D21" s="511">
        <f t="shared" ref="D21:D32" si="0">SUM(B21:C21)</f>
        <v>268837</v>
      </c>
      <c r="E21" s="335">
        <f>[5]Charter!$D$21</f>
        <v>256747</v>
      </c>
      <c r="F21" s="337">
        <f t="shared" ref="F21:F32" si="1">(D21-E21)/E21</f>
        <v>4.7089157809049376E-2</v>
      </c>
      <c r="G21" s="513">
        <f>+[4]Charter!$G$21</f>
        <v>1202691</v>
      </c>
      <c r="H21" s="514">
        <f>+[4]Charter!$H$21</f>
        <v>1213282</v>
      </c>
      <c r="I21" s="511">
        <f>SUM(G21:H21)</f>
        <v>2415973</v>
      </c>
      <c r="J21" s="335">
        <f>[5]Charter!$I$21</f>
        <v>2435679</v>
      </c>
      <c r="K21" s="247">
        <f t="shared" ref="K21:K32" si="2">(I21-J21)/J21</f>
        <v>-8.0905570890088558E-3</v>
      </c>
      <c r="L21" s="513">
        <f>+[4]Charter!$L$21</f>
        <v>1339870</v>
      </c>
      <c r="M21" s="514">
        <f>+[4]Charter!$M$21</f>
        <v>1344940</v>
      </c>
      <c r="N21" s="511">
        <f t="shared" ref="N21:N32" si="3">SUM(L21:M21)</f>
        <v>2684810</v>
      </c>
      <c r="O21" s="335">
        <f>[5]Charter!$N$21</f>
        <v>2692426</v>
      </c>
      <c r="P21" s="247">
        <f>(N21-O21)/O21</f>
        <v>-2.8286756999078154E-3</v>
      </c>
    </row>
    <row r="22" spans="1:16" ht="14.1" customHeight="1" x14ac:dyDescent="0.2">
      <c r="A22" s="248" t="s">
        <v>106</v>
      </c>
      <c r="B22" s="331">
        <f>+[6]Charter!$B22</f>
        <v>141643</v>
      </c>
      <c r="C22" s="333">
        <f>+[6]Charter!$C22</f>
        <v>143472</v>
      </c>
      <c r="D22" s="510">
        <f t="shared" ref="D22" si="4">SUM(B22:C22)</f>
        <v>285115</v>
      </c>
      <c r="E22" s="336">
        <f>[7]Charter!D22</f>
        <v>272463</v>
      </c>
      <c r="F22" s="334">
        <f t="shared" si="1"/>
        <v>4.6435662823943069E-2</v>
      </c>
      <c r="G22" s="331">
        <f>+[6]Charter!$G22</f>
        <v>1192631</v>
      </c>
      <c r="H22" s="333">
        <f>+[6]Charter!$H22</f>
        <v>1233627</v>
      </c>
      <c r="I22" s="510">
        <f>SUM(G22:H22)</f>
        <v>2426258</v>
      </c>
      <c r="J22" s="336">
        <f>[7]Charter!I22</f>
        <v>2337959</v>
      </c>
      <c r="K22" s="250">
        <f t="shared" si="2"/>
        <v>3.7767557087185877E-2</v>
      </c>
      <c r="L22" s="331">
        <f>+[6]Charter!$L22</f>
        <v>1334274</v>
      </c>
      <c r="M22" s="333">
        <f>+[6]Charter!$M22</f>
        <v>1377099</v>
      </c>
      <c r="N22" s="510">
        <f t="shared" ref="N22" si="5">SUM(L22:M22)</f>
        <v>2711373</v>
      </c>
      <c r="O22" s="336">
        <f>[7]Charter!N22</f>
        <v>2610422</v>
      </c>
      <c r="P22" s="249">
        <f t="shared" ref="P22:P32" si="6">(N22-O22)/O22</f>
        <v>3.8672291300027355E-2</v>
      </c>
    </row>
    <row r="23" spans="1:16" ht="14.1" customHeight="1" x14ac:dyDescent="0.2">
      <c r="A23" s="248" t="s">
        <v>107</v>
      </c>
      <c r="B23" s="331">
        <f>+[2]Charter!$B23</f>
        <v>183302</v>
      </c>
      <c r="C23" s="333">
        <f>+[2]Charter!$C23</f>
        <v>184526</v>
      </c>
      <c r="D23" s="332">
        <f t="shared" si="0"/>
        <v>367828</v>
      </c>
      <c r="E23" s="336">
        <f>[8]Charter!D23</f>
        <v>348451</v>
      </c>
      <c r="F23" s="249">
        <f t="shared" si="1"/>
        <v>5.5608966540489191E-2</v>
      </c>
      <c r="G23" s="331">
        <f>+[2]Charter!$G23</f>
        <v>1511202</v>
      </c>
      <c r="H23" s="333">
        <f>+[2]Charter!$H23</f>
        <v>1531837</v>
      </c>
      <c r="I23" s="332">
        <f>SUM(G23:H23)</f>
        <v>3043039</v>
      </c>
      <c r="J23" s="336">
        <f>[8]Charter!I23</f>
        <v>3083230</v>
      </c>
      <c r="K23" s="250">
        <f t="shared" si="2"/>
        <v>-1.3035355779490988E-2</v>
      </c>
      <c r="L23" s="331">
        <f>+[2]Charter!$L23</f>
        <v>1694504</v>
      </c>
      <c r="M23" s="333">
        <f>+[2]Charter!$M23</f>
        <v>1716363</v>
      </c>
      <c r="N23" s="332">
        <f t="shared" si="3"/>
        <v>3410867</v>
      </c>
      <c r="O23" s="336">
        <f>[8]Charter!N23</f>
        <v>3431681</v>
      </c>
      <c r="P23" s="249">
        <f t="shared" si="6"/>
        <v>-6.0652490718105792E-3</v>
      </c>
    </row>
    <row r="24" spans="1:16" ht="14.1" customHeight="1" x14ac:dyDescent="0.2">
      <c r="A24" s="248" t="s">
        <v>108</v>
      </c>
      <c r="B24" s="509">
        <f>'Intl Detail'!$P$4+'Intl Detail'!$P$9</f>
        <v>130702</v>
      </c>
      <c r="C24" s="510">
        <f>'Intl Detail'!$P$5+'Intl Detail'!$P$10</f>
        <v>111716</v>
      </c>
      <c r="D24" s="332">
        <f t="shared" ref="D24" si="7">SUM(B24:C24)</f>
        <v>242418</v>
      </c>
      <c r="E24" s="336">
        <f>[1]Charter!D24</f>
        <v>251391</v>
      </c>
      <c r="F24" s="249">
        <f t="shared" si="1"/>
        <v>-3.5693401911762949E-2</v>
      </c>
      <c r="G24" s="509">
        <f>L24-B24</f>
        <v>1413434</v>
      </c>
      <c r="H24" s="510">
        <f>M24-C24</f>
        <v>1337410</v>
      </c>
      <c r="I24" s="332">
        <f>SUM(G24:H24)</f>
        <v>2750844</v>
      </c>
      <c r="J24" s="336">
        <f>[1]Charter!I24</f>
        <v>2843673</v>
      </c>
      <c r="K24" s="250">
        <f t="shared" si="2"/>
        <v>-3.2644048735561371E-2</v>
      </c>
      <c r="L24" s="509">
        <f>'Monthly Summary'!$B$11</f>
        <v>1544136</v>
      </c>
      <c r="M24" s="510">
        <f>'Monthly Summary'!$C$11</f>
        <v>1449126</v>
      </c>
      <c r="N24" s="332">
        <f t="shared" ref="N24" si="8">SUM(L24:M24)</f>
        <v>2993262</v>
      </c>
      <c r="O24" s="336">
        <f>[1]Charter!N24</f>
        <v>3095064</v>
      </c>
      <c r="P24" s="249">
        <f t="shared" si="6"/>
        <v>-3.2891726956211564E-2</v>
      </c>
    </row>
    <row r="25" spans="1:16" ht="14.1" customHeight="1" x14ac:dyDescent="0.2">
      <c r="A25" s="235" t="s">
        <v>76</v>
      </c>
      <c r="B25" s="331"/>
      <c r="C25" s="333"/>
      <c r="D25" s="332">
        <f t="shared" si="0"/>
        <v>0</v>
      </c>
      <c r="E25" s="336"/>
      <c r="F25" s="238" t="e">
        <f t="shared" si="1"/>
        <v>#DIV/0!</v>
      </c>
      <c r="G25" s="331"/>
      <c r="H25" s="333"/>
      <c r="I25" s="332">
        <f t="shared" ref="I25:I32" si="9">SUM(G25:H25)</f>
        <v>0</v>
      </c>
      <c r="J25" s="336"/>
      <c r="K25" s="244" t="e">
        <f t="shared" si="2"/>
        <v>#DIV/0!</v>
      </c>
      <c r="L25" s="331"/>
      <c r="M25" s="333"/>
      <c r="N25" s="332">
        <f t="shared" si="3"/>
        <v>0</v>
      </c>
      <c r="O25" s="336"/>
      <c r="P25" s="238" t="e">
        <f t="shared" si="6"/>
        <v>#DIV/0!</v>
      </c>
    </row>
    <row r="26" spans="1:16" ht="14.1" customHeight="1" x14ac:dyDescent="0.2">
      <c r="A26" s="248" t="s">
        <v>109</v>
      </c>
      <c r="B26" s="331"/>
      <c r="C26" s="333"/>
      <c r="D26" s="332">
        <f t="shared" si="0"/>
        <v>0</v>
      </c>
      <c r="E26" s="336"/>
      <c r="F26" s="249" t="e">
        <f t="shared" si="1"/>
        <v>#DIV/0!</v>
      </c>
      <c r="G26" s="331"/>
      <c r="H26" s="333"/>
      <c r="I26" s="332">
        <f t="shared" si="9"/>
        <v>0</v>
      </c>
      <c r="J26" s="336"/>
      <c r="K26" s="250" t="e">
        <f t="shared" si="2"/>
        <v>#DIV/0!</v>
      </c>
      <c r="L26" s="331"/>
      <c r="M26" s="333"/>
      <c r="N26" s="332">
        <f t="shared" si="3"/>
        <v>0</v>
      </c>
      <c r="O26" s="336"/>
      <c r="P26" s="249" t="e">
        <f t="shared" si="6"/>
        <v>#DIV/0!</v>
      </c>
    </row>
    <row r="27" spans="1:16" ht="14.1" customHeight="1" x14ac:dyDescent="0.2">
      <c r="A27" s="235" t="s">
        <v>110</v>
      </c>
      <c r="B27" s="331"/>
      <c r="C27" s="333"/>
      <c r="D27" s="332">
        <f t="shared" si="0"/>
        <v>0</v>
      </c>
      <c r="E27" s="336"/>
      <c r="F27" s="238" t="e">
        <f t="shared" si="1"/>
        <v>#DIV/0!</v>
      </c>
      <c r="G27" s="331"/>
      <c r="H27" s="333"/>
      <c r="I27" s="332">
        <f t="shared" si="9"/>
        <v>0</v>
      </c>
      <c r="J27" s="336"/>
      <c r="K27" s="244" t="e">
        <f t="shared" si="2"/>
        <v>#DIV/0!</v>
      </c>
      <c r="L27" s="331"/>
      <c r="M27" s="333"/>
      <c r="N27" s="332">
        <f t="shared" si="3"/>
        <v>0</v>
      </c>
      <c r="O27" s="336"/>
      <c r="P27" s="238" t="e">
        <f t="shared" si="6"/>
        <v>#DIV/0!</v>
      </c>
    </row>
    <row r="28" spans="1:16" ht="14.1" customHeight="1" x14ac:dyDescent="0.2">
      <c r="A28" s="248" t="s">
        <v>111</v>
      </c>
      <c r="B28" s="331"/>
      <c r="C28" s="333"/>
      <c r="D28" s="332">
        <f t="shared" si="0"/>
        <v>0</v>
      </c>
      <c r="E28" s="336"/>
      <c r="F28" s="249" t="e">
        <f t="shared" si="1"/>
        <v>#DIV/0!</v>
      </c>
      <c r="G28" s="331"/>
      <c r="H28" s="333"/>
      <c r="I28" s="332">
        <f t="shared" si="9"/>
        <v>0</v>
      </c>
      <c r="J28" s="336"/>
      <c r="K28" s="250" t="e">
        <f t="shared" si="2"/>
        <v>#DIV/0!</v>
      </c>
      <c r="L28" s="331"/>
      <c r="M28" s="333"/>
      <c r="N28" s="332">
        <f t="shared" si="3"/>
        <v>0</v>
      </c>
      <c r="O28" s="336"/>
      <c r="P28" s="249" t="e">
        <f t="shared" si="6"/>
        <v>#DIV/0!</v>
      </c>
    </row>
    <row r="29" spans="1:16" ht="14.1" customHeight="1" x14ac:dyDescent="0.2">
      <c r="A29" s="235" t="s">
        <v>112</v>
      </c>
      <c r="B29" s="331"/>
      <c r="C29" s="333"/>
      <c r="D29" s="332">
        <f t="shared" si="0"/>
        <v>0</v>
      </c>
      <c r="E29" s="336"/>
      <c r="F29" s="238" t="e">
        <f t="shared" si="1"/>
        <v>#DIV/0!</v>
      </c>
      <c r="G29" s="331"/>
      <c r="H29" s="333"/>
      <c r="I29" s="332">
        <f t="shared" si="9"/>
        <v>0</v>
      </c>
      <c r="J29" s="336"/>
      <c r="K29" s="244" t="e">
        <f t="shared" si="2"/>
        <v>#DIV/0!</v>
      </c>
      <c r="L29" s="331"/>
      <c r="M29" s="333"/>
      <c r="N29" s="332">
        <f t="shared" si="3"/>
        <v>0</v>
      </c>
      <c r="O29" s="336"/>
      <c r="P29" s="238" t="e">
        <f t="shared" si="6"/>
        <v>#DIV/0!</v>
      </c>
    </row>
    <row r="30" spans="1:16" ht="14.1" customHeight="1" x14ac:dyDescent="0.2">
      <c r="A30" s="248" t="s">
        <v>113</v>
      </c>
      <c r="B30" s="331"/>
      <c r="C30" s="333"/>
      <c r="D30" s="332">
        <f>SUM(B30:C30)</f>
        <v>0</v>
      </c>
      <c r="E30" s="336"/>
      <c r="F30" s="249" t="e">
        <f t="shared" si="1"/>
        <v>#DIV/0!</v>
      </c>
      <c r="G30" s="331"/>
      <c r="H30" s="333"/>
      <c r="I30" s="332">
        <f>SUM(G30:H30)</f>
        <v>0</v>
      </c>
      <c r="J30" s="336"/>
      <c r="K30" s="250" t="e">
        <f t="shared" si="2"/>
        <v>#DIV/0!</v>
      </c>
      <c r="L30" s="331"/>
      <c r="M30" s="333"/>
      <c r="N30" s="332">
        <f>SUM(L30:M30)</f>
        <v>0</v>
      </c>
      <c r="O30" s="336"/>
      <c r="P30" s="249" t="e">
        <f t="shared" si="6"/>
        <v>#DIV/0!</v>
      </c>
    </row>
    <row r="31" spans="1:16" ht="14.1" customHeight="1" x14ac:dyDescent="0.2">
      <c r="A31" s="235" t="s">
        <v>114</v>
      </c>
      <c r="B31" s="331"/>
      <c r="C31" s="333"/>
      <c r="D31" s="332">
        <f>SUM(B31:C31)</f>
        <v>0</v>
      </c>
      <c r="E31" s="336"/>
      <c r="F31" s="238" t="e">
        <f t="shared" si="1"/>
        <v>#DIV/0!</v>
      </c>
      <c r="G31" s="331"/>
      <c r="H31" s="333"/>
      <c r="I31" s="332">
        <f t="shared" si="9"/>
        <v>0</v>
      </c>
      <c r="J31" s="336"/>
      <c r="K31" s="244" t="e">
        <f t="shared" si="2"/>
        <v>#DIV/0!</v>
      </c>
      <c r="L31" s="331"/>
      <c r="M31" s="333"/>
      <c r="N31" s="332">
        <f>SUM(L31:M31)</f>
        <v>0</v>
      </c>
      <c r="O31" s="336"/>
      <c r="P31" s="238" t="e">
        <f t="shared" si="6"/>
        <v>#DIV/0!</v>
      </c>
    </row>
    <row r="32" spans="1:16" ht="14.1" customHeight="1" x14ac:dyDescent="0.2">
      <c r="A32" s="251" t="s">
        <v>115</v>
      </c>
      <c r="B32" s="331"/>
      <c r="C32" s="333"/>
      <c r="D32" s="161">
        <f t="shared" si="0"/>
        <v>0</v>
      </c>
      <c r="E32" s="336"/>
      <c r="F32" s="252" t="e">
        <f t="shared" si="1"/>
        <v>#DIV/0!</v>
      </c>
      <c r="G32" s="253"/>
      <c r="H32" s="161"/>
      <c r="I32" s="161">
        <f t="shared" si="9"/>
        <v>0</v>
      </c>
      <c r="J32" s="336"/>
      <c r="K32" s="252" t="e">
        <f t="shared" si="2"/>
        <v>#DIV/0!</v>
      </c>
      <c r="L32" s="331"/>
      <c r="M32" s="333"/>
      <c r="N32" s="161">
        <f t="shared" si="3"/>
        <v>0</v>
      </c>
      <c r="O32" s="336"/>
      <c r="P32" s="252" t="e">
        <f t="shared" si="6"/>
        <v>#DIV/0!</v>
      </c>
    </row>
    <row r="33" spans="1:16" ht="13.5" thickBot="1" x14ac:dyDescent="0.25">
      <c r="A33" s="245" t="s">
        <v>77</v>
      </c>
      <c r="B33" s="255">
        <f>SUM(B21:B32)</f>
        <v>592826</v>
      </c>
      <c r="C33" s="256">
        <f>SUM(C21:C32)</f>
        <v>571372</v>
      </c>
      <c r="D33" s="256">
        <f>SUM(D21:D32)</f>
        <v>1164198</v>
      </c>
      <c r="E33" s="257">
        <f>SUM(E21:E32)</f>
        <v>1129052</v>
      </c>
      <c r="F33" s="240">
        <f>(D33-E33)/E33</f>
        <v>3.1128769976936404E-2</v>
      </c>
      <c r="G33" s="258">
        <f>SUM(G21:G32)</f>
        <v>5319958</v>
      </c>
      <c r="H33" s="256">
        <f>SUM(H21:H32)</f>
        <v>5316156</v>
      </c>
      <c r="I33" s="256">
        <f>SUM(I21:I32)</f>
        <v>10636114</v>
      </c>
      <c r="J33" s="259">
        <f>SUM(J21:J32)</f>
        <v>10700541</v>
      </c>
      <c r="K33" s="241">
        <f>(I33-J33)/J33</f>
        <v>-6.0209105315329383E-3</v>
      </c>
      <c r="L33" s="258">
        <f>SUM(L21:L32)</f>
        <v>5912784</v>
      </c>
      <c r="M33" s="256">
        <f>SUM(M21:M32)</f>
        <v>5887528</v>
      </c>
      <c r="N33" s="256">
        <f>SUM(N21:N32)</f>
        <v>11800312</v>
      </c>
      <c r="O33" s="257">
        <f>SUM(O21:O32)</f>
        <v>11829593</v>
      </c>
      <c r="P33" s="239">
        <f>(N33-O33)/O33</f>
        <v>-2.4752330870554885E-3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April 2018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I16" sqref="I16:I32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90" customFormat="1" ht="15.75" thickBot="1" x14ac:dyDescent="0.3">
      <c r="B1" s="535"/>
      <c r="C1" s="535"/>
      <c r="D1" s="535"/>
      <c r="E1" s="451"/>
      <c r="F1" s="536" t="s">
        <v>94</v>
      </c>
      <c r="G1" s="537"/>
      <c r="H1" s="537"/>
      <c r="I1" s="537"/>
      <c r="J1" s="537"/>
      <c r="K1" s="537"/>
      <c r="L1" s="538"/>
    </row>
    <row r="2" spans="1:20" s="191" customFormat="1" ht="30.75" customHeight="1" thickBot="1" x14ac:dyDescent="0.25">
      <c r="A2" s="379">
        <v>43191</v>
      </c>
      <c r="B2" s="440" t="s">
        <v>186</v>
      </c>
      <c r="C2" s="8" t="s">
        <v>82</v>
      </c>
      <c r="D2" s="8" t="s">
        <v>83</v>
      </c>
      <c r="E2" s="199"/>
      <c r="F2" s="180" t="s">
        <v>84</v>
      </c>
      <c r="G2" s="180" t="s">
        <v>187</v>
      </c>
      <c r="H2" s="180" t="s">
        <v>167</v>
      </c>
      <c r="I2" s="102" t="s">
        <v>85</v>
      </c>
      <c r="J2" s="8" t="s">
        <v>86</v>
      </c>
      <c r="K2" s="180" t="s">
        <v>87</v>
      </c>
      <c r="L2" s="180" t="s">
        <v>130</v>
      </c>
      <c r="M2" s="180" t="s">
        <v>21</v>
      </c>
    </row>
    <row r="3" spans="1:20" ht="15" x14ac:dyDescent="0.25">
      <c r="A3" s="200" t="s">
        <v>9</v>
      </c>
      <c r="B3" s="201"/>
      <c r="C3" s="201"/>
      <c r="D3" s="201"/>
      <c r="E3" s="202"/>
      <c r="F3" s="45"/>
      <c r="G3" s="45"/>
      <c r="H3" s="45"/>
      <c r="I3" s="45"/>
      <c r="J3" s="56"/>
      <c r="K3" s="45"/>
      <c r="L3" s="45"/>
      <c r="M3" s="203"/>
    </row>
    <row r="4" spans="1:20" x14ac:dyDescent="0.2">
      <c r="A4" s="53" t="s">
        <v>53</v>
      </c>
      <c r="B4" s="161">
        <f>[3]DHL!$FQ$4</f>
        <v>20</v>
      </c>
      <c r="C4" s="161">
        <f>[3]FedEx!$FQ$4+[3]FedEx!$FQ$15</f>
        <v>101</v>
      </c>
      <c r="D4" s="161">
        <f>[3]UPS!$FQ$4+[3]UPS!$FQ$15</f>
        <v>110</v>
      </c>
      <c r="E4" s="192"/>
      <c r="F4" s="118">
        <f>[3]ATI_BAX!$FQ$4</f>
        <v>0</v>
      </c>
      <c r="G4" s="161">
        <f>[3]IFL!$FQ$4+[3]IFL!$FQ$15</f>
        <v>20</v>
      </c>
      <c r="H4" s="118">
        <f>'[3]Suburban Air Freight'!$FQ$15</f>
        <v>0</v>
      </c>
      <c r="I4" s="118">
        <f>[3]Bemidji!$FQ$4</f>
        <v>260</v>
      </c>
      <c r="J4" s="118">
        <f>'[3]CSA Air'!$FQ$4</f>
        <v>0</v>
      </c>
      <c r="K4" s="118">
        <f>'[3]Mountain Cargo'!$FQ$4</f>
        <v>19</v>
      </c>
      <c r="L4" s="118">
        <f>'[3]Misc Cargo'!$FQ$4</f>
        <v>45</v>
      </c>
      <c r="M4" s="204">
        <f>SUM(B4:L4)</f>
        <v>575</v>
      </c>
    </row>
    <row r="5" spans="1:20" x14ac:dyDescent="0.2">
      <c r="A5" s="53" t="s">
        <v>54</v>
      </c>
      <c r="B5" s="198">
        <f>[3]DHL!$FQ$5</f>
        <v>20</v>
      </c>
      <c r="C5" s="198">
        <f>[3]FedEx!$FQ$5</f>
        <v>101</v>
      </c>
      <c r="D5" s="198">
        <f>[3]UPS!$FQ$5+[3]UPS!$FQ$16</f>
        <v>110</v>
      </c>
      <c r="E5" s="192"/>
      <c r="F5" s="120">
        <f>[3]ATI_BAX!$FQ$5</f>
        <v>0</v>
      </c>
      <c r="G5" s="198">
        <f>[3]IFL!$FQ$5</f>
        <v>20</v>
      </c>
      <c r="H5" s="120">
        <f>'[3]Suburban Air Freight'!$FQ$16</f>
        <v>0</v>
      </c>
      <c r="I5" s="120">
        <f>[3]Bemidji!$FQ$5</f>
        <v>260</v>
      </c>
      <c r="J5" s="120">
        <f>'[3]CSA Air'!$FQ$5</f>
        <v>0</v>
      </c>
      <c r="K5" s="120">
        <f>'[3]Mountain Cargo'!$FQ$5</f>
        <v>19</v>
      </c>
      <c r="L5" s="120">
        <f>'[3]Misc Cargo'!$FQ$5</f>
        <v>45</v>
      </c>
      <c r="M5" s="208">
        <f>SUM(B5:L5)</f>
        <v>575</v>
      </c>
    </row>
    <row r="6" spans="1:20" s="189" customFormat="1" x14ac:dyDescent="0.2">
      <c r="A6" s="205" t="s">
        <v>55</v>
      </c>
      <c r="B6" s="206">
        <f>SUM(B4:B5)</f>
        <v>40</v>
      </c>
      <c r="C6" s="206">
        <f>SUM(C4:C5)</f>
        <v>202</v>
      </c>
      <c r="D6" s="206">
        <f>SUM(D4:D5)</f>
        <v>220</v>
      </c>
      <c r="E6" s="193"/>
      <c r="F6" s="188">
        <f t="shared" ref="F6:L6" si="0">SUM(F4:F5)</f>
        <v>0</v>
      </c>
      <c r="G6" s="206">
        <f>SUM(G4:G5)</f>
        <v>40</v>
      </c>
      <c r="H6" s="188">
        <f t="shared" si="0"/>
        <v>0</v>
      </c>
      <c r="I6" s="188">
        <f t="shared" si="0"/>
        <v>520</v>
      </c>
      <c r="J6" s="188">
        <f t="shared" si="0"/>
        <v>0</v>
      </c>
      <c r="K6" s="188">
        <f t="shared" si="0"/>
        <v>38</v>
      </c>
      <c r="L6" s="188">
        <f t="shared" si="0"/>
        <v>90</v>
      </c>
      <c r="M6" s="207">
        <f>SUM(B6:L6)</f>
        <v>1150</v>
      </c>
    </row>
    <row r="7" spans="1:20" x14ac:dyDescent="0.2">
      <c r="A7" s="53"/>
      <c r="B7" s="161"/>
      <c r="C7" s="161"/>
      <c r="D7" s="161"/>
      <c r="E7" s="192"/>
      <c r="F7" s="118"/>
      <c r="G7" s="161"/>
      <c r="H7" s="118"/>
      <c r="I7" s="118"/>
      <c r="J7" s="118"/>
      <c r="K7" s="118"/>
      <c r="L7" s="118"/>
      <c r="M7" s="204"/>
    </row>
    <row r="8" spans="1:20" x14ac:dyDescent="0.2">
      <c r="A8" s="53" t="s">
        <v>56</v>
      </c>
      <c r="B8" s="161"/>
      <c r="C8" s="161"/>
      <c r="D8" s="161"/>
      <c r="E8" s="192"/>
      <c r="F8" s="118"/>
      <c r="G8" s="161"/>
      <c r="H8" s="118"/>
      <c r="I8" s="118"/>
      <c r="J8" s="118"/>
      <c r="K8" s="118"/>
      <c r="L8" s="118">
        <f>'[3]Misc Cargo'!$FQ$8</f>
        <v>0</v>
      </c>
      <c r="M8" s="204">
        <f>SUM(B8:L8)</f>
        <v>0</v>
      </c>
    </row>
    <row r="9" spans="1:20" ht="15" x14ac:dyDescent="0.25">
      <c r="A9" s="53" t="s">
        <v>57</v>
      </c>
      <c r="B9" s="198"/>
      <c r="C9" s="198"/>
      <c r="D9" s="198"/>
      <c r="E9" s="192"/>
      <c r="F9" s="120"/>
      <c r="G9" s="198"/>
      <c r="H9" s="120"/>
      <c r="I9" s="120"/>
      <c r="J9" s="120"/>
      <c r="K9" s="120"/>
      <c r="L9" s="120">
        <f>'[3]Misc Cargo'!$FQ$9</f>
        <v>0</v>
      </c>
      <c r="M9" s="208">
        <f>SUM(B9:L9)</f>
        <v>0</v>
      </c>
      <c r="P9" s="15"/>
      <c r="Q9" s="327"/>
      <c r="R9" s="327"/>
      <c r="S9" s="327"/>
      <c r="T9" s="327"/>
    </row>
    <row r="10" spans="1:20" s="189" customFormat="1" x14ac:dyDescent="0.2">
      <c r="A10" s="205" t="s">
        <v>58</v>
      </c>
      <c r="B10" s="206">
        <f>SUM(B8:B9)</f>
        <v>0</v>
      </c>
      <c r="C10" s="206">
        <f>SUM(C8:C9)</f>
        <v>0</v>
      </c>
      <c r="D10" s="206">
        <f>SUM(D8:D9)</f>
        <v>0</v>
      </c>
      <c r="E10" s="193"/>
      <c r="F10" s="188">
        <f t="shared" ref="F10:L10" si="1">SUM(F8:F9)</f>
        <v>0</v>
      </c>
      <c r="G10" s="206">
        <f>SUM(G8:G9)</f>
        <v>0</v>
      </c>
      <c r="H10" s="188">
        <f t="shared" si="1"/>
        <v>0</v>
      </c>
      <c r="I10" s="188">
        <f t="shared" si="1"/>
        <v>0</v>
      </c>
      <c r="J10" s="188">
        <f t="shared" si="1"/>
        <v>0</v>
      </c>
      <c r="K10" s="188">
        <f t="shared" si="1"/>
        <v>0</v>
      </c>
      <c r="L10" s="188">
        <f t="shared" si="1"/>
        <v>0</v>
      </c>
      <c r="M10" s="207">
        <f>SUM(B10:L10)</f>
        <v>0</v>
      </c>
    </row>
    <row r="11" spans="1:20" x14ac:dyDescent="0.2">
      <c r="A11" s="53"/>
      <c r="B11" s="161"/>
      <c r="C11" s="161"/>
      <c r="D11" s="161"/>
      <c r="E11" s="192"/>
      <c r="F11" s="118"/>
      <c r="G11" s="161"/>
      <c r="H11" s="118"/>
      <c r="I11" s="118"/>
      <c r="J11" s="118"/>
      <c r="K11" s="118"/>
      <c r="L11" s="118"/>
      <c r="M11" s="170"/>
    </row>
    <row r="12" spans="1:20" ht="18" customHeight="1" thickBot="1" x14ac:dyDescent="0.25">
      <c r="A12" s="209" t="s">
        <v>28</v>
      </c>
      <c r="B12" s="210">
        <f>B6+B10</f>
        <v>40</v>
      </c>
      <c r="C12" s="210">
        <f>C6+C10</f>
        <v>202</v>
      </c>
      <c r="D12" s="210">
        <f>D6+D10</f>
        <v>220</v>
      </c>
      <c r="E12" s="211"/>
      <c r="F12" s="212">
        <f t="shared" ref="F12:L12" si="2">F6+F10</f>
        <v>0</v>
      </c>
      <c r="G12" s="210">
        <f>G6+G10</f>
        <v>40</v>
      </c>
      <c r="H12" s="212">
        <f t="shared" si="2"/>
        <v>0</v>
      </c>
      <c r="I12" s="212">
        <f t="shared" si="2"/>
        <v>520</v>
      </c>
      <c r="J12" s="212">
        <f t="shared" si="2"/>
        <v>0</v>
      </c>
      <c r="K12" s="212">
        <f t="shared" si="2"/>
        <v>38</v>
      </c>
      <c r="L12" s="212">
        <f t="shared" si="2"/>
        <v>90</v>
      </c>
      <c r="M12" s="213">
        <f>SUM(B12:L12)</f>
        <v>1150</v>
      </c>
    </row>
    <row r="13" spans="1:20" ht="18" customHeight="1" thickBot="1" x14ac:dyDescent="0.25">
      <c r="A13" s="177"/>
      <c r="B13" s="194"/>
      <c r="C13" s="194"/>
      <c r="D13" s="194"/>
      <c r="E13" s="195"/>
      <c r="F13" s="196"/>
      <c r="G13" s="194"/>
      <c r="H13" s="196"/>
      <c r="I13" s="178"/>
      <c r="J13" s="178"/>
      <c r="K13" s="178"/>
      <c r="L13" s="178"/>
      <c r="M13" s="5"/>
    </row>
    <row r="14" spans="1:20" ht="15" x14ac:dyDescent="0.25">
      <c r="A14" s="214" t="s">
        <v>95</v>
      </c>
      <c r="B14" s="215"/>
      <c r="C14" s="215"/>
      <c r="D14" s="215"/>
      <c r="E14" s="216"/>
      <c r="F14" s="175"/>
      <c r="G14" s="215"/>
      <c r="H14" s="175"/>
      <c r="I14" s="81"/>
      <c r="J14" s="81"/>
      <c r="K14" s="81"/>
      <c r="L14" s="81"/>
      <c r="M14" s="217"/>
    </row>
    <row r="15" spans="1:20" x14ac:dyDescent="0.2">
      <c r="A15" s="218" t="s">
        <v>96</v>
      </c>
      <c r="B15" s="161"/>
      <c r="C15" s="161"/>
      <c r="D15" s="161"/>
      <c r="E15" s="192"/>
      <c r="F15" s="118"/>
      <c r="G15" s="161"/>
      <c r="H15" s="118"/>
      <c r="I15" s="5"/>
      <c r="J15" s="5"/>
      <c r="K15" s="5"/>
      <c r="L15" s="5"/>
      <c r="M15" s="179"/>
    </row>
    <row r="16" spans="1:20" x14ac:dyDescent="0.2">
      <c r="A16" s="53" t="s">
        <v>37</v>
      </c>
      <c r="B16" s="161">
        <f>[3]DHL!$FQ$47</f>
        <v>757611</v>
      </c>
      <c r="C16" s="161">
        <f>[3]FedEx!$FQ$47</f>
        <v>8388065</v>
      </c>
      <c r="D16" s="161">
        <f>[3]UPS!$FQ$47</f>
        <v>5295626</v>
      </c>
      <c r="E16" s="192"/>
      <c r="F16" s="118">
        <f>[3]ATI_BAX!$FQ$47</f>
        <v>0</v>
      </c>
      <c r="G16" s="161">
        <f>[3]IFL!$FQ$47</f>
        <v>18598</v>
      </c>
      <c r="H16" s="118">
        <f>'[3]Suburban Air Freight'!$FQ$47</f>
        <v>0</v>
      </c>
      <c r="I16" s="532" t="s">
        <v>88</v>
      </c>
      <c r="J16" s="118">
        <f>'[3]CSA Air'!$FQ$47</f>
        <v>0</v>
      </c>
      <c r="K16" s="118">
        <f>'[3]Mountain Cargo'!$FQ$47</f>
        <v>45713</v>
      </c>
      <c r="L16" s="118">
        <f>'[3]Misc Cargo'!$FQ$47</f>
        <v>86113</v>
      </c>
      <c r="M16" s="204">
        <f>SUM(B16:H16)+SUM(J16:L16)</f>
        <v>14591726</v>
      </c>
    </row>
    <row r="17" spans="1:14" x14ac:dyDescent="0.2">
      <c r="A17" s="53" t="s">
        <v>38</v>
      </c>
      <c r="B17" s="161">
        <f>[3]DHL!$FQ$48</f>
        <v>0</v>
      </c>
      <c r="C17" s="161">
        <f>[3]FedEx!$FQ$48</f>
        <v>0</v>
      </c>
      <c r="D17" s="161">
        <f>[3]UPS!$FQ$48</f>
        <v>808</v>
      </c>
      <c r="E17" s="192"/>
      <c r="F17" s="118">
        <f>[3]ATI_BAX!$FQ$48</f>
        <v>0</v>
      </c>
      <c r="G17" s="161">
        <f>[3]IFL!$FQ$48</f>
        <v>0</v>
      </c>
      <c r="H17" s="118">
        <f>'[3]Suburban Air Freight'!$FQ$48</f>
        <v>0</v>
      </c>
      <c r="I17" s="533"/>
      <c r="J17" s="118">
        <f>'[3]CSA Air'!$FQ$48</f>
        <v>0</v>
      </c>
      <c r="K17" s="118">
        <f>'[3]Mountain Cargo'!$FQ$48</f>
        <v>0</v>
      </c>
      <c r="L17" s="118">
        <f>'[3]Misc Cargo'!$FQ$48</f>
        <v>0</v>
      </c>
      <c r="M17" s="204">
        <f>SUM(B17:H17)+SUM(J17:L17)</f>
        <v>808</v>
      </c>
    </row>
    <row r="18" spans="1:14" ht="18" customHeight="1" x14ac:dyDescent="0.2">
      <c r="A18" s="219" t="s">
        <v>39</v>
      </c>
      <c r="B18" s="302">
        <f>SUM(B16:B17)</f>
        <v>757611</v>
      </c>
      <c r="C18" s="302">
        <f>SUM(C16:C17)</f>
        <v>8388065</v>
      </c>
      <c r="D18" s="302">
        <f>SUM(D16:D17)</f>
        <v>5296434</v>
      </c>
      <c r="E18" s="197"/>
      <c r="F18" s="303">
        <f>SUM(F16:F17)</f>
        <v>0</v>
      </c>
      <c r="G18" s="302">
        <f>SUM(G16:G17)</f>
        <v>18598</v>
      </c>
      <c r="H18" s="303">
        <f>SUM(H16:H17)</f>
        <v>0</v>
      </c>
      <c r="I18" s="533"/>
      <c r="J18" s="303">
        <f>SUM(J16:J17)</f>
        <v>0</v>
      </c>
      <c r="K18" s="303">
        <f>SUM(K16:K17)</f>
        <v>45713</v>
      </c>
      <c r="L18" s="303">
        <f>SUM(L16:L17)</f>
        <v>86113</v>
      </c>
      <c r="M18" s="220">
        <f>SUM(B18:H18)+SUM(J18:L18)</f>
        <v>14592534</v>
      </c>
      <c r="N18" s="7"/>
    </row>
    <row r="19" spans="1:14" x14ac:dyDescent="0.2">
      <c r="A19" s="53"/>
      <c r="B19" s="161"/>
      <c r="C19" s="161"/>
      <c r="D19" s="161"/>
      <c r="E19" s="192"/>
      <c r="F19" s="118"/>
      <c r="G19" s="161"/>
      <c r="H19" s="118"/>
      <c r="I19" s="533"/>
      <c r="J19" s="118"/>
      <c r="K19" s="118"/>
      <c r="L19" s="118"/>
      <c r="M19" s="204"/>
    </row>
    <row r="20" spans="1:14" x14ac:dyDescent="0.2">
      <c r="A20" s="221" t="s">
        <v>89</v>
      </c>
      <c r="B20" s="161"/>
      <c r="C20" s="161"/>
      <c r="D20" s="161"/>
      <c r="E20" s="192"/>
      <c r="F20" s="118"/>
      <c r="G20" s="161"/>
      <c r="H20" s="118"/>
      <c r="I20" s="533"/>
      <c r="J20" s="118"/>
      <c r="K20" s="118"/>
      <c r="L20" s="118"/>
      <c r="M20" s="204"/>
    </row>
    <row r="21" spans="1:14" x14ac:dyDescent="0.2">
      <c r="A21" s="53" t="s">
        <v>59</v>
      </c>
      <c r="B21" s="161">
        <f>[3]DHL!$FQ$52</f>
        <v>515191</v>
      </c>
      <c r="C21" s="161">
        <f>[3]FedEx!$FQ$52</f>
        <v>7467565</v>
      </c>
      <c r="D21" s="161">
        <f>[3]UPS!$FQ$52</f>
        <v>4383624</v>
      </c>
      <c r="E21" s="192"/>
      <c r="F21" s="118">
        <f>[3]ATI_BAX!$FQ$52</f>
        <v>0</v>
      </c>
      <c r="G21" s="161">
        <f>[3]IFL!$FQ$52</f>
        <v>0</v>
      </c>
      <c r="H21" s="118">
        <f>'[3]Suburban Air Freight'!$FQ$52</f>
        <v>0</v>
      </c>
      <c r="I21" s="533"/>
      <c r="J21" s="118">
        <f>'[3]CSA Air'!$FQ$52</f>
        <v>0</v>
      </c>
      <c r="K21" s="118">
        <f>'[3]Mountain Cargo'!$FQ$52</f>
        <v>69051</v>
      </c>
      <c r="L21" s="118">
        <f>'[3]Misc Cargo'!$FQ$52</f>
        <v>40847</v>
      </c>
      <c r="M21" s="204">
        <f>SUM(B21:H21)+SUM(J21:L21)</f>
        <v>12476278</v>
      </c>
    </row>
    <row r="22" spans="1:14" x14ac:dyDescent="0.2">
      <c r="A22" s="53" t="s">
        <v>60</v>
      </c>
      <c r="B22" s="161">
        <f>[3]DHL!$FQ$53</f>
        <v>0</v>
      </c>
      <c r="C22" s="161">
        <f>[3]FedEx!$FQ$53</f>
        <v>0</v>
      </c>
      <c r="D22" s="161">
        <f>[3]UPS!$FQ$53</f>
        <v>536503</v>
      </c>
      <c r="E22" s="192"/>
      <c r="F22" s="118">
        <f>[3]ATI_BAX!$FQ$53</f>
        <v>0</v>
      </c>
      <c r="G22" s="161">
        <f>[3]IFL!$FQ$53</f>
        <v>0</v>
      </c>
      <c r="H22" s="118">
        <f>'[3]Suburban Air Freight'!$FQ$53</f>
        <v>0</v>
      </c>
      <c r="I22" s="533"/>
      <c r="J22" s="118">
        <f>'[3]CSA Air'!$FQ$53</f>
        <v>0</v>
      </c>
      <c r="K22" s="118">
        <f>'[3]Mountain Cargo'!$FQ$53</f>
        <v>0</v>
      </c>
      <c r="L22" s="118">
        <f>'[3]Misc Cargo'!$FQ$53</f>
        <v>0</v>
      </c>
      <c r="M22" s="204">
        <f>SUM(B22:H22)+SUM(J22:L22)</f>
        <v>536503</v>
      </c>
    </row>
    <row r="23" spans="1:14" ht="18" customHeight="1" x14ac:dyDescent="0.2">
      <c r="A23" s="219" t="s">
        <v>41</v>
      </c>
      <c r="B23" s="302">
        <f>SUM(B21:B22)</f>
        <v>515191</v>
      </c>
      <c r="C23" s="302">
        <f>SUM(C21:C22)</f>
        <v>7467565</v>
      </c>
      <c r="D23" s="302">
        <f>SUM(D21:D22)</f>
        <v>4920127</v>
      </c>
      <c r="E23" s="197"/>
      <c r="F23" s="303">
        <f>SUM(F21:F22)</f>
        <v>0</v>
      </c>
      <c r="G23" s="302">
        <f>SUM(G21:G22)</f>
        <v>0</v>
      </c>
      <c r="H23" s="303">
        <f>SUM(H21:H22)</f>
        <v>0</v>
      </c>
      <c r="I23" s="533"/>
      <c r="J23" s="303">
        <f>SUM(J21:J22)</f>
        <v>0</v>
      </c>
      <c r="K23" s="303">
        <f>SUM(K21:K22)</f>
        <v>69051</v>
      </c>
      <c r="L23" s="303">
        <f>SUM(L21:L22)</f>
        <v>40847</v>
      </c>
      <c r="M23" s="220">
        <f>SUM(B23:H23)+SUM(J23:L23)</f>
        <v>13012781</v>
      </c>
    </row>
    <row r="24" spans="1:14" x14ac:dyDescent="0.2">
      <c r="A24" s="53"/>
      <c r="B24" s="161"/>
      <c r="C24" s="161"/>
      <c r="D24" s="161"/>
      <c r="E24" s="192"/>
      <c r="F24" s="118"/>
      <c r="G24" s="161"/>
      <c r="H24" s="118"/>
      <c r="I24" s="533"/>
      <c r="J24" s="118"/>
      <c r="K24" s="118"/>
      <c r="L24" s="118"/>
      <c r="M24" s="204"/>
    </row>
    <row r="25" spans="1:14" x14ac:dyDescent="0.2">
      <c r="A25" s="221" t="s">
        <v>97</v>
      </c>
      <c r="B25" s="161"/>
      <c r="C25" s="161"/>
      <c r="D25" s="161"/>
      <c r="E25" s="192"/>
      <c r="F25" s="118"/>
      <c r="G25" s="161"/>
      <c r="H25" s="118"/>
      <c r="I25" s="533"/>
      <c r="J25" s="118"/>
      <c r="K25" s="118"/>
      <c r="L25" s="118"/>
      <c r="M25" s="204"/>
    </row>
    <row r="26" spans="1:14" x14ac:dyDescent="0.2">
      <c r="A26" s="53" t="s">
        <v>59</v>
      </c>
      <c r="B26" s="161">
        <f>[3]DHL!$FQ$57</f>
        <v>0</v>
      </c>
      <c r="C26" s="161">
        <f>[3]FedEx!$FQ$57</f>
        <v>0</v>
      </c>
      <c r="D26" s="161">
        <f>[3]UPS!$FQ$57</f>
        <v>0</v>
      </c>
      <c r="E26" s="192"/>
      <c r="F26" s="118">
        <f>[3]ATI_BAX!$FQ$57</f>
        <v>0</v>
      </c>
      <c r="G26" s="161">
        <f>[3]IFL!$FQ$57</f>
        <v>0</v>
      </c>
      <c r="H26" s="118">
        <f>'[3]Suburban Air Freight'!$FQ$57</f>
        <v>0</v>
      </c>
      <c r="I26" s="533"/>
      <c r="J26" s="118">
        <f>'[3]CSA Air'!$FQ$57</f>
        <v>0</v>
      </c>
      <c r="K26" s="118">
        <f>'[3]Mountain Cargo'!$FQ$57</f>
        <v>0</v>
      </c>
      <c r="L26" s="118">
        <f>'[3]Misc Cargo'!$FQ$57</f>
        <v>0</v>
      </c>
      <c r="M26" s="204">
        <f>SUM(B26:H26)+SUM(J26:L26)</f>
        <v>0</v>
      </c>
    </row>
    <row r="27" spans="1:14" x14ac:dyDescent="0.2">
      <c r="A27" s="53" t="s">
        <v>60</v>
      </c>
      <c r="B27" s="161">
        <f>[3]DHL!$FQ$58</f>
        <v>0</v>
      </c>
      <c r="C27" s="161">
        <f>[3]FedEx!$FQ$58</f>
        <v>0</v>
      </c>
      <c r="D27" s="161">
        <f>[3]UPS!$FQ$58</f>
        <v>0</v>
      </c>
      <c r="E27" s="192"/>
      <c r="F27" s="118">
        <f>[3]ATI_BAX!$FQ$58</f>
        <v>0</v>
      </c>
      <c r="G27" s="161">
        <f>[3]IFL!$FQ$58</f>
        <v>0</v>
      </c>
      <c r="H27" s="118">
        <f>'[3]Suburban Air Freight'!$FQ$58</f>
        <v>0</v>
      </c>
      <c r="I27" s="533"/>
      <c r="J27" s="118">
        <f>'[3]CSA Air'!$FQ$58</f>
        <v>0</v>
      </c>
      <c r="K27" s="118">
        <f>'[3]Mountain Cargo'!$FQ$58</f>
        <v>0</v>
      </c>
      <c r="L27" s="118">
        <f>'[3]Misc Cargo'!$FQ$58</f>
        <v>0</v>
      </c>
      <c r="M27" s="204">
        <f>SUM(B27:H27)+SUM(J27:L27)</f>
        <v>0</v>
      </c>
    </row>
    <row r="28" spans="1:14" ht="18" customHeight="1" x14ac:dyDescent="0.2">
      <c r="A28" s="219" t="s">
        <v>43</v>
      </c>
      <c r="B28" s="302">
        <f>SUM(B26:B27)</f>
        <v>0</v>
      </c>
      <c r="C28" s="302">
        <f>SUM(C26:C27)</f>
        <v>0</v>
      </c>
      <c r="D28" s="302">
        <f>SUM(D26:D27)</f>
        <v>0</v>
      </c>
      <c r="E28" s="197"/>
      <c r="F28" s="303">
        <f>SUM(F26:F27)</f>
        <v>0</v>
      </c>
      <c r="G28" s="302">
        <f>SUM(G26:G27)</f>
        <v>0</v>
      </c>
      <c r="H28" s="303">
        <f>SUM(H26:H27)</f>
        <v>0</v>
      </c>
      <c r="I28" s="533"/>
      <c r="J28" s="303">
        <f>SUM(J26:J27)</f>
        <v>0</v>
      </c>
      <c r="K28" s="303">
        <f>SUM(K26:K27)</f>
        <v>0</v>
      </c>
      <c r="L28" s="303">
        <f>SUM(L26:L27)</f>
        <v>0</v>
      </c>
      <c r="M28" s="220">
        <f>SUM(B28:H28)+SUM(J28:L28)</f>
        <v>0</v>
      </c>
    </row>
    <row r="29" spans="1:14" x14ac:dyDescent="0.2">
      <c r="A29" s="53"/>
      <c r="B29" s="161"/>
      <c r="C29" s="161"/>
      <c r="D29" s="161"/>
      <c r="E29" s="192"/>
      <c r="F29" s="118"/>
      <c r="G29" s="161"/>
      <c r="H29" s="118"/>
      <c r="I29" s="533"/>
      <c r="J29" s="118"/>
      <c r="K29" s="118"/>
      <c r="L29" s="118"/>
      <c r="M29" s="204"/>
    </row>
    <row r="30" spans="1:14" x14ac:dyDescent="0.2">
      <c r="A30" s="222" t="s">
        <v>44</v>
      </c>
      <c r="B30" s="161"/>
      <c r="C30" s="161"/>
      <c r="D30" s="161"/>
      <c r="E30" s="192"/>
      <c r="F30" s="118"/>
      <c r="G30" s="161"/>
      <c r="H30" s="118"/>
      <c r="I30" s="533"/>
      <c r="J30" s="118"/>
      <c r="K30" s="118"/>
      <c r="L30" s="118"/>
      <c r="M30" s="204"/>
    </row>
    <row r="31" spans="1:14" x14ac:dyDescent="0.2">
      <c r="A31" s="53" t="s">
        <v>90</v>
      </c>
      <c r="B31" s="161">
        <f t="shared" ref="B31:D33" si="3">B26+B21+B16</f>
        <v>1272802</v>
      </c>
      <c r="C31" s="161">
        <f t="shared" si="3"/>
        <v>15855630</v>
      </c>
      <c r="D31" s="161">
        <f t="shared" si="3"/>
        <v>9679250</v>
      </c>
      <c r="E31" s="192"/>
      <c r="F31" s="118">
        <f t="shared" ref="F31:H33" si="4">F26+F21+F16</f>
        <v>0</v>
      </c>
      <c r="G31" s="161">
        <f t="shared" si="4"/>
        <v>18598</v>
      </c>
      <c r="H31" s="118">
        <f t="shared" si="4"/>
        <v>0</v>
      </c>
      <c r="I31" s="533"/>
      <c r="J31" s="118">
        <f t="shared" ref="J31:L33" si="5">J26+J21+J16</f>
        <v>0</v>
      </c>
      <c r="K31" s="118">
        <f t="shared" si="5"/>
        <v>114764</v>
      </c>
      <c r="L31" s="118">
        <f>L26+L21+L16</f>
        <v>126960</v>
      </c>
      <c r="M31" s="204">
        <f>SUM(B31:H31)+SUM(J31:L31)</f>
        <v>27068004</v>
      </c>
    </row>
    <row r="32" spans="1:14" x14ac:dyDescent="0.2">
      <c r="A32" s="53" t="s">
        <v>60</v>
      </c>
      <c r="B32" s="161">
        <f t="shared" si="3"/>
        <v>0</v>
      </c>
      <c r="C32" s="161">
        <f t="shared" si="3"/>
        <v>0</v>
      </c>
      <c r="D32" s="161">
        <f t="shared" si="3"/>
        <v>537311</v>
      </c>
      <c r="E32" s="192"/>
      <c r="F32" s="118">
        <f t="shared" si="4"/>
        <v>0</v>
      </c>
      <c r="G32" s="161">
        <f t="shared" si="4"/>
        <v>0</v>
      </c>
      <c r="H32" s="118">
        <f t="shared" si="4"/>
        <v>0</v>
      </c>
      <c r="I32" s="534"/>
      <c r="J32" s="118">
        <f t="shared" si="5"/>
        <v>0</v>
      </c>
      <c r="K32" s="118">
        <f t="shared" si="5"/>
        <v>0</v>
      </c>
      <c r="L32" s="118">
        <f>L27+L22+L17</f>
        <v>0</v>
      </c>
      <c r="M32" s="208">
        <f>SUM(B32:H32)+SUM(J32:L32)</f>
        <v>537311</v>
      </c>
    </row>
    <row r="33" spans="1:13" ht="18" customHeight="1" thickBot="1" x14ac:dyDescent="0.25">
      <c r="A33" s="209" t="s">
        <v>46</v>
      </c>
      <c r="B33" s="210">
        <f t="shared" si="3"/>
        <v>1272802</v>
      </c>
      <c r="C33" s="210">
        <f t="shared" si="3"/>
        <v>15855630</v>
      </c>
      <c r="D33" s="210">
        <f t="shared" si="3"/>
        <v>10216561</v>
      </c>
      <c r="E33" s="223"/>
      <c r="F33" s="212">
        <f t="shared" si="4"/>
        <v>0</v>
      </c>
      <c r="G33" s="210">
        <f t="shared" si="4"/>
        <v>18598</v>
      </c>
      <c r="H33" s="212">
        <f t="shared" si="4"/>
        <v>0</v>
      </c>
      <c r="I33" s="304">
        <f>I28+I23+I18</f>
        <v>0</v>
      </c>
      <c r="J33" s="212">
        <f t="shared" si="5"/>
        <v>0</v>
      </c>
      <c r="K33" s="212">
        <f t="shared" si="5"/>
        <v>114764</v>
      </c>
      <c r="L33" s="212">
        <f t="shared" si="5"/>
        <v>126960</v>
      </c>
      <c r="M33" s="213">
        <f>SUM(B33:H33)+SUM(J33:L33)</f>
        <v>27605315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91</v>
      </c>
      <c r="B35" s="2"/>
      <c r="C35" s="2"/>
      <c r="D35" s="2"/>
      <c r="E35" s="2"/>
    </row>
    <row r="36" spans="1:13" x14ac:dyDescent="0.2">
      <c r="A36" t="s">
        <v>92</v>
      </c>
    </row>
    <row r="37" spans="1:13" x14ac:dyDescent="0.2">
      <c r="A37" t="s">
        <v>93</v>
      </c>
    </row>
    <row r="43" spans="1:13" ht="15" x14ac:dyDescent="0.25">
      <c r="I43" s="190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84" orientation="landscape" r:id="rId1"/>
  <headerFooter alignWithMargins="0">
    <oddHeader>&amp;L
Schedule 7
&amp;CMinneapolis-St. Paul International Airport
&amp;"Arial,Bold"Cargo
April 2018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Normal="100" workbookViewId="0">
      <selection activeCell="G7" sqref="G7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79">
        <v>43191</v>
      </c>
      <c r="B2" s="77" t="s">
        <v>63</v>
      </c>
      <c r="C2" s="77" t="s">
        <v>64</v>
      </c>
      <c r="D2" s="77" t="s">
        <v>65</v>
      </c>
      <c r="E2" s="316" t="s">
        <v>75</v>
      </c>
      <c r="F2" s="78" t="s">
        <v>225</v>
      </c>
      <c r="G2" s="78" t="s">
        <v>191</v>
      </c>
      <c r="H2" s="79" t="s">
        <v>66</v>
      </c>
      <c r="I2" s="80" t="s">
        <v>212</v>
      </c>
      <c r="J2" s="80" t="s">
        <v>189</v>
      </c>
      <c r="K2" s="90" t="s">
        <v>2</v>
      </c>
    </row>
    <row r="3" spans="1:18" ht="20.25" customHeight="1" x14ac:dyDescent="0.2">
      <c r="A3" s="87" t="s">
        <v>67</v>
      </c>
      <c r="B3" s="89"/>
      <c r="C3" s="81"/>
      <c r="D3" s="81"/>
      <c r="E3" s="81"/>
      <c r="F3" s="82"/>
      <c r="G3" s="82"/>
      <c r="H3" s="83"/>
      <c r="I3" s="82"/>
      <c r="J3" s="82"/>
      <c r="K3" s="84"/>
    </row>
    <row r="4" spans="1:18" x14ac:dyDescent="0.2">
      <c r="A4" s="62" t="s">
        <v>68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2" t="s">
        <v>69</v>
      </c>
      <c r="B5" s="169">
        <f>'Major Airline Stats'!J28</f>
        <v>5151537</v>
      </c>
      <c r="C5" s="118">
        <f>'Regional Major'!M25</f>
        <v>3407</v>
      </c>
      <c r="D5" s="118">
        <f>Cargo!M16</f>
        <v>14591726</v>
      </c>
      <c r="E5" s="118">
        <f>SUM(B5:D5)</f>
        <v>19746670</v>
      </c>
      <c r="F5" s="118">
        <f>E5*0.00045359237</f>
        <v>8956.9388449078997</v>
      </c>
      <c r="G5" s="146">
        <f>'[1]Cargo Summary'!F5</f>
        <v>8919.2625554709593</v>
      </c>
      <c r="H5" s="98">
        <f>(F5-G5)/G5</f>
        <v>4.2241484879072437E-3</v>
      </c>
      <c r="I5" s="146">
        <f>+F5+'[2]Cargo Summary'!I5</f>
        <v>36090.79540936408</v>
      </c>
      <c r="J5" s="146">
        <f>'[1]Cargo Summary'!I5</f>
        <v>34367.468268316261</v>
      </c>
      <c r="K5" s="85">
        <f>(I5-J5)/J5</f>
        <v>5.0144140021992051E-2</v>
      </c>
      <c r="M5" s="35"/>
    </row>
    <row r="6" spans="1:18" x14ac:dyDescent="0.2">
      <c r="A6" s="62" t="s">
        <v>16</v>
      </c>
      <c r="B6" s="169">
        <f>'Major Airline Stats'!J29</f>
        <v>1763806</v>
      </c>
      <c r="C6" s="118">
        <f>'Regional Major'!M26</f>
        <v>1006</v>
      </c>
      <c r="D6" s="118">
        <f>Cargo!M17</f>
        <v>808</v>
      </c>
      <c r="E6" s="118">
        <f>SUM(B6:D6)</f>
        <v>1765620</v>
      </c>
      <c r="F6" s="118">
        <f>E6*0.00045359237</f>
        <v>800.87176031939998</v>
      </c>
      <c r="G6" s="146">
        <f>'[1]Cargo Summary'!F6</f>
        <v>1059.98594808953</v>
      </c>
      <c r="H6" s="37">
        <f>(F6-G6)/G6</f>
        <v>-0.24445058751688692</v>
      </c>
      <c r="I6" s="146">
        <f>+F6+'[2]Cargo Summary'!I6</f>
        <v>3273.8410322340796</v>
      </c>
      <c r="J6" s="146">
        <f>'[1]Cargo Summary'!I6</f>
        <v>3297.6895582715697</v>
      </c>
      <c r="K6" s="85">
        <f>(I6-J6)/J6</f>
        <v>-7.231889362560211E-3</v>
      </c>
      <c r="M6" s="35"/>
    </row>
    <row r="7" spans="1:18" ht="18" customHeight="1" thickBot="1" x14ac:dyDescent="0.25">
      <c r="A7" s="73" t="s">
        <v>72</v>
      </c>
      <c r="B7" s="171">
        <f>SUM(B5:B6)</f>
        <v>6915343</v>
      </c>
      <c r="C7" s="133">
        <f t="shared" ref="C7:J7" si="0">SUM(C5:C6)</f>
        <v>4413</v>
      </c>
      <c r="D7" s="133">
        <f t="shared" si="0"/>
        <v>14592534</v>
      </c>
      <c r="E7" s="133">
        <f t="shared" si="0"/>
        <v>21512290</v>
      </c>
      <c r="F7" s="133">
        <f t="shared" si="0"/>
        <v>9757.8106052272997</v>
      </c>
      <c r="G7" s="133">
        <f t="shared" si="0"/>
        <v>9979.2485035604896</v>
      </c>
      <c r="H7" s="44">
        <f>(F7-G7)/G7</f>
        <v>-2.2189837065805424E-2</v>
      </c>
      <c r="I7" s="133">
        <f t="shared" si="0"/>
        <v>39364.636441598159</v>
      </c>
      <c r="J7" s="133">
        <f t="shared" si="0"/>
        <v>37665.157826587834</v>
      </c>
      <c r="K7" s="318">
        <f>(I7-J7)/J7</f>
        <v>4.5120708715327952E-2</v>
      </c>
      <c r="M7" s="35"/>
    </row>
    <row r="8" spans="1:18" ht="13.5" thickTop="1" x14ac:dyDescent="0.2">
      <c r="A8" s="62"/>
      <c r="B8" s="169"/>
      <c r="C8" s="118"/>
      <c r="D8" s="118"/>
      <c r="E8" s="118"/>
      <c r="F8" s="146"/>
      <c r="G8" s="146"/>
      <c r="H8" s="39"/>
      <c r="I8" s="146"/>
      <c r="J8" s="146"/>
      <c r="K8" s="86"/>
      <c r="M8" s="35"/>
    </row>
    <row r="9" spans="1:18" x14ac:dyDescent="0.2">
      <c r="A9" s="62" t="s">
        <v>70</v>
      </c>
      <c r="B9" s="169"/>
      <c r="C9" s="118"/>
      <c r="D9" s="118"/>
      <c r="E9" s="118"/>
      <c r="F9" s="146"/>
      <c r="G9" s="146"/>
      <c r="H9" s="39"/>
      <c r="I9" s="146"/>
      <c r="J9" s="146"/>
      <c r="K9" s="86"/>
      <c r="M9" s="35"/>
    </row>
    <row r="10" spans="1:18" x14ac:dyDescent="0.2">
      <c r="A10" s="62" t="s">
        <v>69</v>
      </c>
      <c r="B10" s="169">
        <f>'Major Airline Stats'!J33</f>
        <v>2541668</v>
      </c>
      <c r="C10" s="118">
        <f>'Regional Major'!M30</f>
        <v>535</v>
      </c>
      <c r="D10" s="118">
        <f>Cargo!M21</f>
        <v>12476278</v>
      </c>
      <c r="E10" s="118">
        <f>SUM(B10:D10)</f>
        <v>15018481</v>
      </c>
      <c r="F10" s="118">
        <f>E10*0.00045359237</f>
        <v>6812.2683905899694</v>
      </c>
      <c r="G10" s="146">
        <f>'[1]Cargo Summary'!F10</f>
        <v>7260.4199201118199</v>
      </c>
      <c r="H10" s="37">
        <f>(F10-G10)/G10</f>
        <v>-6.1725290610318916E-2</v>
      </c>
      <c r="I10" s="146">
        <f>+F10+'[2]Cargo Summary'!I10</f>
        <v>28977.111260170146</v>
      </c>
      <c r="J10" s="146">
        <f>'[1]Cargo Summary'!I10</f>
        <v>29675.625819867721</v>
      </c>
      <c r="K10" s="85">
        <f>(I10-J10)/J10</f>
        <v>-2.3538326164967396E-2</v>
      </c>
      <c r="M10" s="35"/>
    </row>
    <row r="11" spans="1:18" x14ac:dyDescent="0.2">
      <c r="A11" s="62" t="s">
        <v>16</v>
      </c>
      <c r="B11" s="169">
        <f>'Major Airline Stats'!J34</f>
        <v>2381232</v>
      </c>
      <c r="C11" s="118">
        <f>'Regional Major'!M31</f>
        <v>1871</v>
      </c>
      <c r="D11" s="118">
        <f>Cargo!M22</f>
        <v>536503</v>
      </c>
      <c r="E11" s="118">
        <f>SUM(B11:D11)</f>
        <v>2919606</v>
      </c>
      <c r="F11" s="118">
        <f>E11*0.00045359237</f>
        <v>1324.3110050062201</v>
      </c>
      <c r="G11" s="146">
        <f>'[1]Cargo Summary'!F11</f>
        <v>1291.99028068187</v>
      </c>
      <c r="H11" s="35">
        <f>(F11-G11)/G11</f>
        <v>2.5016228688107663E-2</v>
      </c>
      <c r="I11" s="146">
        <f>+F11+'[2]Cargo Summary'!I11</f>
        <v>4938.6216453088909</v>
      </c>
      <c r="J11" s="146">
        <f>'[1]Cargo Summary'!I11</f>
        <v>4279.0615983469197</v>
      </c>
      <c r="K11" s="85">
        <f>(I11-J11)/J11</f>
        <v>0.15413660958205683</v>
      </c>
      <c r="M11" s="35"/>
    </row>
    <row r="12" spans="1:18" ht="18" customHeight="1" thickBot="1" x14ac:dyDescent="0.25">
      <c r="A12" s="73" t="s">
        <v>73</v>
      </c>
      <c r="B12" s="171">
        <f>SUM(B10:B11)</f>
        <v>4922900</v>
      </c>
      <c r="C12" s="133">
        <f t="shared" ref="C12:J12" si="1">SUM(C10:C11)</f>
        <v>2406</v>
      </c>
      <c r="D12" s="133">
        <f t="shared" si="1"/>
        <v>13012781</v>
      </c>
      <c r="E12" s="133">
        <f t="shared" si="1"/>
        <v>17938087</v>
      </c>
      <c r="F12" s="133">
        <f t="shared" si="1"/>
        <v>8136.579395596189</v>
      </c>
      <c r="G12" s="133">
        <f t="shared" si="1"/>
        <v>8552.410200793689</v>
      </c>
      <c r="H12" s="44">
        <f>(F12-G12)/G12</f>
        <v>-4.8621475751819021E-2</v>
      </c>
      <c r="I12" s="133">
        <f t="shared" si="1"/>
        <v>33915.732905479039</v>
      </c>
      <c r="J12" s="133">
        <f t="shared" si="1"/>
        <v>33954.687418214642</v>
      </c>
      <c r="K12" s="318">
        <f>(I12-J12)/J12</f>
        <v>-1.1472499291719721E-3</v>
      </c>
      <c r="M12" s="35"/>
    </row>
    <row r="13" spans="1:18" ht="13.5" thickTop="1" x14ac:dyDescent="0.2">
      <c r="A13" s="62"/>
      <c r="B13" s="169"/>
      <c r="C13" s="118"/>
      <c r="D13" s="118"/>
      <c r="E13" s="118"/>
      <c r="F13" s="146"/>
      <c r="G13" s="146"/>
      <c r="H13" s="39"/>
      <c r="I13" s="146"/>
      <c r="J13" s="146"/>
      <c r="K13" s="86"/>
      <c r="M13" s="35"/>
    </row>
    <row r="14" spans="1:18" x14ac:dyDescent="0.2">
      <c r="A14" s="62" t="s">
        <v>71</v>
      </c>
      <c r="B14" s="169"/>
      <c r="C14" s="118"/>
      <c r="D14" s="118"/>
      <c r="E14" s="118"/>
      <c r="F14" s="146"/>
      <c r="G14" s="146"/>
      <c r="H14" s="39"/>
      <c r="I14" s="146"/>
      <c r="J14" s="146"/>
      <c r="K14" s="86"/>
      <c r="M14" s="35"/>
    </row>
    <row r="15" spans="1:18" x14ac:dyDescent="0.2">
      <c r="A15" s="62" t="s">
        <v>69</v>
      </c>
      <c r="B15" s="169">
        <f>'Major Airline Stats'!J38</f>
        <v>0</v>
      </c>
      <c r="C15" s="118">
        <f>'Regional Major'!M35</f>
        <v>0</v>
      </c>
      <c r="D15" s="118">
        <f>Cargo!M26</f>
        <v>0</v>
      </c>
      <c r="E15" s="118">
        <f>SUM(B15:D15)</f>
        <v>0</v>
      </c>
      <c r="F15" s="118">
        <f>E15*0.00045359237</f>
        <v>0</v>
      </c>
      <c r="G15" s="146">
        <f>'[1]Cargo Summary'!F15</f>
        <v>0</v>
      </c>
      <c r="H15" s="423" t="e">
        <f>(F15-G15)/G15</f>
        <v>#DIV/0!</v>
      </c>
      <c r="I15" s="146">
        <f>+F15+'[2]Cargo Summary'!I15</f>
        <v>0</v>
      </c>
      <c r="J15" s="146">
        <f>'[1]Cargo Summary'!I15</f>
        <v>0</v>
      </c>
      <c r="K15" s="85" t="e">
        <f>(I15-J15)/J15</f>
        <v>#DIV/0!</v>
      </c>
      <c r="L15" s="11"/>
      <c r="M15" s="35"/>
    </row>
    <row r="16" spans="1:18" ht="15" customHeight="1" x14ac:dyDescent="0.2">
      <c r="A16" s="62" t="s">
        <v>16</v>
      </c>
      <c r="B16" s="169">
        <f>'Major Airline Stats'!J39</f>
        <v>0</v>
      </c>
      <c r="C16" s="118">
        <f>'Regional Major'!M36</f>
        <v>0</v>
      </c>
      <c r="D16" s="118">
        <f>Cargo!M27</f>
        <v>0</v>
      </c>
      <c r="E16" s="118">
        <f>SUM(B16:D16)</f>
        <v>0</v>
      </c>
      <c r="F16" s="118">
        <f>E16*0.00045359237</f>
        <v>0</v>
      </c>
      <c r="G16" s="146">
        <f>'[1]Cargo Summary'!F16</f>
        <v>0</v>
      </c>
      <c r="H16" s="37" t="e">
        <f>(F16-G16)/G16</f>
        <v>#DIV/0!</v>
      </c>
      <c r="I16" s="146">
        <f>+F16+'[2]Cargo Summary'!I16</f>
        <v>0</v>
      </c>
      <c r="J16" s="146">
        <f>'[1]Cargo Summary'!I16</f>
        <v>0</v>
      </c>
      <c r="K16" s="85">
        <v>1</v>
      </c>
      <c r="L16" s="11"/>
      <c r="M16" s="35"/>
    </row>
    <row r="17" spans="1:13" ht="18" customHeight="1" thickBot="1" x14ac:dyDescent="0.25">
      <c r="A17" s="73" t="s">
        <v>74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4" t="e">
        <f>(F17-G17)/G17</f>
        <v>#DIV/0!</v>
      </c>
      <c r="I17" s="133">
        <f t="shared" si="2"/>
        <v>0</v>
      </c>
      <c r="J17" s="133">
        <f t="shared" si="2"/>
        <v>0</v>
      </c>
      <c r="K17" s="318" t="e">
        <f>(I17-J17)/J17</f>
        <v>#DIV/0!</v>
      </c>
      <c r="M17" s="35"/>
    </row>
    <row r="18" spans="1:13" ht="13.5" thickTop="1" x14ac:dyDescent="0.2">
      <c r="A18" s="62"/>
      <c r="B18" s="169"/>
      <c r="C18" s="118"/>
      <c r="D18" s="118"/>
      <c r="E18" s="118"/>
      <c r="F18" s="146"/>
      <c r="G18" s="146"/>
      <c r="H18" s="39"/>
      <c r="I18" s="146"/>
      <c r="J18" s="146"/>
      <c r="K18" s="86"/>
      <c r="M18" s="35"/>
    </row>
    <row r="19" spans="1:13" x14ac:dyDescent="0.2">
      <c r="A19" s="62" t="s">
        <v>14</v>
      </c>
      <c r="B19" s="169"/>
      <c r="C19" s="118"/>
      <c r="D19" s="118"/>
      <c r="E19" s="118"/>
      <c r="F19" s="146"/>
      <c r="G19" s="146"/>
      <c r="H19" s="39"/>
      <c r="I19" s="146"/>
      <c r="J19" s="146"/>
      <c r="K19" s="86"/>
      <c r="M19" s="35"/>
    </row>
    <row r="20" spans="1:13" x14ac:dyDescent="0.2">
      <c r="A20" s="62" t="s">
        <v>69</v>
      </c>
      <c r="B20" s="169">
        <f t="shared" ref="B20:D21" si="3">B15+B10+B5</f>
        <v>7693205</v>
      </c>
      <c r="C20" s="118">
        <f t="shared" si="3"/>
        <v>3942</v>
      </c>
      <c r="D20" s="118">
        <f t="shared" si="3"/>
        <v>27068004</v>
      </c>
      <c r="E20" s="118">
        <f>SUM(B20:D20)</f>
        <v>34765151</v>
      </c>
      <c r="F20" s="118">
        <f>E20*0.00045359237</f>
        <v>15769.20723549787</v>
      </c>
      <c r="G20" s="146">
        <f>'[1]Cargo Summary'!F20</f>
        <v>16179.68247558278</v>
      </c>
      <c r="H20" s="37">
        <f>(F20-G20)/G20</f>
        <v>-2.5369795773456622E-2</v>
      </c>
      <c r="I20" s="146">
        <f>+F20+'[2]Cargo Summary'!I20</f>
        <v>65067.906669534234</v>
      </c>
      <c r="J20" s="146">
        <f>+J5+J10+J15</f>
        <v>64043.094088183978</v>
      </c>
      <c r="K20" s="85">
        <f>(I20-J20)/J20</f>
        <v>1.6001921767538941E-2</v>
      </c>
      <c r="M20" s="35"/>
    </row>
    <row r="21" spans="1:13" x14ac:dyDescent="0.2">
      <c r="A21" s="62" t="s">
        <v>16</v>
      </c>
      <c r="B21" s="169">
        <f t="shared" si="3"/>
        <v>4145038</v>
      </c>
      <c r="C21" s="120">
        <f t="shared" si="3"/>
        <v>2877</v>
      </c>
      <c r="D21" s="120">
        <f t="shared" si="3"/>
        <v>537311</v>
      </c>
      <c r="E21" s="118">
        <f>SUM(B21:D21)</f>
        <v>4685226</v>
      </c>
      <c r="F21" s="118">
        <f>E21*0.00045359237</f>
        <v>2125.18276532562</v>
      </c>
      <c r="G21" s="146">
        <f>'[1]Cargo Summary'!F21</f>
        <v>2351.9762287713997</v>
      </c>
      <c r="H21" s="37">
        <f>(F21-G21)/G21</f>
        <v>-9.6426766848851042E-2</v>
      </c>
      <c r="I21" s="146">
        <f>+F21+'[2]Cargo Summary'!I21</f>
        <v>8212.4626775429697</v>
      </c>
      <c r="J21" s="146">
        <f>+J6+J11+J16</f>
        <v>7576.7511566184894</v>
      </c>
      <c r="K21" s="85">
        <f>(I21-J21)/J21</f>
        <v>8.3902916670183861E-2</v>
      </c>
      <c r="M21" s="35"/>
    </row>
    <row r="22" spans="1:13" ht="18" customHeight="1" thickBot="1" x14ac:dyDescent="0.25">
      <c r="A22" s="88" t="s">
        <v>62</v>
      </c>
      <c r="B22" s="172">
        <f>SUM(B20:B21)</f>
        <v>11838243</v>
      </c>
      <c r="C22" s="173">
        <f t="shared" ref="C22:J22" si="4">SUM(C20:C21)</f>
        <v>6819</v>
      </c>
      <c r="D22" s="173">
        <f t="shared" si="4"/>
        <v>27605315</v>
      </c>
      <c r="E22" s="173">
        <f t="shared" si="4"/>
        <v>39450377</v>
      </c>
      <c r="F22" s="173">
        <f t="shared" si="4"/>
        <v>17894.390000823489</v>
      </c>
      <c r="G22" s="173">
        <f t="shared" si="4"/>
        <v>18531.65870435418</v>
      </c>
      <c r="H22" s="324">
        <f>(F22-G22)/G22</f>
        <v>-3.4388109218791069E-2</v>
      </c>
      <c r="I22" s="173">
        <f t="shared" si="4"/>
        <v>73280.369347077198</v>
      </c>
      <c r="J22" s="173">
        <f t="shared" si="4"/>
        <v>71619.845244802462</v>
      </c>
      <c r="K22" s="325">
        <f>(I22-J22)/J22</f>
        <v>2.3185251191187712E-2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April 2018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61"/>
  <sheetViews>
    <sheetView zoomScaleNormal="100" workbookViewId="0">
      <selection activeCell="L35" sqref="L35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225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7" customWidth="1"/>
    <col min="11" max="11" width="18.42578125" style="232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9" ht="13.5" thickBot="1" x14ac:dyDescent="0.25">
      <c r="F1" s="231"/>
      <c r="K1" s="11"/>
    </row>
    <row r="2" spans="1:19" s="224" customFormat="1" ht="26.25" thickBot="1" x14ac:dyDescent="0.25">
      <c r="A2" s="545" t="s">
        <v>206</v>
      </c>
      <c r="B2" s="546"/>
      <c r="C2" s="462" t="s">
        <v>217</v>
      </c>
      <c r="D2" s="464" t="s">
        <v>192</v>
      </c>
      <c r="E2" s="465" t="s">
        <v>98</v>
      </c>
      <c r="F2" s="466" t="s">
        <v>218</v>
      </c>
      <c r="G2" s="464" t="s">
        <v>193</v>
      </c>
      <c r="H2" s="463" t="s">
        <v>99</v>
      </c>
      <c r="I2" s="465" t="s">
        <v>140</v>
      </c>
      <c r="J2" s="545" t="s">
        <v>201</v>
      </c>
      <c r="K2" s="546"/>
      <c r="L2" s="462" t="s">
        <v>219</v>
      </c>
      <c r="M2" s="464" t="s">
        <v>194</v>
      </c>
      <c r="N2" s="467" t="s">
        <v>99</v>
      </c>
      <c r="O2" s="468" t="s">
        <v>220</v>
      </c>
      <c r="P2" s="468" t="s">
        <v>195</v>
      </c>
      <c r="Q2" s="501" t="s">
        <v>99</v>
      </c>
      <c r="R2" s="465" t="s">
        <v>224</v>
      </c>
    </row>
    <row r="3" spans="1:19" s="224" customFormat="1" ht="13.5" customHeight="1" thickBot="1" x14ac:dyDescent="0.25">
      <c r="A3" s="547">
        <v>43191</v>
      </c>
      <c r="B3" s="548"/>
      <c r="C3" s="549" t="s">
        <v>9</v>
      </c>
      <c r="D3" s="550"/>
      <c r="E3" s="550"/>
      <c r="F3" s="550"/>
      <c r="G3" s="550"/>
      <c r="H3" s="551"/>
      <c r="I3" s="469"/>
      <c r="J3" s="547">
        <f>+A3</f>
        <v>43191</v>
      </c>
      <c r="K3" s="548"/>
      <c r="L3" s="539" t="s">
        <v>202</v>
      </c>
      <c r="M3" s="540"/>
      <c r="N3" s="540"/>
      <c r="O3" s="540"/>
      <c r="P3" s="540"/>
      <c r="Q3" s="540"/>
      <c r="R3" s="541"/>
    </row>
    <row r="4" spans="1:19" x14ac:dyDescent="0.2">
      <c r="A4" s="342"/>
      <c r="B4" s="343"/>
      <c r="C4" s="344"/>
      <c r="D4" s="345"/>
      <c r="E4" s="346"/>
      <c r="F4" s="470"/>
      <c r="G4" s="413"/>
      <c r="H4" s="487"/>
      <c r="I4" s="346"/>
      <c r="J4" s="347"/>
      <c r="K4" s="343"/>
      <c r="L4" s="496"/>
      <c r="M4" s="5"/>
      <c r="N4" s="85"/>
      <c r="O4" s="53"/>
      <c r="P4" s="11"/>
      <c r="Q4" s="11"/>
      <c r="R4" s="55"/>
    </row>
    <row r="5" spans="1:19" ht="14.1" customHeight="1" x14ac:dyDescent="0.2">
      <c r="A5" s="349" t="s">
        <v>203</v>
      </c>
      <c r="B5" s="55"/>
      <c r="C5" s="350">
        <f>+[3]DHL!$FQ$12</f>
        <v>40</v>
      </c>
      <c r="D5" s="352">
        <f>+[3]DHL!$FC$12</f>
        <v>40</v>
      </c>
      <c r="E5" s="353">
        <f>(C5-D5)/D5</f>
        <v>0</v>
      </c>
      <c r="F5" s="350">
        <f>+SUM([3]DHL!$FN$12:$FQ$12)</f>
        <v>154</v>
      </c>
      <c r="G5" s="352">
        <f>+SUM([3]DHL!$EZ$12:$FC$12)</f>
        <v>168</v>
      </c>
      <c r="H5" s="351">
        <f>(F5-G5)/G5</f>
        <v>-8.3333333333333329E-2</v>
      </c>
      <c r="I5" s="353">
        <f>+F5/$F$24</f>
        <v>3.2983508245877063E-2</v>
      </c>
      <c r="J5" s="349" t="s">
        <v>203</v>
      </c>
      <c r="K5" s="55"/>
      <c r="L5" s="350">
        <f>+[3]DHL!$FQ$64</f>
        <v>1272802</v>
      </c>
      <c r="M5" s="352">
        <f>+[3]DHL!$FC$64</f>
        <v>1210759</v>
      </c>
      <c r="N5" s="353">
        <f>(L5-M5)/M5</f>
        <v>5.1243063235540683E-2</v>
      </c>
      <c r="O5" s="350">
        <f>+SUM([3]DHL!$FN$64:$FQ$64)</f>
        <v>4532032</v>
      </c>
      <c r="P5" s="352">
        <f>+SUM([3]DHL!$EZ$64:$FC$64)</f>
        <v>4718168</v>
      </c>
      <c r="Q5" s="351">
        <f>(O5-P5)/P5</f>
        <v>-3.9450905520956439E-2</v>
      </c>
      <c r="R5" s="353">
        <f>O5/$O$24</f>
        <v>3.9716866313349718E-2</v>
      </c>
      <c r="S5" s="20"/>
    </row>
    <row r="6" spans="1:19" ht="14.1" customHeight="1" x14ac:dyDescent="0.2">
      <c r="A6" s="349"/>
      <c r="B6" s="363"/>
      <c r="C6" s="350"/>
      <c r="D6" s="352"/>
      <c r="E6" s="353"/>
      <c r="F6" s="350"/>
      <c r="G6" s="352"/>
      <c r="H6" s="351"/>
      <c r="I6" s="353"/>
      <c r="J6" s="349"/>
      <c r="K6" s="55"/>
      <c r="L6" s="354"/>
      <c r="M6" s="9"/>
      <c r="N6" s="86"/>
      <c r="O6" s="354"/>
      <c r="P6" s="352"/>
      <c r="Q6" s="39"/>
      <c r="R6" s="86"/>
      <c r="S6" s="20"/>
    </row>
    <row r="7" spans="1:19" ht="14.1" customHeight="1" x14ac:dyDescent="0.2">
      <c r="A7" s="349" t="s">
        <v>204</v>
      </c>
      <c r="B7" s="363"/>
      <c r="C7" s="350">
        <f>+[3]FedEx!$FQ$12</f>
        <v>202</v>
      </c>
      <c r="D7" s="352">
        <f>+[3]FedEx!$FC$12</f>
        <v>176</v>
      </c>
      <c r="E7" s="353">
        <f>(C7-D7)/D7</f>
        <v>0.14772727272727273</v>
      </c>
      <c r="F7" s="350">
        <f>+SUM([3]FedEx!$FN$12:$FQ$12)</f>
        <v>972</v>
      </c>
      <c r="G7" s="352">
        <f>+SUM([3]FedEx!$EZ$12:$FC$12)</f>
        <v>718</v>
      </c>
      <c r="H7" s="351">
        <f t="shared" ref="H7" si="0">(F7-G7)/G7</f>
        <v>0.35376044568245124</v>
      </c>
      <c r="I7" s="353">
        <f>+F7/$F$24</f>
        <v>0.20818162347397728</v>
      </c>
      <c r="J7" s="349" t="s">
        <v>204</v>
      </c>
      <c r="K7" s="55"/>
      <c r="L7" s="350">
        <f>+[3]FedEx!$FQ$64</f>
        <v>15855630</v>
      </c>
      <c r="M7" s="352">
        <f>+[3]FedEx!$FC$64</f>
        <v>16563701</v>
      </c>
      <c r="N7" s="353">
        <f>(L7-M7)/M7</f>
        <v>-4.2748356783305859E-2</v>
      </c>
      <c r="O7" s="350">
        <f>+SUM([3]FedEx!$FN$64:$FQ$64)</f>
        <v>66766830</v>
      </c>
      <c r="P7" s="352">
        <f>+SUM([3]FedEx!$EZ$64:$FC$64)</f>
        <v>66456950</v>
      </c>
      <c r="Q7" s="351">
        <f t="shared" ref="Q7" si="1">(O7-P7)/P7</f>
        <v>4.6628682176958168E-3</v>
      </c>
      <c r="R7" s="353">
        <f>O7/$O$24</f>
        <v>0.5851170647683307</v>
      </c>
      <c r="S7" s="20"/>
    </row>
    <row r="8" spans="1:19" ht="14.1" customHeight="1" x14ac:dyDescent="0.2">
      <c r="A8" s="349"/>
      <c r="B8" s="363"/>
      <c r="C8" s="350"/>
      <c r="D8" s="352"/>
      <c r="E8" s="353"/>
      <c r="F8" s="350"/>
      <c r="G8" s="352"/>
      <c r="H8" s="351"/>
      <c r="I8" s="353"/>
      <c r="J8" s="349"/>
      <c r="K8" s="55"/>
      <c r="L8" s="354"/>
      <c r="M8" s="9"/>
      <c r="N8" s="86"/>
      <c r="O8" s="354"/>
      <c r="P8" s="9"/>
      <c r="Q8" s="39"/>
      <c r="R8" s="86"/>
      <c r="S8" s="20"/>
    </row>
    <row r="9" spans="1:19" ht="14.1" customHeight="1" x14ac:dyDescent="0.2">
      <c r="A9" s="349" t="s">
        <v>83</v>
      </c>
      <c r="B9" s="363"/>
      <c r="C9" s="350">
        <f>+[3]UPS!$FQ$12</f>
        <v>188</v>
      </c>
      <c r="D9" s="352">
        <f>+[3]UPS!$FC$12</f>
        <v>180</v>
      </c>
      <c r="E9" s="353">
        <f>(C9-D9)/D9</f>
        <v>4.4444444444444446E-2</v>
      </c>
      <c r="F9" s="350">
        <f>+SUM([3]UPS!$FN$12:$FQ$12)</f>
        <v>776</v>
      </c>
      <c r="G9" s="352">
        <f>+SUM([3]UPS!$EZ$12:$FC$12)</f>
        <v>732</v>
      </c>
      <c r="H9" s="351">
        <f>(F9-G9)/G9</f>
        <v>6.0109289617486336E-2</v>
      </c>
      <c r="I9" s="353">
        <f>+F9/$F$24</f>
        <v>0.16620261297922467</v>
      </c>
      <c r="J9" s="349" t="s">
        <v>83</v>
      </c>
      <c r="K9" s="55"/>
      <c r="L9" s="350">
        <f>+[3]UPS!$FQ$64</f>
        <v>10216561</v>
      </c>
      <c r="M9" s="352">
        <f>+[3]UPS!$FC$64</f>
        <v>9526510</v>
      </c>
      <c r="N9" s="353">
        <f>(L9-M9)/M9</f>
        <v>7.2434816107892611E-2</v>
      </c>
      <c r="O9" s="350">
        <f>+SUM([3]UPS!$FN$64:$FQ$64)</f>
        <v>41867768</v>
      </c>
      <c r="P9" s="352">
        <f>+SUM([3]UPS!$EZ$64:$FC$64)</f>
        <v>38920209</v>
      </c>
      <c r="Q9" s="351">
        <f>(O9-P9)/P9</f>
        <v>7.5733380568434261E-2</v>
      </c>
      <c r="R9" s="353">
        <f>O9/$O$24</f>
        <v>0.3669119160002271</v>
      </c>
      <c r="S9" s="20"/>
    </row>
    <row r="10" spans="1:19" ht="14.1" customHeight="1" x14ac:dyDescent="0.2">
      <c r="A10" s="349"/>
      <c r="B10" s="363"/>
      <c r="C10" s="350"/>
      <c r="D10" s="352"/>
      <c r="E10" s="353"/>
      <c r="F10" s="350"/>
      <c r="G10" s="352"/>
      <c r="H10" s="351"/>
      <c r="I10" s="353"/>
      <c r="J10" s="349"/>
      <c r="K10" s="55"/>
      <c r="L10" s="354"/>
      <c r="M10" s="9"/>
      <c r="N10" s="86"/>
      <c r="O10" s="354"/>
      <c r="P10" s="9"/>
      <c r="Q10" s="39"/>
      <c r="R10" s="86"/>
      <c r="S10" s="20"/>
    </row>
    <row r="11" spans="1:19" ht="14.1" customHeight="1" x14ac:dyDescent="0.2">
      <c r="A11" s="349" t="s">
        <v>187</v>
      </c>
      <c r="B11" s="363"/>
      <c r="C11" s="350">
        <f>+[3]IFL!$FQ$12</f>
        <v>40</v>
      </c>
      <c r="D11" s="352">
        <f>+[3]IFL!$FC$12</f>
        <v>60</v>
      </c>
      <c r="E11" s="353">
        <f>(C11-D11)/D11</f>
        <v>-0.33333333333333331</v>
      </c>
      <c r="F11" s="350">
        <f>+SUM([3]IFL!$FN$12:$FQ$12)</f>
        <v>178</v>
      </c>
      <c r="G11" s="352">
        <f>+SUM([3]IFL!$EZ$12:$FC$12)</f>
        <v>258</v>
      </c>
      <c r="H11" s="351">
        <f>(F11-G11)/G11</f>
        <v>-0.31007751937984496</v>
      </c>
      <c r="I11" s="353">
        <f>+F11/$F$24</f>
        <v>3.8123795245234522E-2</v>
      </c>
      <c r="J11" s="349" t="s">
        <v>187</v>
      </c>
      <c r="K11" s="55"/>
      <c r="L11" s="350">
        <f>+[3]IFL!$FQ$64</f>
        <v>18598</v>
      </c>
      <c r="M11" s="352">
        <f>+[3]IFL!$FC$64</f>
        <v>85264</v>
      </c>
      <c r="N11" s="353">
        <f>(L11-M11)/M11</f>
        <v>-0.78187746293863769</v>
      </c>
      <c r="O11" s="350">
        <f>+SUM([3]IFL!$FN$64:$FQ$64)</f>
        <v>77245</v>
      </c>
      <c r="P11" s="352">
        <f>+SUM([3]IFL!$EZ$64:$FC$64)</f>
        <v>343357</v>
      </c>
      <c r="Q11" s="351">
        <f>(O11-P11)/P11</f>
        <v>-0.77503007074269636</v>
      </c>
      <c r="R11" s="353">
        <f>O11/$O$24</f>
        <v>6.7694344134699384E-4</v>
      </c>
      <c r="S11" s="20"/>
    </row>
    <row r="12" spans="1:19" ht="14.1" customHeight="1" x14ac:dyDescent="0.2">
      <c r="A12" s="349"/>
      <c r="B12" s="363"/>
      <c r="C12" s="350"/>
      <c r="D12" s="355"/>
      <c r="E12" s="353"/>
      <c r="F12" s="471"/>
      <c r="G12" s="355"/>
      <c r="H12" s="351"/>
      <c r="I12" s="353"/>
      <c r="J12" s="349"/>
      <c r="K12" s="55"/>
      <c r="L12" s="356"/>
      <c r="M12" s="146"/>
      <c r="N12" s="86"/>
      <c r="O12" s="356"/>
      <c r="P12" s="146"/>
      <c r="Q12" s="39"/>
      <c r="R12" s="86"/>
      <c r="S12" s="20"/>
    </row>
    <row r="13" spans="1:19" ht="14.1" customHeight="1" x14ac:dyDescent="0.2">
      <c r="A13" s="349" t="s">
        <v>167</v>
      </c>
      <c r="B13" s="362"/>
      <c r="C13" s="350">
        <f>+'[3]Suburban Air Freight'!$FQ$12</f>
        <v>0</v>
      </c>
      <c r="D13" s="352">
        <f>+'[3]Suburban Air Freight'!$FC$12</f>
        <v>0</v>
      </c>
      <c r="E13" s="353" t="e">
        <f>(C13-D13)/D13</f>
        <v>#DIV/0!</v>
      </c>
      <c r="F13" s="350">
        <f>+SUM('[3]Suburban Air Freight'!$FN$12:$FQ$12)</f>
        <v>0</v>
      </c>
      <c r="G13" s="352">
        <f>+SUM('[3]Suburban Air Freight'!$EZ$12:$FC$12)</f>
        <v>0</v>
      </c>
      <c r="H13" s="351" t="e">
        <f t="shared" ref="H13" si="2">(F13-G13)/G13</f>
        <v>#DIV/0!</v>
      </c>
      <c r="I13" s="353">
        <f>+F13/$F$24</f>
        <v>0</v>
      </c>
      <c r="J13" s="349" t="s">
        <v>167</v>
      </c>
      <c r="K13" s="357"/>
      <c r="L13" s="350">
        <f>+'[3]Suburban Air Freight'!$FQ$64</f>
        <v>0</v>
      </c>
      <c r="M13" s="352">
        <f>+'[3]Suburban Air Freight'!$FC$64</f>
        <v>111141</v>
      </c>
      <c r="N13" s="353">
        <f>(L13-M13)/M13</f>
        <v>-1</v>
      </c>
      <c r="O13" s="350">
        <f>+SUM('[3]Suburban Air Freight'!$FN$64:$FQ$64)</f>
        <v>0</v>
      </c>
      <c r="P13" s="352">
        <f>+SUM('[3]Suburban Air Freight'!$EZ$64:$FC$64)</f>
        <v>392600</v>
      </c>
      <c r="Q13" s="351">
        <f t="shared" ref="Q13" si="3">(O13-P13)/P13</f>
        <v>-1</v>
      </c>
      <c r="R13" s="353">
        <f>O13/$O$24</f>
        <v>0</v>
      </c>
      <c r="S13" s="20"/>
    </row>
    <row r="14" spans="1:19" ht="14.1" customHeight="1" x14ac:dyDescent="0.2">
      <c r="A14" s="53"/>
      <c r="B14" s="359"/>
      <c r="C14" s="350"/>
      <c r="D14" s="9"/>
      <c r="E14" s="86"/>
      <c r="F14" s="354"/>
      <c r="G14" s="9"/>
      <c r="H14" s="39"/>
      <c r="I14" s="86"/>
      <c r="J14" s="53"/>
      <c r="K14" s="359"/>
      <c r="L14" s="354"/>
      <c r="M14" s="9"/>
      <c r="N14" s="86"/>
      <c r="O14" s="354"/>
      <c r="P14" s="9"/>
      <c r="Q14" s="39"/>
      <c r="R14" s="86"/>
      <c r="S14" s="20"/>
    </row>
    <row r="15" spans="1:19" ht="14.1" customHeight="1" x14ac:dyDescent="0.2">
      <c r="A15" s="349" t="s">
        <v>85</v>
      </c>
      <c r="B15" s="359"/>
      <c r="C15" s="350">
        <f>+[3]Bemidji!$FQ$12</f>
        <v>520</v>
      </c>
      <c r="D15" s="352">
        <f>+[3]Bemidji!$FC$12</f>
        <v>494</v>
      </c>
      <c r="E15" s="353">
        <f>(C15-D15)/D15</f>
        <v>5.2631578947368418E-2</v>
      </c>
      <c r="F15" s="350">
        <f>+SUM([3]Bemidji!$FN$12:$FQ$12)</f>
        <v>2208</v>
      </c>
      <c r="G15" s="352">
        <f>+SUM([3]Bemidji!$EZ$12:$FC$12)</f>
        <v>2092</v>
      </c>
      <c r="H15" s="351">
        <f t="shared" ref="H15" si="4">(F15-G15)/G15</f>
        <v>5.5449330783938815E-2</v>
      </c>
      <c r="I15" s="353">
        <f>+F15/$F$24</f>
        <v>0.47290640394088668</v>
      </c>
      <c r="J15" s="349" t="s">
        <v>85</v>
      </c>
      <c r="K15" s="359"/>
      <c r="L15" s="542" t="s">
        <v>207</v>
      </c>
      <c r="M15" s="543"/>
      <c r="N15" s="543"/>
      <c r="O15" s="543"/>
      <c r="P15" s="543"/>
      <c r="Q15" s="543"/>
      <c r="R15" s="544"/>
      <c r="S15" s="20"/>
    </row>
    <row r="16" spans="1:19" ht="14.1" customHeight="1" x14ac:dyDescent="0.2">
      <c r="A16" s="53"/>
      <c r="B16" s="359"/>
      <c r="C16" s="350"/>
      <c r="D16" s="9"/>
      <c r="E16" s="86"/>
      <c r="F16" s="354"/>
      <c r="G16" s="9"/>
      <c r="H16" s="39"/>
      <c r="I16" s="86"/>
      <c r="J16" s="53"/>
      <c r="K16" s="359"/>
      <c r="L16" s="354"/>
      <c r="M16" s="9"/>
      <c r="N16" s="86"/>
      <c r="O16" s="354"/>
      <c r="P16" s="9"/>
      <c r="Q16" s="39"/>
      <c r="R16" s="86"/>
      <c r="S16" s="20"/>
    </row>
    <row r="17" spans="1:19" ht="14.1" customHeight="1" x14ac:dyDescent="0.2">
      <c r="A17" s="349" t="s">
        <v>86</v>
      </c>
      <c r="B17" s="359"/>
      <c r="C17" s="350">
        <f>+'[3]CSA Air'!$FQ$12</f>
        <v>0</v>
      </c>
      <c r="D17" s="352">
        <f>+'[3]CSA Air'!$FC$12</f>
        <v>40</v>
      </c>
      <c r="E17" s="353">
        <f>(C17-D17)/D17</f>
        <v>-1</v>
      </c>
      <c r="F17" s="350">
        <f>+SUM('[3]CSA Air'!$FN$12:$FQ$12)</f>
        <v>2</v>
      </c>
      <c r="G17" s="352">
        <f>+SUM('[3]CSA Air'!$EZ$12:$FC$12)</f>
        <v>170</v>
      </c>
      <c r="H17" s="351">
        <f t="shared" ref="H17" si="5">(F17-G17)/G17</f>
        <v>-0.9882352941176471</v>
      </c>
      <c r="I17" s="353">
        <f>+F17/$F$24</f>
        <v>4.2835724994645533E-4</v>
      </c>
      <c r="J17" s="349" t="s">
        <v>86</v>
      </c>
      <c r="K17" s="359"/>
      <c r="L17" s="350">
        <f>+'[3]CSA Air'!$FQ$64</f>
        <v>0</v>
      </c>
      <c r="M17" s="352">
        <f>+'[3]CSA Air'!$FC$64</f>
        <v>56790</v>
      </c>
      <c r="N17" s="353">
        <f>(L17-M17)/M17</f>
        <v>-1</v>
      </c>
      <c r="O17" s="350">
        <f>+SUM('[3]CSA Air'!$FN$64:$FQ$64)</f>
        <v>3414</v>
      </c>
      <c r="P17" s="352">
        <f>+SUM('[3]CSA Air'!$EZ$64:$FC$64)</f>
        <v>247808</v>
      </c>
      <c r="Q17" s="351">
        <f t="shared" ref="Q17" si="6">(O17-P17)/P17</f>
        <v>-0.98622320506198347</v>
      </c>
      <c r="R17" s="353">
        <f>O17/$O$24</f>
        <v>2.9918893245629319E-5</v>
      </c>
      <c r="S17" s="20"/>
    </row>
    <row r="18" spans="1:19" ht="14.1" customHeight="1" x14ac:dyDescent="0.2">
      <c r="A18" s="53"/>
      <c r="B18" s="359"/>
      <c r="C18" s="350"/>
      <c r="D18" s="9"/>
      <c r="E18" s="86"/>
      <c r="F18" s="354"/>
      <c r="G18" s="9"/>
      <c r="H18" s="39"/>
      <c r="I18" s="86"/>
      <c r="J18" s="53"/>
      <c r="K18" s="359"/>
      <c r="L18" s="354"/>
      <c r="M18" s="9"/>
      <c r="N18" s="86"/>
      <c r="O18" s="354"/>
      <c r="P18" s="9"/>
      <c r="Q18" s="39"/>
      <c r="R18" s="86"/>
      <c r="S18" s="20"/>
    </row>
    <row r="19" spans="1:19" ht="14.1" customHeight="1" x14ac:dyDescent="0.2">
      <c r="A19" s="349" t="s">
        <v>87</v>
      </c>
      <c r="B19" s="362"/>
      <c r="C19" s="350">
        <f>+'[3]Mountain Cargo'!$FQ$12</f>
        <v>38</v>
      </c>
      <c r="D19" s="352">
        <f>+'[3]Mountain Cargo'!$FC$12</f>
        <v>42</v>
      </c>
      <c r="E19" s="353">
        <f>(C19-D19)/D19</f>
        <v>-9.5238095238095233E-2</v>
      </c>
      <c r="F19" s="350">
        <f>+SUM('[3]Mountain Cargo'!$FN$12:$FQ$12)</f>
        <v>152</v>
      </c>
      <c r="G19" s="352">
        <f>+SUM('[3]Mountain Cargo'!$EZ$12:$FC$12)</f>
        <v>162</v>
      </c>
      <c r="H19" s="351">
        <f>(F19-G19)/G19</f>
        <v>-6.1728395061728392E-2</v>
      </c>
      <c r="I19" s="353">
        <f>+F19/$F$24</f>
        <v>3.2555150995930607E-2</v>
      </c>
      <c r="J19" s="349" t="s">
        <v>87</v>
      </c>
      <c r="K19" s="362"/>
      <c r="L19" s="350">
        <f>+'[3]Mountain Cargo'!$FQ$64</f>
        <v>114764</v>
      </c>
      <c r="M19" s="352">
        <f>+'[3]Mountain Cargo'!$FC$64</f>
        <v>147209</v>
      </c>
      <c r="N19" s="353">
        <f>(L19-M19)/M19</f>
        <v>-0.22040092657378285</v>
      </c>
      <c r="O19" s="350">
        <f>+SUM('[3]Mountain Cargo'!$FN$64:$FQ$64)</f>
        <v>507777</v>
      </c>
      <c r="P19" s="352">
        <f>+SUM('[3]Mountain Cargo'!$EZ$64:$FC$64)</f>
        <v>657432</v>
      </c>
      <c r="Q19" s="351">
        <f t="shared" ref="Q19" si="7">(O19-P19)/P19</f>
        <v>-0.22763570985288212</v>
      </c>
      <c r="R19" s="353">
        <f>O19/$O$24</f>
        <v>4.4499489910913648E-3</v>
      </c>
      <c r="S19" s="415"/>
    </row>
    <row r="20" spans="1:19" ht="14.1" customHeight="1" x14ac:dyDescent="0.2">
      <c r="A20" s="53"/>
      <c r="B20" s="427"/>
      <c r="C20" s="350"/>
      <c r="D20" s="9"/>
      <c r="E20" s="86"/>
      <c r="F20" s="354"/>
      <c r="G20" s="9"/>
      <c r="H20" s="39"/>
      <c r="I20" s="86"/>
      <c r="J20" s="53"/>
      <c r="K20" s="427"/>
      <c r="L20" s="354"/>
      <c r="M20" s="9"/>
      <c r="N20" s="86"/>
      <c r="O20" s="354"/>
      <c r="P20" s="9"/>
      <c r="Q20" s="39"/>
      <c r="R20" s="86"/>
      <c r="S20" s="328"/>
    </row>
    <row r="21" spans="1:19" s="7" customFormat="1" ht="14.1" customHeight="1" x14ac:dyDescent="0.2">
      <c r="A21" s="349" t="s">
        <v>130</v>
      </c>
      <c r="B21" s="363"/>
      <c r="C21" s="350">
        <f>+'[3]Misc Cargo'!$FQ$12</f>
        <v>90</v>
      </c>
      <c r="D21" s="352">
        <f>+'[3]Misc Cargo'!$FC$12</f>
        <v>40</v>
      </c>
      <c r="E21" s="353">
        <f>(C21-D21)/D21</f>
        <v>1.25</v>
      </c>
      <c r="F21" s="350">
        <f>+SUM('[3]Misc Cargo'!$FN$12:$FQ$12)</f>
        <v>227</v>
      </c>
      <c r="G21" s="352">
        <f>+SUM('[3]Misc Cargo'!$EZ$12:$FC$12)</f>
        <v>169</v>
      </c>
      <c r="H21" s="351">
        <f>(F21-G21)/G21</f>
        <v>0.34319526627218933</v>
      </c>
      <c r="I21" s="353">
        <f>+F21/$F$24</f>
        <v>4.8618547868922682E-2</v>
      </c>
      <c r="J21" s="349" t="s">
        <v>130</v>
      </c>
      <c r="K21" s="363"/>
      <c r="L21" s="350">
        <f>+'[3]Misc Cargo'!$FQ$64</f>
        <v>126960</v>
      </c>
      <c r="M21" s="352">
        <f>+'[3]Misc Cargo'!$FC$64</f>
        <v>87379</v>
      </c>
      <c r="N21" s="353">
        <f>(L21-M21)/M21</f>
        <v>0.45298069330159418</v>
      </c>
      <c r="O21" s="350">
        <f>+SUM('[3]Misc Cargo'!$FN$64:$FQ$64)</f>
        <v>353433</v>
      </c>
      <c r="P21" s="352">
        <f>+SUM('[3]Misc Cargo'!$EZ$64:$FC$64)</f>
        <v>328481</v>
      </c>
      <c r="Q21" s="351">
        <f>(O21-P21)/P21</f>
        <v>7.5961775566927764E-2</v>
      </c>
      <c r="R21" s="353">
        <f>O21/$O$24</f>
        <v>3.0973415924084673E-3</v>
      </c>
      <c r="S21" s="472"/>
    </row>
    <row r="22" spans="1:19" s="7" customFormat="1" ht="14.1" customHeight="1" thickBot="1" x14ac:dyDescent="0.25">
      <c r="A22" s="473"/>
      <c r="B22" s="474"/>
      <c r="C22" s="475"/>
      <c r="D22" s="477"/>
      <c r="E22" s="478"/>
      <c r="F22" s="475"/>
      <c r="G22" s="477"/>
      <c r="H22" s="476"/>
      <c r="I22" s="478"/>
      <c r="J22" s="349"/>
      <c r="K22" s="363"/>
      <c r="L22" s="365"/>
      <c r="M22" s="369"/>
      <c r="N22" s="368"/>
      <c r="O22" s="365"/>
      <c r="P22" s="369"/>
      <c r="Q22" s="366"/>
      <c r="R22" s="474"/>
      <c r="S22" s="472"/>
    </row>
    <row r="23" spans="1:19" ht="13.5" thickBot="1" x14ac:dyDescent="0.25">
      <c r="B23" s="7"/>
      <c r="D23" s="227"/>
      <c r="E23" s="227"/>
      <c r="F23" s="4"/>
      <c r="G23" s="7"/>
      <c r="H23"/>
      <c r="I23"/>
      <c r="J23"/>
      <c r="K23"/>
      <c r="M23"/>
      <c r="N23"/>
    </row>
    <row r="24" spans="1:19" s="479" customFormat="1" ht="15.75" thickBot="1" x14ac:dyDescent="0.3">
      <c r="B24" s="480" t="s">
        <v>205</v>
      </c>
      <c r="C24" s="481">
        <f>+SUM(C5:C21)</f>
        <v>1118</v>
      </c>
      <c r="D24" s="482">
        <f>SUM(D5:D22)</f>
        <v>1072</v>
      </c>
      <c r="E24" s="483">
        <f>(C24-D24)/D24</f>
        <v>4.2910447761194029E-2</v>
      </c>
      <c r="F24" s="481">
        <f>+SUM(F5:F21)</f>
        <v>4669</v>
      </c>
      <c r="G24" s="481">
        <f>+SUM(G5:G21)</f>
        <v>4469</v>
      </c>
      <c r="H24" s="484">
        <f>(F24-G24)/G24</f>
        <v>4.4752741105392707E-2</v>
      </c>
      <c r="I24" s="500"/>
      <c r="K24" s="480" t="s">
        <v>205</v>
      </c>
      <c r="L24" s="481">
        <f>+SUM(L5:L21)</f>
        <v>27605315</v>
      </c>
      <c r="M24" s="485">
        <f>SUM(M5:M22)</f>
        <v>27788753</v>
      </c>
      <c r="N24" s="486">
        <f>(L24-M24)/M24</f>
        <v>-6.601159828942306E-3</v>
      </c>
      <c r="O24" s="481">
        <f>+SUM(O5:O21)</f>
        <v>114108499</v>
      </c>
      <c r="P24" s="481">
        <f>+SUM(P5:P21)</f>
        <v>112065005</v>
      </c>
      <c r="Q24" s="484">
        <f t="shared" ref="Q24" si="8">(O24-P24)/P24</f>
        <v>1.82348985751618E-2</v>
      </c>
      <c r="R24" s="500"/>
    </row>
    <row r="25" spans="1:19" x14ac:dyDescent="0.2">
      <c r="B25" s="7"/>
      <c r="D25" s="3"/>
      <c r="F25"/>
      <c r="G25"/>
      <c r="H25"/>
      <c r="I25"/>
      <c r="J25"/>
      <c r="K25"/>
      <c r="L25"/>
      <c r="M25"/>
      <c r="N25"/>
    </row>
    <row r="26" spans="1:19" x14ac:dyDescent="0.2">
      <c r="B26" s="7"/>
      <c r="D26" s="3"/>
      <c r="F26"/>
      <c r="G26"/>
      <c r="H26"/>
      <c r="I26"/>
      <c r="J26"/>
      <c r="K26"/>
      <c r="L26"/>
      <c r="M26"/>
      <c r="N26"/>
    </row>
    <row r="27" spans="1:19" x14ac:dyDescent="0.2">
      <c r="B27" s="7"/>
      <c r="D27" s="3"/>
      <c r="F27"/>
      <c r="G27"/>
      <c r="H27"/>
      <c r="I27"/>
      <c r="J27"/>
      <c r="K27"/>
      <c r="L27"/>
      <c r="M27"/>
      <c r="N27"/>
    </row>
    <row r="28" spans="1:19" x14ac:dyDescent="0.2">
      <c r="B28" s="7"/>
      <c r="D28" s="3"/>
      <c r="F28"/>
      <c r="G28"/>
      <c r="H28"/>
      <c r="I28"/>
      <c r="J28"/>
      <c r="K28"/>
      <c r="L28"/>
      <c r="M28"/>
      <c r="N28"/>
    </row>
    <row r="29" spans="1:19" x14ac:dyDescent="0.2">
      <c r="B29" s="7"/>
      <c r="D29" s="3"/>
      <c r="F29"/>
      <c r="G29"/>
      <c r="H29"/>
      <c r="I29"/>
      <c r="J29"/>
      <c r="K29"/>
      <c r="L29"/>
      <c r="M29"/>
      <c r="N29"/>
    </row>
    <row r="30" spans="1:19" x14ac:dyDescent="0.2">
      <c r="B30" s="7"/>
      <c r="D30" s="3"/>
      <c r="F30"/>
      <c r="G30"/>
      <c r="H30"/>
      <c r="I30"/>
      <c r="J30"/>
      <c r="K30"/>
      <c r="L30"/>
      <c r="M30"/>
      <c r="N30"/>
    </row>
    <row r="31" spans="1:19" x14ac:dyDescent="0.2">
      <c r="B31" s="7"/>
      <c r="D31" s="3"/>
      <c r="F31"/>
      <c r="G31"/>
      <c r="H31"/>
      <c r="I31"/>
      <c r="J31"/>
      <c r="K31"/>
      <c r="L31"/>
      <c r="M31"/>
      <c r="N31"/>
    </row>
    <row r="32" spans="1:19" x14ac:dyDescent="0.2">
      <c r="B32" s="7"/>
      <c r="D32" s="3"/>
      <c r="F32"/>
      <c r="G32"/>
      <c r="H32"/>
      <c r="I32"/>
      <c r="J32"/>
      <c r="K32"/>
      <c r="L32"/>
      <c r="M32"/>
      <c r="N32"/>
    </row>
    <row r="33" spans="2:14" x14ac:dyDescent="0.2">
      <c r="B33" s="7"/>
      <c r="D33" s="3"/>
      <c r="F33"/>
      <c r="G33"/>
      <c r="H33"/>
      <c r="I33"/>
      <c r="J33"/>
      <c r="K33"/>
      <c r="L33"/>
      <c r="M33"/>
      <c r="N33"/>
    </row>
    <row r="34" spans="2:14" x14ac:dyDescent="0.2">
      <c r="B34" s="7"/>
      <c r="D34" s="3"/>
      <c r="F34"/>
      <c r="G34"/>
      <c r="H34"/>
      <c r="I34"/>
      <c r="J34"/>
      <c r="K34"/>
      <c r="L34"/>
      <c r="M34"/>
      <c r="N34"/>
    </row>
    <row r="35" spans="2:14" x14ac:dyDescent="0.2">
      <c r="B35" s="7"/>
      <c r="D35" s="3"/>
      <c r="F35"/>
      <c r="G35"/>
      <c r="H35"/>
      <c r="I35"/>
      <c r="J35"/>
      <c r="K35"/>
      <c r="L35"/>
      <c r="M35"/>
      <c r="N35"/>
    </row>
    <row r="36" spans="2:14" x14ac:dyDescent="0.2">
      <c r="B36" s="7"/>
      <c r="D36" s="3"/>
      <c r="F36"/>
      <c r="G36"/>
      <c r="H36"/>
      <c r="I36"/>
      <c r="J36"/>
      <c r="K36"/>
      <c r="L36"/>
      <c r="M36"/>
      <c r="N36"/>
    </row>
    <row r="37" spans="2:14" x14ac:dyDescent="0.2">
      <c r="B37" s="7"/>
      <c r="D37" s="3"/>
      <c r="F37"/>
      <c r="G37"/>
      <c r="H37"/>
      <c r="I37"/>
      <c r="J37"/>
      <c r="K37"/>
      <c r="L37"/>
      <c r="M37"/>
      <c r="N37"/>
    </row>
    <row r="38" spans="2:14" x14ac:dyDescent="0.2">
      <c r="B38" s="7"/>
      <c r="D38" s="3"/>
      <c r="F38"/>
      <c r="G38"/>
      <c r="H38"/>
      <c r="I38"/>
      <c r="J38"/>
      <c r="K38"/>
      <c r="L38"/>
      <c r="M38"/>
      <c r="N38"/>
    </row>
    <row r="39" spans="2:14" x14ac:dyDescent="0.2">
      <c r="B39" s="7"/>
      <c r="D39" s="3"/>
      <c r="F39"/>
      <c r="G39"/>
      <c r="H39"/>
      <c r="I39"/>
      <c r="J39"/>
      <c r="K39"/>
      <c r="L39"/>
      <c r="M39"/>
      <c r="N39"/>
    </row>
    <row r="40" spans="2:14" x14ac:dyDescent="0.2">
      <c r="B40" s="7"/>
      <c r="D40" s="3"/>
      <c r="F40"/>
      <c r="G40"/>
      <c r="H40"/>
      <c r="I40"/>
      <c r="J40"/>
      <c r="K40"/>
      <c r="L40"/>
      <c r="M40"/>
      <c r="N40"/>
    </row>
    <row r="41" spans="2:14" x14ac:dyDescent="0.2">
      <c r="B41" s="7"/>
      <c r="D41" s="3"/>
      <c r="F41"/>
      <c r="G41"/>
      <c r="H41"/>
      <c r="I41"/>
      <c r="J41"/>
      <c r="K41"/>
      <c r="L41"/>
      <c r="M41"/>
      <c r="N41"/>
    </row>
    <row r="42" spans="2:14" x14ac:dyDescent="0.2">
      <c r="B42" s="7"/>
      <c r="D42" s="3"/>
      <c r="F42"/>
      <c r="G42"/>
      <c r="H42"/>
      <c r="I42"/>
      <c r="J42"/>
      <c r="K42"/>
      <c r="L42"/>
      <c r="M42"/>
      <c r="N42"/>
    </row>
    <row r="43" spans="2:14" x14ac:dyDescent="0.2">
      <c r="B43" s="7"/>
      <c r="D43" s="3"/>
      <c r="F43"/>
      <c r="G43"/>
      <c r="H43"/>
      <c r="I43"/>
      <c r="J43"/>
      <c r="K43"/>
      <c r="L43"/>
      <c r="M43"/>
      <c r="N43"/>
    </row>
    <row r="44" spans="2:14" x14ac:dyDescent="0.2">
      <c r="B44" s="7"/>
      <c r="D44" s="3"/>
      <c r="F44"/>
      <c r="G44"/>
      <c r="H44"/>
      <c r="I44"/>
      <c r="J44"/>
      <c r="K44"/>
      <c r="L44"/>
      <c r="M44"/>
      <c r="N44"/>
    </row>
    <row r="45" spans="2:14" x14ac:dyDescent="0.2">
      <c r="B45" s="7"/>
      <c r="D45" s="3"/>
      <c r="F45"/>
      <c r="G45"/>
      <c r="H45"/>
      <c r="I45"/>
      <c r="J45"/>
      <c r="K45"/>
      <c r="L45"/>
      <c r="M45"/>
      <c r="N45"/>
    </row>
    <row r="46" spans="2:14" x14ac:dyDescent="0.2">
      <c r="B46" s="7"/>
      <c r="D46" s="3"/>
      <c r="F46"/>
      <c r="G46"/>
      <c r="H46"/>
      <c r="I46"/>
      <c r="J46"/>
      <c r="K46"/>
      <c r="L46"/>
      <c r="M46"/>
      <c r="N46"/>
    </row>
    <row r="47" spans="2:14" x14ac:dyDescent="0.2">
      <c r="B47" s="7"/>
      <c r="D47" s="3"/>
      <c r="F47"/>
      <c r="G47"/>
      <c r="H47"/>
      <c r="I47"/>
      <c r="J47"/>
      <c r="K47"/>
      <c r="L47"/>
      <c r="M47"/>
      <c r="N47"/>
    </row>
    <row r="48" spans="2:14" x14ac:dyDescent="0.2">
      <c r="B48" s="7"/>
      <c r="D48" s="3"/>
      <c r="F48"/>
      <c r="G48"/>
      <c r="H48"/>
      <c r="I48"/>
      <c r="J48"/>
      <c r="K48"/>
      <c r="L48"/>
      <c r="M48"/>
      <c r="N48"/>
    </row>
    <row r="49" spans="2:14" x14ac:dyDescent="0.2">
      <c r="B49" s="7"/>
      <c r="D49" s="3"/>
      <c r="F49"/>
      <c r="G49"/>
      <c r="H49"/>
      <c r="I49"/>
      <c r="J49"/>
      <c r="K49"/>
      <c r="L49"/>
      <c r="M49"/>
      <c r="N49"/>
    </row>
    <row r="50" spans="2:14" x14ac:dyDescent="0.2">
      <c r="B50" s="7"/>
      <c r="D50" s="3"/>
      <c r="F50"/>
      <c r="G50"/>
      <c r="H50"/>
      <c r="I50"/>
      <c r="J50"/>
      <c r="K50"/>
      <c r="L50"/>
      <c r="M50"/>
      <c r="N50"/>
    </row>
    <row r="51" spans="2:14" x14ac:dyDescent="0.2">
      <c r="B51" s="7"/>
      <c r="D51" s="3"/>
      <c r="F51"/>
      <c r="G51"/>
      <c r="H51"/>
      <c r="I51"/>
      <c r="J51"/>
      <c r="K51"/>
      <c r="L51"/>
      <c r="M51"/>
      <c r="N51"/>
    </row>
    <row r="52" spans="2:14" x14ac:dyDescent="0.2">
      <c r="B52" s="7"/>
      <c r="D52" s="3"/>
      <c r="F52"/>
      <c r="G52"/>
      <c r="H52"/>
      <c r="I52"/>
      <c r="J52"/>
      <c r="K52"/>
      <c r="L52"/>
      <c r="M52"/>
      <c r="N52"/>
    </row>
    <row r="53" spans="2:14" x14ac:dyDescent="0.2">
      <c r="B53" s="7"/>
      <c r="D53" s="3"/>
      <c r="F53"/>
      <c r="G53"/>
      <c r="H53"/>
      <c r="I53"/>
      <c r="J53"/>
      <c r="K53"/>
      <c r="L53"/>
      <c r="M53"/>
      <c r="N53"/>
    </row>
    <row r="54" spans="2:14" x14ac:dyDescent="0.2">
      <c r="B54" s="7"/>
      <c r="D54" s="3"/>
      <c r="F54"/>
      <c r="G54"/>
      <c r="H54"/>
      <c r="I54"/>
      <c r="J54"/>
      <c r="K54"/>
      <c r="L54"/>
      <c r="M54"/>
      <c r="N54"/>
    </row>
    <row r="55" spans="2:14" x14ac:dyDescent="0.2">
      <c r="B55" s="7"/>
      <c r="D55" s="3"/>
      <c r="F55"/>
      <c r="G55"/>
      <c r="H55"/>
      <c r="I55"/>
      <c r="J55"/>
      <c r="K55"/>
      <c r="L55"/>
      <c r="M55"/>
      <c r="N55"/>
    </row>
    <row r="56" spans="2:14" x14ac:dyDescent="0.2">
      <c r="B56" s="7"/>
      <c r="D56" s="3"/>
      <c r="F56"/>
      <c r="G56"/>
      <c r="H56"/>
      <c r="I56"/>
      <c r="J56"/>
      <c r="K56"/>
      <c r="L56"/>
      <c r="M56"/>
      <c r="N56"/>
    </row>
    <row r="57" spans="2:14" x14ac:dyDescent="0.2">
      <c r="B57" s="7"/>
      <c r="D57" s="3"/>
      <c r="F57"/>
      <c r="G57"/>
      <c r="H57"/>
      <c r="I57"/>
      <c r="J57"/>
      <c r="K57"/>
      <c r="L57"/>
      <c r="M57"/>
      <c r="N57"/>
    </row>
    <row r="58" spans="2:14" x14ac:dyDescent="0.2">
      <c r="B58" s="7"/>
      <c r="D58" s="3"/>
      <c r="F58"/>
      <c r="G58"/>
      <c r="H58"/>
      <c r="I58"/>
      <c r="J58"/>
      <c r="K58"/>
      <c r="L58"/>
      <c r="M58"/>
      <c r="N58"/>
    </row>
    <row r="59" spans="2:14" x14ac:dyDescent="0.2">
      <c r="B59" s="7"/>
      <c r="D59" s="3"/>
      <c r="F59"/>
      <c r="G59"/>
      <c r="H59"/>
      <c r="I59"/>
      <c r="J59"/>
      <c r="K59"/>
      <c r="L59"/>
      <c r="M59"/>
      <c r="N59"/>
    </row>
    <row r="60" spans="2:14" x14ac:dyDescent="0.2">
      <c r="B60" s="7"/>
      <c r="D60" s="3"/>
      <c r="F60"/>
      <c r="G60"/>
      <c r="H60"/>
      <c r="I60"/>
      <c r="J60"/>
      <c r="K60"/>
      <c r="L60"/>
      <c r="M60"/>
      <c r="N60"/>
    </row>
    <row r="61" spans="2:14" x14ac:dyDescent="0.2">
      <c r="B61" s="7"/>
      <c r="D61" s="3"/>
      <c r="F61"/>
      <c r="G61"/>
      <c r="H61"/>
      <c r="I61"/>
      <c r="J61"/>
      <c r="K61"/>
      <c r="L61"/>
      <c r="M61"/>
      <c r="N61"/>
    </row>
    <row r="62" spans="2:14" x14ac:dyDescent="0.2">
      <c r="B62" s="7"/>
      <c r="D62" s="3"/>
      <c r="F62"/>
      <c r="G62"/>
      <c r="H62"/>
      <c r="I62"/>
      <c r="J62"/>
      <c r="K62"/>
      <c r="L62"/>
      <c r="M62"/>
      <c r="N62"/>
    </row>
    <row r="63" spans="2:14" x14ac:dyDescent="0.2">
      <c r="B63" s="7"/>
      <c r="D63" s="3"/>
      <c r="F63"/>
      <c r="G63"/>
      <c r="H63"/>
      <c r="I63"/>
      <c r="J63"/>
      <c r="K63"/>
      <c r="L63"/>
      <c r="M63"/>
      <c r="N63"/>
    </row>
    <row r="64" spans="2:14" x14ac:dyDescent="0.2">
      <c r="B64" s="7"/>
      <c r="D64" s="3"/>
      <c r="F64"/>
      <c r="G64"/>
      <c r="H64"/>
      <c r="I64"/>
      <c r="J64"/>
      <c r="K64"/>
      <c r="L64"/>
      <c r="M64"/>
      <c r="N64"/>
    </row>
    <row r="65" spans="2:14" x14ac:dyDescent="0.2">
      <c r="B65" s="7"/>
      <c r="D65" s="3"/>
      <c r="F65"/>
      <c r="G65"/>
      <c r="H65"/>
      <c r="I65"/>
      <c r="J65"/>
      <c r="K65"/>
      <c r="L65"/>
      <c r="M65"/>
      <c r="N65"/>
    </row>
    <row r="66" spans="2:14" x14ac:dyDescent="0.2">
      <c r="B66" s="7"/>
      <c r="D66" s="3"/>
      <c r="F66"/>
      <c r="G66"/>
      <c r="H66"/>
      <c r="I66"/>
      <c r="J66"/>
      <c r="K66"/>
      <c r="L66"/>
      <c r="M66"/>
      <c r="N66"/>
    </row>
    <row r="67" spans="2:14" x14ac:dyDescent="0.2">
      <c r="B67" s="7"/>
      <c r="D67" s="3"/>
      <c r="F67"/>
      <c r="G67"/>
      <c r="H67"/>
      <c r="I67"/>
      <c r="J67"/>
      <c r="K67"/>
      <c r="L67"/>
      <c r="M67"/>
      <c r="N67"/>
    </row>
    <row r="68" spans="2:14" x14ac:dyDescent="0.2">
      <c r="B68" s="7"/>
      <c r="D68" s="3"/>
      <c r="F68"/>
      <c r="G68"/>
      <c r="H68"/>
      <c r="I68"/>
      <c r="J68"/>
      <c r="K68"/>
      <c r="L68"/>
      <c r="M68"/>
      <c r="N68"/>
    </row>
    <row r="69" spans="2:14" x14ac:dyDescent="0.2">
      <c r="B69" s="7"/>
      <c r="D69" s="3"/>
      <c r="F69"/>
      <c r="G69"/>
      <c r="H69"/>
      <c r="I69"/>
      <c r="J69"/>
      <c r="K69"/>
      <c r="L69"/>
      <c r="M69"/>
      <c r="N69"/>
    </row>
    <row r="70" spans="2:14" x14ac:dyDescent="0.2">
      <c r="B70" s="7"/>
      <c r="D70" s="3"/>
      <c r="F70"/>
      <c r="G70"/>
      <c r="H70"/>
      <c r="I70"/>
      <c r="J70"/>
      <c r="K70"/>
      <c r="L70"/>
      <c r="M70"/>
      <c r="N70"/>
    </row>
    <row r="71" spans="2:14" x14ac:dyDescent="0.2">
      <c r="D71" s="3"/>
      <c r="F71"/>
      <c r="G71"/>
      <c r="H71"/>
      <c r="I71"/>
      <c r="J71"/>
      <c r="K71"/>
      <c r="L71"/>
      <c r="M71"/>
      <c r="N71"/>
    </row>
    <row r="72" spans="2:14" x14ac:dyDescent="0.2">
      <c r="D72" s="3"/>
      <c r="F72"/>
      <c r="G72"/>
      <c r="H72"/>
      <c r="I72"/>
      <c r="J72"/>
      <c r="K72"/>
      <c r="L72"/>
      <c r="M72"/>
      <c r="N72"/>
    </row>
    <row r="73" spans="2:14" x14ac:dyDescent="0.2">
      <c r="D73" s="3"/>
      <c r="F73"/>
      <c r="G73"/>
      <c r="H73"/>
      <c r="I73"/>
      <c r="J73"/>
      <c r="K73"/>
      <c r="L73"/>
      <c r="M73"/>
      <c r="N73"/>
    </row>
    <row r="74" spans="2:14" x14ac:dyDescent="0.2">
      <c r="D74" s="3"/>
      <c r="F74"/>
      <c r="G74"/>
      <c r="H74"/>
      <c r="I74"/>
      <c r="J74"/>
      <c r="K74"/>
      <c r="L74"/>
      <c r="M74"/>
      <c r="N74"/>
    </row>
    <row r="75" spans="2:14" x14ac:dyDescent="0.2">
      <c r="D75" s="3"/>
      <c r="F75"/>
      <c r="G75"/>
      <c r="H75"/>
      <c r="I75"/>
      <c r="J75"/>
      <c r="K75"/>
      <c r="L75"/>
      <c r="M75"/>
      <c r="N75"/>
    </row>
    <row r="76" spans="2:14" x14ac:dyDescent="0.2">
      <c r="D76" s="3"/>
      <c r="F76"/>
      <c r="G76"/>
      <c r="H76"/>
      <c r="I76"/>
      <c r="J76"/>
      <c r="K76"/>
      <c r="L76"/>
      <c r="M76"/>
      <c r="N76"/>
    </row>
    <row r="77" spans="2:14" x14ac:dyDescent="0.2">
      <c r="D77" s="3"/>
      <c r="F77"/>
      <c r="G77"/>
      <c r="H77"/>
      <c r="I77"/>
      <c r="J77"/>
      <c r="K77"/>
      <c r="L77"/>
      <c r="M77"/>
      <c r="N77"/>
    </row>
    <row r="78" spans="2:14" x14ac:dyDescent="0.2">
      <c r="D78" s="3"/>
      <c r="F78"/>
      <c r="G78"/>
      <c r="H78"/>
      <c r="I78"/>
      <c r="J78"/>
      <c r="K78"/>
      <c r="L78"/>
      <c r="M78"/>
      <c r="N78"/>
    </row>
    <row r="79" spans="2:14" x14ac:dyDescent="0.2">
      <c r="D79" s="3"/>
      <c r="F79"/>
      <c r="G79"/>
      <c r="H79"/>
      <c r="I79"/>
      <c r="J79"/>
      <c r="K79"/>
      <c r="L79"/>
      <c r="M79"/>
      <c r="N79"/>
    </row>
    <row r="80" spans="2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E94" s="37"/>
      <c r="F94" s="231"/>
      <c r="G94" s="5"/>
      <c r="H94" s="37"/>
      <c r="I94" s="37"/>
      <c r="K94" s="11"/>
    </row>
    <row r="95" spans="4:14" x14ac:dyDescent="0.2">
      <c r="E95" s="37"/>
      <c r="F95" s="231"/>
      <c r="G95" s="5"/>
      <c r="H95" s="37"/>
      <c r="I95" s="37"/>
      <c r="K95" s="11"/>
    </row>
    <row r="96" spans="4:14" x14ac:dyDescent="0.2">
      <c r="E96" s="37"/>
      <c r="F96" s="231"/>
      <c r="G96" s="5"/>
      <c r="H96" s="37"/>
      <c r="I96" s="37"/>
      <c r="K96" s="11"/>
    </row>
    <row r="97" spans="5:11" x14ac:dyDescent="0.2">
      <c r="E97" s="37"/>
      <c r="F97" s="231"/>
      <c r="G97" s="5"/>
      <c r="H97" s="37"/>
      <c r="I97" s="37"/>
      <c r="K97" s="11"/>
    </row>
    <row r="98" spans="5:11" x14ac:dyDescent="0.2">
      <c r="E98" s="37"/>
      <c r="F98" s="231"/>
      <c r="G98" s="5"/>
      <c r="H98" s="37"/>
      <c r="I98" s="37"/>
      <c r="K98" s="11"/>
    </row>
    <row r="99" spans="5:11" x14ac:dyDescent="0.2">
      <c r="E99" s="37"/>
      <c r="F99" s="231"/>
      <c r="G99" s="5"/>
      <c r="H99" s="37"/>
      <c r="I99" s="37"/>
      <c r="K99" s="11"/>
    </row>
    <row r="100" spans="5:11" x14ac:dyDescent="0.2">
      <c r="E100" s="37"/>
      <c r="F100" s="231"/>
      <c r="G100" s="5"/>
      <c r="H100" s="37"/>
      <c r="I100" s="37"/>
      <c r="K100" s="11"/>
    </row>
    <row r="101" spans="5:11" x14ac:dyDescent="0.2">
      <c r="E101" s="37"/>
      <c r="F101" s="231"/>
      <c r="G101" s="5"/>
      <c r="H101" s="37"/>
      <c r="I101" s="37"/>
      <c r="K101" s="11"/>
    </row>
    <row r="102" spans="5:11" x14ac:dyDescent="0.2">
      <c r="E102" s="37"/>
      <c r="F102" s="231"/>
      <c r="G102" s="5"/>
      <c r="H102" s="37"/>
      <c r="I102" s="37"/>
      <c r="K102" s="11"/>
    </row>
    <row r="103" spans="5:11" x14ac:dyDescent="0.2">
      <c r="E103" s="37"/>
      <c r="F103" s="231"/>
      <c r="G103" s="5"/>
      <c r="H103" s="37"/>
      <c r="I103" s="37"/>
      <c r="K103" s="11"/>
    </row>
    <row r="104" spans="5:11" x14ac:dyDescent="0.2">
      <c r="E104" s="37"/>
      <c r="F104" s="231"/>
      <c r="G104" s="5"/>
      <c r="H104" s="37"/>
      <c r="I104" s="37"/>
      <c r="K104" s="11"/>
    </row>
    <row r="105" spans="5:11" x14ac:dyDescent="0.2">
      <c r="E105" s="37"/>
      <c r="F105" s="231"/>
      <c r="G105" s="5"/>
      <c r="H105" s="37"/>
      <c r="I105" s="37"/>
      <c r="K105" s="11"/>
    </row>
    <row r="106" spans="5:11" x14ac:dyDescent="0.2">
      <c r="E106" s="37"/>
      <c r="F106" s="231"/>
      <c r="G106" s="5"/>
      <c r="H106" s="37"/>
      <c r="I106" s="37"/>
      <c r="K106" s="11"/>
    </row>
    <row r="107" spans="5:11" x14ac:dyDescent="0.2">
      <c r="E107" s="37"/>
      <c r="F107" s="231"/>
      <c r="G107" s="5"/>
      <c r="H107" s="37"/>
      <c r="I107" s="37"/>
      <c r="K107" s="11"/>
    </row>
    <row r="108" spans="5:11" x14ac:dyDescent="0.2">
      <c r="E108" s="37"/>
      <c r="F108" s="231"/>
      <c r="G108" s="5"/>
      <c r="H108" s="37"/>
      <c r="I108" s="37"/>
      <c r="K108" s="11"/>
    </row>
    <row r="109" spans="5:11" x14ac:dyDescent="0.2">
      <c r="E109" s="37"/>
      <c r="F109" s="231"/>
      <c r="G109" s="5"/>
      <c r="H109" s="37"/>
      <c r="I109" s="37"/>
      <c r="K109" s="11"/>
    </row>
    <row r="110" spans="5:11" x14ac:dyDescent="0.2">
      <c r="E110" s="37"/>
      <c r="F110" s="231"/>
      <c r="G110" s="5"/>
      <c r="H110" s="37"/>
      <c r="I110" s="37"/>
      <c r="K110" s="11"/>
    </row>
    <row r="111" spans="5:11" x14ac:dyDescent="0.2">
      <c r="E111" s="37"/>
      <c r="F111" s="231"/>
      <c r="G111" s="5"/>
      <c r="H111" s="37"/>
      <c r="I111" s="37"/>
      <c r="K111" s="11"/>
    </row>
    <row r="112" spans="5:11" x14ac:dyDescent="0.2">
      <c r="E112" s="37"/>
      <c r="F112" s="231"/>
      <c r="G112" s="5"/>
      <c r="H112" s="37"/>
      <c r="I112" s="37"/>
      <c r="K112" s="11"/>
    </row>
    <row r="113" spans="5:11" x14ac:dyDescent="0.2">
      <c r="E113" s="37"/>
      <c r="F113" s="231"/>
      <c r="G113" s="5"/>
      <c r="H113" s="37"/>
      <c r="I113" s="37"/>
      <c r="K113" s="11"/>
    </row>
    <row r="114" spans="5:11" x14ac:dyDescent="0.2">
      <c r="E114" s="37"/>
      <c r="F114" s="231"/>
      <c r="G114" s="5"/>
      <c r="H114" s="37"/>
      <c r="I114" s="37"/>
      <c r="K114" s="11"/>
    </row>
    <row r="115" spans="5:11" x14ac:dyDescent="0.2">
      <c r="E115" s="37"/>
      <c r="F115" s="231"/>
      <c r="G115" s="5"/>
      <c r="H115" s="37"/>
      <c r="I115" s="37"/>
      <c r="K115" s="11"/>
    </row>
    <row r="116" spans="5:11" x14ac:dyDescent="0.2">
      <c r="E116" s="37"/>
      <c r="F116" s="231"/>
      <c r="G116" s="5"/>
      <c r="H116" s="37"/>
      <c r="I116" s="37"/>
      <c r="K116" s="11"/>
    </row>
    <row r="117" spans="5:11" x14ac:dyDescent="0.2">
      <c r="E117" s="37"/>
      <c r="F117" s="231"/>
      <c r="G117" s="5"/>
      <c r="H117" s="37"/>
      <c r="I117" s="37"/>
      <c r="K117" s="11"/>
    </row>
    <row r="118" spans="5:11" x14ac:dyDescent="0.2">
      <c r="E118" s="37"/>
      <c r="F118" s="231"/>
      <c r="G118" s="5"/>
      <c r="H118" s="37"/>
      <c r="I118" s="37"/>
      <c r="K118" s="11"/>
    </row>
    <row r="119" spans="5:11" x14ac:dyDescent="0.2">
      <c r="E119" s="37"/>
      <c r="F119" s="231"/>
      <c r="G119" s="5"/>
      <c r="H119" s="37"/>
      <c r="I119" s="37"/>
      <c r="K119" s="11"/>
    </row>
    <row r="120" spans="5:11" x14ac:dyDescent="0.2">
      <c r="E120" s="37"/>
      <c r="F120" s="231"/>
      <c r="G120" s="5"/>
      <c r="H120" s="37"/>
      <c r="I120" s="37"/>
      <c r="K120" s="11"/>
    </row>
    <row r="121" spans="5:11" x14ac:dyDescent="0.2">
      <c r="E121" s="37"/>
      <c r="F121" s="231"/>
      <c r="G121" s="5"/>
      <c r="H121" s="37"/>
      <c r="I121" s="37"/>
      <c r="K121" s="11"/>
    </row>
    <row r="122" spans="5:11" x14ac:dyDescent="0.2">
      <c r="E122" s="37"/>
      <c r="F122" s="231"/>
      <c r="G122" s="5"/>
      <c r="H122" s="37"/>
      <c r="I122" s="37"/>
      <c r="K122" s="11"/>
    </row>
    <row r="123" spans="5:11" x14ac:dyDescent="0.2">
      <c r="E123" s="37"/>
      <c r="F123" s="231"/>
      <c r="G123" s="5"/>
      <c r="H123" s="37"/>
      <c r="I123" s="37"/>
      <c r="K123" s="11"/>
    </row>
    <row r="124" spans="5:11" x14ac:dyDescent="0.2">
      <c r="E124" s="37"/>
      <c r="F124" s="231"/>
      <c r="G124" s="5"/>
      <c r="H124" s="37"/>
      <c r="I124" s="37"/>
      <c r="K124" s="11"/>
    </row>
    <row r="125" spans="5:11" x14ac:dyDescent="0.2">
      <c r="E125" s="37"/>
      <c r="F125" s="231"/>
      <c r="G125" s="5"/>
      <c r="H125" s="37"/>
      <c r="I125" s="37"/>
      <c r="K125" s="11"/>
    </row>
    <row r="126" spans="5:11" x14ac:dyDescent="0.2">
      <c r="E126" s="37"/>
      <c r="F126" s="231"/>
      <c r="G126" s="5"/>
      <c r="H126" s="37"/>
      <c r="I126" s="37"/>
      <c r="K126" s="11"/>
    </row>
    <row r="127" spans="5:11" x14ac:dyDescent="0.2">
      <c r="E127" s="37"/>
      <c r="F127" s="231"/>
      <c r="G127" s="5"/>
      <c r="H127" s="37"/>
      <c r="I127" s="37"/>
      <c r="K127" s="11"/>
    </row>
    <row r="128" spans="5:11" x14ac:dyDescent="0.2">
      <c r="E128" s="37"/>
      <c r="F128" s="231"/>
      <c r="G128" s="5"/>
      <c r="H128" s="37"/>
      <c r="I128" s="37"/>
      <c r="K128" s="11"/>
    </row>
    <row r="129" spans="5:11" x14ac:dyDescent="0.2">
      <c r="E129" s="37"/>
      <c r="F129" s="231"/>
      <c r="G129" s="5"/>
      <c r="H129" s="37"/>
      <c r="I129" s="37"/>
      <c r="K129" s="11"/>
    </row>
    <row r="130" spans="5:11" x14ac:dyDescent="0.2">
      <c r="E130" s="37"/>
      <c r="F130" s="231"/>
      <c r="G130" s="5"/>
      <c r="H130" s="37"/>
      <c r="I130" s="37"/>
      <c r="K130" s="11"/>
    </row>
    <row r="131" spans="5:11" x14ac:dyDescent="0.2">
      <c r="E131" s="37"/>
      <c r="F131" s="231"/>
      <c r="G131" s="5"/>
      <c r="H131" s="37"/>
      <c r="I131" s="37"/>
      <c r="K131" s="11"/>
    </row>
    <row r="132" spans="5:11" x14ac:dyDescent="0.2">
      <c r="E132" s="37"/>
      <c r="F132" s="231"/>
      <c r="G132" s="5"/>
      <c r="H132" s="37"/>
      <c r="I132" s="37"/>
      <c r="K132" s="11"/>
    </row>
    <row r="133" spans="5:11" x14ac:dyDescent="0.2">
      <c r="E133" s="37"/>
      <c r="F133" s="231"/>
      <c r="G133" s="5"/>
      <c r="H133" s="37"/>
      <c r="I133" s="37"/>
      <c r="K133" s="11"/>
    </row>
    <row r="134" spans="5:11" x14ac:dyDescent="0.2">
      <c r="E134" s="37"/>
      <c r="F134" s="231"/>
      <c r="G134" s="5"/>
      <c r="H134" s="37"/>
      <c r="I134" s="37"/>
      <c r="K134" s="11"/>
    </row>
    <row r="135" spans="5:11" x14ac:dyDescent="0.2">
      <c r="E135" s="37"/>
      <c r="F135" s="231"/>
      <c r="G135" s="5"/>
      <c r="H135" s="37"/>
      <c r="I135" s="37"/>
      <c r="K135" s="11"/>
    </row>
    <row r="136" spans="5:11" x14ac:dyDescent="0.2">
      <c r="E136" s="37"/>
      <c r="F136" s="231"/>
      <c r="G136" s="5"/>
      <c r="H136" s="37"/>
      <c r="I136" s="37"/>
      <c r="K136" s="11"/>
    </row>
    <row r="137" spans="5:11" x14ac:dyDescent="0.2">
      <c r="E137" s="37"/>
      <c r="F137" s="231"/>
      <c r="G137" s="5"/>
      <c r="H137" s="37"/>
      <c r="I137" s="37"/>
      <c r="K137" s="11"/>
    </row>
    <row r="138" spans="5:11" x14ac:dyDescent="0.2">
      <c r="E138" s="37"/>
      <c r="F138" s="231"/>
      <c r="G138" s="5"/>
      <c r="H138" s="37"/>
      <c r="I138" s="37"/>
      <c r="K138" s="11"/>
    </row>
    <row r="139" spans="5:11" x14ac:dyDescent="0.2">
      <c r="E139" s="37"/>
      <c r="F139" s="231"/>
      <c r="G139" s="5"/>
      <c r="H139" s="37"/>
      <c r="I139" s="37"/>
      <c r="K139" s="11"/>
    </row>
    <row r="140" spans="5:11" x14ac:dyDescent="0.2">
      <c r="E140" s="37"/>
      <c r="F140" s="231"/>
      <c r="G140" s="5"/>
      <c r="H140" s="37"/>
      <c r="I140" s="37"/>
      <c r="K140" s="11"/>
    </row>
    <row r="141" spans="5:11" x14ac:dyDescent="0.2">
      <c r="E141" s="37"/>
      <c r="F141" s="231"/>
      <c r="G141" s="5"/>
      <c r="H141" s="37"/>
      <c r="I141" s="37"/>
      <c r="K141" s="11"/>
    </row>
    <row r="142" spans="5:11" x14ac:dyDescent="0.2">
      <c r="E142" s="37"/>
      <c r="F142" s="231"/>
      <c r="G142" s="5"/>
      <c r="H142" s="37"/>
      <c r="I142" s="37"/>
      <c r="K142" s="11"/>
    </row>
    <row r="143" spans="5:11" x14ac:dyDescent="0.2">
      <c r="E143" s="37"/>
      <c r="F143" s="231"/>
      <c r="G143" s="5"/>
      <c r="H143" s="37"/>
      <c r="I143" s="37"/>
      <c r="K143" s="11"/>
    </row>
    <row r="144" spans="5:11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F1147" s="231"/>
      <c r="G1147" s="5"/>
      <c r="H1147" s="37"/>
      <c r="I1147" s="37"/>
      <c r="K1147" s="11"/>
    </row>
    <row r="1148" spans="5:11" x14ac:dyDescent="0.2">
      <c r="F1148" s="231"/>
      <c r="G1148" s="5"/>
      <c r="H1148" s="37"/>
      <c r="I1148" s="37"/>
      <c r="K1148" s="11"/>
    </row>
    <row r="1149" spans="5:11" x14ac:dyDescent="0.2">
      <c r="F1149" s="231"/>
      <c r="G1149" s="5"/>
      <c r="H1149" s="37"/>
      <c r="I1149" s="37"/>
      <c r="K1149" s="11"/>
    </row>
    <row r="1150" spans="5:11" x14ac:dyDescent="0.2">
      <c r="F1150" s="231"/>
      <c r="G1150" s="5"/>
      <c r="H1150" s="37"/>
      <c r="I1150" s="37"/>
      <c r="K1150" s="11"/>
    </row>
    <row r="1151" spans="5:11" x14ac:dyDescent="0.2">
      <c r="F1151" s="231"/>
      <c r="G1151" s="5"/>
      <c r="H1151" s="37"/>
      <c r="I1151" s="37"/>
      <c r="K1151" s="11"/>
    </row>
    <row r="1152" spans="5:11" x14ac:dyDescent="0.2">
      <c r="F1152" s="231"/>
      <c r="G1152" s="5"/>
      <c r="H1152" s="37"/>
      <c r="I1152" s="37"/>
      <c r="K1152" s="11"/>
    </row>
    <row r="1153" spans="6:11" x14ac:dyDescent="0.2">
      <c r="F1153" s="231"/>
      <c r="G1153" s="5"/>
      <c r="H1153" s="37"/>
      <c r="I1153" s="37"/>
      <c r="K1153" s="11"/>
    </row>
    <row r="1154" spans="6:11" x14ac:dyDescent="0.2">
      <c r="F1154" s="231"/>
      <c r="G1154" s="5"/>
      <c r="H1154" s="37"/>
      <c r="I1154" s="37"/>
      <c r="K1154" s="11"/>
    </row>
    <row r="1155" spans="6:11" x14ac:dyDescent="0.2">
      <c r="F1155" s="231"/>
      <c r="G1155" s="5"/>
      <c r="H1155" s="37"/>
      <c r="I1155" s="37"/>
      <c r="K1155" s="11"/>
    </row>
    <row r="1156" spans="6:11" x14ac:dyDescent="0.2">
      <c r="F1156" s="231"/>
      <c r="G1156" s="5"/>
      <c r="H1156" s="37"/>
      <c r="I1156" s="37"/>
      <c r="K1156" s="11"/>
    </row>
    <row r="1157" spans="6:11" x14ac:dyDescent="0.2">
      <c r="F1157" s="231"/>
      <c r="G1157" s="5"/>
      <c r="H1157" s="37"/>
      <c r="I1157" s="37"/>
      <c r="K1157" s="11"/>
    </row>
    <row r="1158" spans="6:11" x14ac:dyDescent="0.2">
      <c r="F1158" s="231"/>
      <c r="G1158" s="5"/>
      <c r="H1158" s="37"/>
      <c r="I1158" s="37"/>
      <c r="K1158" s="11"/>
    </row>
    <row r="1159" spans="6:11" x14ac:dyDescent="0.2">
      <c r="F1159" s="231"/>
      <c r="G1159" s="5"/>
      <c r="H1159" s="37"/>
      <c r="I1159" s="37"/>
      <c r="K1159" s="11"/>
    </row>
    <row r="1160" spans="6:11" x14ac:dyDescent="0.2">
      <c r="F1160" s="231"/>
      <c r="G1160" s="5"/>
      <c r="H1160" s="37"/>
      <c r="I1160" s="37"/>
      <c r="K1160" s="11"/>
    </row>
    <row r="1161" spans="6:11" x14ac:dyDescent="0.2">
      <c r="F1161" s="231"/>
      <c r="G1161" s="5"/>
      <c r="H1161" s="37"/>
      <c r="I1161" s="37"/>
      <c r="K1161" s="11"/>
    </row>
    <row r="1162" spans="6:11" x14ac:dyDescent="0.2">
      <c r="F1162" s="231"/>
      <c r="G1162" s="5"/>
      <c r="H1162" s="37"/>
      <c r="I1162" s="37"/>
      <c r="K1162" s="11"/>
    </row>
    <row r="1163" spans="6:11" x14ac:dyDescent="0.2">
      <c r="F1163" s="231"/>
      <c r="G1163" s="5"/>
      <c r="H1163" s="37"/>
      <c r="I1163" s="37"/>
      <c r="K1163" s="11"/>
    </row>
    <row r="1164" spans="6:11" x14ac:dyDescent="0.2">
      <c r="F1164" s="231"/>
      <c r="G1164" s="5"/>
      <c r="H1164" s="37"/>
      <c r="I1164" s="37"/>
      <c r="K1164" s="11"/>
    </row>
    <row r="1165" spans="6:11" x14ac:dyDescent="0.2">
      <c r="F1165" s="231"/>
      <c r="G1165" s="5"/>
      <c r="H1165" s="37"/>
      <c r="I1165" s="37"/>
      <c r="K1165" s="11"/>
    </row>
    <row r="1166" spans="6:11" x14ac:dyDescent="0.2">
      <c r="F1166" s="231"/>
      <c r="G1166" s="5"/>
      <c r="H1166" s="37"/>
      <c r="I1166" s="37"/>
      <c r="K1166" s="11"/>
    </row>
    <row r="1167" spans="6:11" x14ac:dyDescent="0.2">
      <c r="F1167" s="231"/>
      <c r="G1167" s="5"/>
      <c r="H1167" s="37"/>
      <c r="I1167" s="37"/>
      <c r="K1167" s="11"/>
    </row>
    <row r="1168" spans="6:11" x14ac:dyDescent="0.2">
      <c r="F1168" s="231"/>
      <c r="G1168" s="5"/>
      <c r="H1168" s="37"/>
      <c r="I1168" s="37"/>
      <c r="K1168" s="11"/>
    </row>
    <row r="1169" spans="6:11" x14ac:dyDescent="0.2">
      <c r="F1169" s="231"/>
      <c r="G1169" s="5"/>
      <c r="H1169" s="37"/>
      <c r="I1169" s="37"/>
      <c r="K1169" s="11"/>
    </row>
    <row r="1170" spans="6:11" x14ac:dyDescent="0.2">
      <c r="F1170" s="231"/>
      <c r="G1170" s="5"/>
      <c r="H1170" s="37"/>
      <c r="I1170" s="37"/>
      <c r="K1170" s="11"/>
    </row>
    <row r="1171" spans="6:11" x14ac:dyDescent="0.2">
      <c r="F1171" s="231"/>
      <c r="G1171" s="5"/>
      <c r="H1171" s="37"/>
      <c r="I1171" s="37"/>
      <c r="K1171" s="11"/>
    </row>
    <row r="1172" spans="6:11" x14ac:dyDescent="0.2">
      <c r="F1172" s="231"/>
      <c r="G1172" s="5"/>
      <c r="H1172" s="37"/>
      <c r="I1172" s="37"/>
      <c r="K1172" s="11"/>
    </row>
    <row r="1173" spans="6:11" x14ac:dyDescent="0.2">
      <c r="F1173" s="231"/>
      <c r="G1173" s="5"/>
      <c r="H1173" s="37"/>
      <c r="I1173" s="37"/>
      <c r="K1173" s="11"/>
    </row>
    <row r="1174" spans="6:11" x14ac:dyDescent="0.2">
      <c r="F1174" s="231"/>
      <c r="G1174" s="5"/>
      <c r="H1174" s="37"/>
      <c r="I1174" s="37"/>
      <c r="K1174" s="11"/>
    </row>
    <row r="1175" spans="6:11" x14ac:dyDescent="0.2">
      <c r="F1175" s="231"/>
      <c r="G1175" s="5"/>
      <c r="H1175" s="37"/>
      <c r="I1175" s="37"/>
      <c r="K1175" s="11"/>
    </row>
    <row r="1176" spans="6:11" x14ac:dyDescent="0.2">
      <c r="F1176" s="231"/>
      <c r="G1176" s="5"/>
      <c r="H1176" s="37"/>
      <c r="I1176" s="37"/>
      <c r="K1176" s="11"/>
    </row>
    <row r="1177" spans="6:11" x14ac:dyDescent="0.2">
      <c r="F1177" s="231"/>
      <c r="G1177" s="5"/>
      <c r="H1177" s="37"/>
      <c r="I1177" s="37"/>
      <c r="K1177" s="11"/>
    </row>
    <row r="1178" spans="6:11" x14ac:dyDescent="0.2">
      <c r="F1178" s="231"/>
      <c r="G1178" s="5"/>
      <c r="H1178" s="37"/>
      <c r="I1178" s="37"/>
      <c r="K1178" s="11"/>
    </row>
    <row r="1179" spans="6:11" x14ac:dyDescent="0.2">
      <c r="F1179" s="231"/>
      <c r="G1179" s="5"/>
      <c r="H1179" s="37"/>
      <c r="I1179" s="37"/>
      <c r="K1179" s="11"/>
    </row>
    <row r="1180" spans="6:11" x14ac:dyDescent="0.2">
      <c r="F1180" s="231"/>
      <c r="G1180" s="5"/>
      <c r="H1180" s="37"/>
      <c r="I1180" s="37"/>
      <c r="K1180" s="11"/>
    </row>
    <row r="1181" spans="6:11" x14ac:dyDescent="0.2">
      <c r="F1181" s="231"/>
      <c r="G1181" s="5"/>
      <c r="H1181" s="37"/>
      <c r="I1181" s="37"/>
      <c r="K1181" s="11"/>
    </row>
    <row r="1182" spans="6:11" x14ac:dyDescent="0.2">
      <c r="F1182" s="231"/>
      <c r="G1182" s="5"/>
      <c r="H1182" s="37"/>
      <c r="I1182" s="37"/>
      <c r="K1182" s="11"/>
    </row>
    <row r="1183" spans="6:11" x14ac:dyDescent="0.2">
      <c r="F1183" s="231"/>
      <c r="G1183" s="5"/>
      <c r="H1183" s="37"/>
      <c r="I1183" s="37"/>
      <c r="K1183" s="11"/>
    </row>
    <row r="1184" spans="6:11" x14ac:dyDescent="0.2">
      <c r="F1184" s="231"/>
      <c r="G1184" s="5"/>
      <c r="H1184" s="37"/>
      <c r="I1184" s="37"/>
      <c r="K1184" s="11"/>
    </row>
    <row r="1185" spans="6:11" x14ac:dyDescent="0.2">
      <c r="F1185" s="231"/>
      <c r="G1185" s="5"/>
      <c r="H1185" s="37"/>
      <c r="I1185" s="37"/>
      <c r="K1185" s="11"/>
    </row>
    <row r="1186" spans="6:11" x14ac:dyDescent="0.2">
      <c r="F1186" s="231"/>
      <c r="G1186" s="5"/>
      <c r="H1186" s="37"/>
      <c r="I1186" s="37"/>
      <c r="K1186" s="11"/>
    </row>
    <row r="1187" spans="6:11" x14ac:dyDescent="0.2">
      <c r="F1187" s="231"/>
      <c r="G1187" s="5"/>
      <c r="H1187" s="37"/>
      <c r="I1187" s="37"/>
      <c r="K1187" s="11"/>
    </row>
    <row r="1188" spans="6:11" x14ac:dyDescent="0.2">
      <c r="F1188" s="231"/>
      <c r="G1188" s="5"/>
      <c r="H1188" s="37"/>
      <c r="I1188" s="37"/>
      <c r="K1188" s="11"/>
    </row>
    <row r="1189" spans="6:11" x14ac:dyDescent="0.2">
      <c r="F1189" s="231"/>
      <c r="G1189" s="5"/>
      <c r="H1189" s="37"/>
      <c r="I1189" s="37"/>
      <c r="K1189" s="11"/>
    </row>
    <row r="1190" spans="6:11" x14ac:dyDescent="0.2">
      <c r="F1190" s="231"/>
      <c r="G1190" s="5"/>
      <c r="H1190" s="37"/>
      <c r="I1190" s="37"/>
      <c r="K1190" s="11"/>
    </row>
    <row r="1191" spans="6:11" x14ac:dyDescent="0.2">
      <c r="F1191" s="231"/>
      <c r="G1191" s="5"/>
      <c r="H1191" s="37"/>
      <c r="I1191" s="37"/>
      <c r="K1191" s="11"/>
    </row>
    <row r="1192" spans="6:11" x14ac:dyDescent="0.2">
      <c r="F1192" s="231"/>
      <c r="G1192" s="5"/>
      <c r="H1192" s="37"/>
      <c r="I1192" s="37"/>
      <c r="K1192" s="11"/>
    </row>
    <row r="1193" spans="6:11" x14ac:dyDescent="0.2">
      <c r="F1193" s="231"/>
      <c r="G1193" s="5"/>
      <c r="H1193" s="37"/>
      <c r="I1193" s="37"/>
      <c r="K1193" s="11"/>
    </row>
    <row r="1194" spans="6:11" x14ac:dyDescent="0.2">
      <c r="F1194" s="231"/>
      <c r="G1194" s="5"/>
      <c r="H1194" s="37"/>
      <c r="I1194" s="37"/>
      <c r="K1194" s="11"/>
    </row>
    <row r="1195" spans="6:11" x14ac:dyDescent="0.2">
      <c r="F1195" s="231"/>
      <c r="G1195" s="5"/>
      <c r="H1195" s="37"/>
      <c r="I1195" s="37"/>
      <c r="K1195" s="11"/>
    </row>
    <row r="1196" spans="6:11" x14ac:dyDescent="0.2">
      <c r="F1196" s="231"/>
      <c r="G1196" s="5"/>
      <c r="H1196" s="37"/>
      <c r="I1196" s="37"/>
      <c r="K1196" s="11"/>
    </row>
    <row r="1197" spans="6:11" x14ac:dyDescent="0.2">
      <c r="F1197" s="231"/>
      <c r="G1197" s="5"/>
      <c r="H1197" s="37"/>
      <c r="I1197" s="37"/>
      <c r="K1197" s="11"/>
    </row>
    <row r="1198" spans="6:11" x14ac:dyDescent="0.2">
      <c r="F1198" s="231"/>
      <c r="G1198" s="5"/>
      <c r="H1198" s="37"/>
      <c r="I1198" s="37"/>
      <c r="K1198" s="11"/>
    </row>
    <row r="1199" spans="6:11" x14ac:dyDescent="0.2">
      <c r="F1199" s="231"/>
      <c r="G1199" s="5"/>
      <c r="H1199" s="37"/>
      <c r="I1199" s="37"/>
      <c r="K1199" s="11"/>
    </row>
    <row r="1200" spans="6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</sheetData>
  <mergeCells count="7">
    <mergeCell ref="L3:R3"/>
    <mergeCell ref="L15:R15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April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2018-05-22T18:32:18Z</cp:lastPrinted>
  <dcterms:created xsi:type="dcterms:W3CDTF">2007-09-24T12:26:24Z</dcterms:created>
  <dcterms:modified xsi:type="dcterms:W3CDTF">2019-05-19T07:37:59Z</dcterms:modified>
</cp:coreProperties>
</file>