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3B95DEA6-49E4-4485-AB63-1A210531EF4A}" xr6:coauthVersionLast="44" xr6:coauthVersionMax="44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C20" i="1"/>
  <c r="C21" i="1" l="1"/>
  <c r="B21" i="1"/>
  <c r="P61" i="9" l="1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C27" i="8"/>
  <c r="C26" i="8"/>
  <c r="C22" i="8"/>
  <c r="C21" i="8"/>
  <c r="C17" i="8"/>
  <c r="C16" i="8"/>
  <c r="C5" i="8"/>
  <c r="C4" i="8"/>
  <c r="C10" i="8"/>
  <c r="C23" i="8" l="1"/>
  <c r="C18" i="8"/>
  <c r="C28" i="8"/>
  <c r="C32" i="8"/>
  <c r="C6" i="8"/>
  <c r="C12" i="8" s="1"/>
  <c r="C31" i="8"/>
  <c r="C33" i="8" l="1"/>
  <c r="M27" i="8"/>
  <c r="L27" i="8"/>
  <c r="K27" i="8"/>
  <c r="I27" i="8"/>
  <c r="H27" i="8"/>
  <c r="G27" i="8"/>
  <c r="E27" i="8"/>
  <c r="D27" i="8"/>
  <c r="B27" i="8"/>
  <c r="M26" i="8"/>
  <c r="L26" i="8"/>
  <c r="K26" i="8"/>
  <c r="I26" i="8"/>
  <c r="H26" i="8"/>
  <c r="G26" i="8"/>
  <c r="E26" i="8"/>
  <c r="D26" i="8"/>
  <c r="B26" i="8"/>
  <c r="M22" i="8"/>
  <c r="L22" i="8"/>
  <c r="K22" i="8"/>
  <c r="I22" i="8"/>
  <c r="H22" i="8"/>
  <c r="G22" i="8"/>
  <c r="E22" i="8"/>
  <c r="D22" i="8"/>
  <c r="B22" i="8"/>
  <c r="M21" i="8"/>
  <c r="L21" i="8"/>
  <c r="K21" i="8"/>
  <c r="I21" i="8"/>
  <c r="H21" i="8"/>
  <c r="G21" i="8"/>
  <c r="E21" i="8"/>
  <c r="D21" i="8"/>
  <c r="B21" i="8"/>
  <c r="M17" i="8"/>
  <c r="L17" i="8"/>
  <c r="K17" i="8"/>
  <c r="I17" i="8"/>
  <c r="H17" i="8"/>
  <c r="G17" i="8"/>
  <c r="E17" i="8"/>
  <c r="D17" i="8"/>
  <c r="B17" i="8"/>
  <c r="M16" i="8"/>
  <c r="L16" i="8"/>
  <c r="K16" i="8"/>
  <c r="I16" i="8"/>
  <c r="H16" i="8"/>
  <c r="G16" i="8"/>
  <c r="E16" i="8"/>
  <c r="D16" i="8"/>
  <c r="B16" i="8"/>
  <c r="M9" i="8"/>
  <c r="M8" i="8"/>
  <c r="M5" i="8"/>
  <c r="L5" i="8"/>
  <c r="K5" i="8"/>
  <c r="J5" i="8"/>
  <c r="I5" i="8"/>
  <c r="H5" i="8"/>
  <c r="G5" i="8"/>
  <c r="E5" i="8"/>
  <c r="D5" i="8"/>
  <c r="B5" i="8"/>
  <c r="M4" i="8"/>
  <c r="L4" i="8"/>
  <c r="K4" i="8"/>
  <c r="J4" i="8"/>
  <c r="I4" i="8"/>
  <c r="H4" i="8"/>
  <c r="G4" i="8"/>
  <c r="E4" i="8"/>
  <c r="D4" i="8"/>
  <c r="B4" i="8"/>
  <c r="O28" i="7"/>
  <c r="M27" i="7"/>
  <c r="L27" i="7"/>
  <c r="J28" i="7"/>
  <c r="C27" i="7"/>
  <c r="B27" i="7"/>
  <c r="E28" i="7"/>
  <c r="N27" i="7" l="1"/>
  <c r="D27" i="7"/>
  <c r="O27" i="7"/>
  <c r="E27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J16" i="3" l="1"/>
  <c r="J17" i="3"/>
  <c r="O26" i="7"/>
  <c r="M26" i="7"/>
  <c r="L26" i="7"/>
  <c r="J27" i="7"/>
  <c r="E26" i="7"/>
  <c r="C26" i="7"/>
  <c r="B26" i="7"/>
  <c r="D20" i="1" l="1"/>
  <c r="G20" i="1" s="1"/>
  <c r="D26" i="7"/>
  <c r="N26" i="7"/>
  <c r="O25" i="7"/>
  <c r="M25" i="7"/>
  <c r="L25" i="7"/>
  <c r="J26" i="7"/>
  <c r="E25" i="7"/>
  <c r="C25" i="7"/>
  <c r="B25" i="7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20" i="3"/>
  <c r="J21" i="3"/>
  <c r="H35" i="2"/>
  <c r="E44" i="9"/>
  <c r="N44" i="9"/>
  <c r="Q44" i="9"/>
  <c r="H44" i="9"/>
  <c r="H43" i="2"/>
  <c r="H45" i="2" l="1"/>
  <c r="M23" i="7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G21" i="4" l="1"/>
  <c r="D21" i="15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P17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P10" i="16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P9" i="16"/>
  <c r="B28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G21" i="1" l="1"/>
  <c r="C28" i="7"/>
  <c r="F27" i="7"/>
  <c r="F26" i="7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D33" i="1" s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J17" i="2"/>
  <c r="K17" i="2" s="1"/>
  <c r="J12" i="3"/>
  <c r="J44" i="3"/>
  <c r="E45" i="2"/>
  <c r="M33" i="8"/>
  <c r="E21" i="4"/>
  <c r="D17" i="5"/>
  <c r="F45" i="3"/>
  <c r="G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G7" i="1" l="1"/>
  <c r="I7" i="1" s="1"/>
  <c r="G18" i="1"/>
  <c r="G19" i="1"/>
  <c r="G5" i="1"/>
  <c r="D28" i="7"/>
  <c r="F28" i="7" s="1"/>
  <c r="D22" i="7"/>
  <c r="F22" i="7" s="1"/>
  <c r="B8" i="1"/>
  <c r="F18" i="1"/>
  <c r="I21" i="1"/>
  <c r="I20" i="1"/>
  <c r="M21" i="15"/>
  <c r="D6" i="1"/>
  <c r="C8" i="1"/>
  <c r="C33" i="1" s="1"/>
  <c r="C33" i="7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B33" i="7"/>
  <c r="L42" i="4"/>
  <c r="M42" i="4" s="1"/>
  <c r="M42" i="15"/>
  <c r="J23" i="3"/>
  <c r="B17" i="1"/>
  <c r="D17" i="1" s="1"/>
  <c r="G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G16" i="1" l="1"/>
  <c r="G6" i="1"/>
  <c r="I6" i="1" s="1"/>
  <c r="I19" i="1"/>
  <c r="D10" i="1"/>
  <c r="G10" i="1" s="1"/>
  <c r="I18" i="1"/>
  <c r="D8" i="1"/>
  <c r="F8" i="1" s="1"/>
  <c r="F6" i="1"/>
  <c r="C11" i="1"/>
  <c r="M28" i="7" s="1"/>
  <c r="H28" i="7" s="1"/>
  <c r="B32" i="1"/>
  <c r="D32" i="1" s="1"/>
  <c r="B11" i="1"/>
  <c r="L28" i="7" s="1"/>
  <c r="D33" i="7"/>
  <c r="D28" i="1"/>
  <c r="G28" i="1" s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I5" i="1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N28" i="7" l="1"/>
  <c r="P28" i="7" s="1"/>
  <c r="G28" i="7"/>
  <c r="G27" i="7"/>
  <c r="H26" i="7"/>
  <c r="H27" i="7"/>
  <c r="P26" i="7"/>
  <c r="G26" i="7"/>
  <c r="G25" i="7"/>
  <c r="H24" i="7"/>
  <c r="H25" i="7"/>
  <c r="I10" i="1"/>
  <c r="G24" i="7"/>
  <c r="P24" i="7"/>
  <c r="F10" i="1"/>
  <c r="I23" i="7"/>
  <c r="K23" i="7" s="1"/>
  <c r="N23" i="7"/>
  <c r="P23" i="7" s="1"/>
  <c r="C32" i="1"/>
  <c r="N22" i="7"/>
  <c r="P22" i="7" s="1"/>
  <c r="H21" i="5"/>
  <c r="F28" i="1"/>
  <c r="G8" i="1"/>
  <c r="I8" i="1" s="1"/>
  <c r="F33" i="7"/>
  <c r="I17" i="1"/>
  <c r="D11" i="1"/>
  <c r="F11" i="1" s="1"/>
  <c r="N21" i="7"/>
  <c r="L33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K6" i="5"/>
  <c r="F20" i="5"/>
  <c r="I20" i="5" s="1"/>
  <c r="E22" i="5"/>
  <c r="F12" i="5"/>
  <c r="H12" i="5" s="1"/>
  <c r="H10" i="5"/>
  <c r="I28" i="7" l="1"/>
  <c r="K28" i="7" s="1"/>
  <c r="I26" i="7"/>
  <c r="K26" i="7" s="1"/>
  <c r="M33" i="7"/>
  <c r="I27" i="7"/>
  <c r="K27" i="7" s="1"/>
  <c r="P27" i="7"/>
  <c r="I24" i="7"/>
  <c r="K24" i="7" s="1"/>
  <c r="H33" i="7"/>
  <c r="I25" i="7"/>
  <c r="K25" i="7" s="1"/>
  <c r="P25" i="7"/>
  <c r="I22" i="7"/>
  <c r="K22" i="7" s="1"/>
  <c r="G11" i="1"/>
  <c r="I11" i="1" s="1"/>
  <c r="I28" i="1"/>
  <c r="D34" i="1"/>
  <c r="E33" i="1" s="1"/>
  <c r="K11" i="5"/>
  <c r="P21" i="7"/>
  <c r="I21" i="7"/>
  <c r="G33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N33" i="7" l="1"/>
  <c r="P33" i="7" s="1"/>
  <c r="I33" i="7"/>
  <c r="K21" i="5"/>
  <c r="E32" i="1"/>
  <c r="K21" i="7"/>
  <c r="K20" i="5"/>
  <c r="I22" i="5"/>
  <c r="K22" i="5" s="1"/>
  <c r="K33" i="7" l="1"/>
  <c r="H52" i="9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</calcChain>
</file>

<file path=xl/sharedStrings.xml><?xml version="1.0" encoding="utf-8"?>
<sst xmlns="http://schemas.openxmlformats.org/spreadsheetml/2006/main" count="598" uniqueCount="232">
  <si>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</si>
  <si>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</si>
  <si>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</si>
  <si>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</si>
  <si>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</si>
  <si>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</si>
  <si>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</si>
  <si>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</si>
  <si>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</si>
  <si>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</si>
  <si>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</si>
  <si>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</si>
  <si>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</si>
  <si>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</si>
  <si>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</si>
  <si>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</si>
  <si>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</si>
  <si>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</si>
  <si>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</si>
  <si>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</si>
  <si>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</si>
  <si>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</si>
  <si>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</si>
  <si>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</si>
  <si>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</si>
  <si>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</si>
  <si>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</si>
  <si>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</si>
  <si>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</si>
  <si>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</si>
  <si>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</si>
  <si>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</si>
  <si>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</si>
  <si>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</si>
  <si>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</si>
  <si>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</si>
  <si>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</si>
  <si>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</si>
  <si>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</si>
  <si>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</si>
  <si>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</si>
  <si>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</si>
  <si>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</si>
  <si>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</si>
  <si>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</si>
  <si>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</si>
  <si>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</si>
  <si>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</si>
  <si>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</si>
  <si>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</si>
  <si>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</si>
  <si>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</si>
  <si>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</si>
  <si>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</si>
  <si>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</si>
  <si>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</si>
  <si>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</si>
  <si>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</si>
  <si>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</si>
  <si>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</si>
  <si>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</si>
  <si>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</si>
  <si>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</si>
  <si>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</si>
  <si>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</si>
  <si>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</si>
  <si>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</si>
  <si>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</si>
  <si>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</si>
  <si>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</si>
  <si>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</si>
  <si>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</si>
  <si>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</si>
  <si>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</si>
  <si>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</si>
  <si>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</si>
  <si>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</si>
  <si>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</si>
  <si>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</si>
  <si>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</si>
  <si>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</si>
  <si>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</si>
  <si>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</si>
  <si>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</si>
  <si>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</si>
  <si>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</si>
  <si>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</si>
  <si>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</si>
  <si>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</si>
  <si>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</si>
  <si>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</si>
  <si>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</si>
  <si>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</si>
  <si>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</si>
  <si>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</si>
  <si>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</si>
  <si>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</si>
  <si>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</si>
  <si>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</si>
  <si>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</si>
  <si>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</si>
  <si>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</si>
  <si>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</si>
  <si>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</si>
  <si>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</si>
  <si>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</si>
  <si>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</si>
  <si>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</si>
  <si>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</si>
  <si>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</si>
  <si>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</si>
  <si>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</si>
  <si>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</si>
  <si>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</si>
  <si>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</si>
  <si>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</si>
  <si>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</si>
  <si>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</si>
  <si>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</si>
  <si>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</si>
  <si>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</si>
  <si>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</si>
  <si>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</si>
  <si>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</si>
  <si>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</si>
  <si>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</si>
  <si>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</si>
  <si>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</si>
  <si>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</si>
  <si>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</si>
  <si>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</si>
  <si>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</si>
  <si>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</si>
  <si>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</si>
  <si>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</si>
  <si>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</si>
  <si>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</si>
  <si>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</si>
  <si>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</si>
  <si>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</si>
  <si>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</si>
  <si>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</si>
  <si>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</si>
  <si>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</si>
  <si>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</si>
  <si>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</si>
  <si>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</si>
  <si>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</si>
  <si>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</si>
  <si>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</si>
  <si>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</si>
  <si>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</si>
  <si>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</si>
  <si>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</si>
  <si>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</si>
  <si>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</si>
  <si>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</si>
  <si>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</si>
  <si>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</si>
  <si>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</si>
  <si>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</si>
  <si>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</si>
  <si>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</si>
  <si>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</si>
  <si>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</si>
  <si>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</si>
  <si>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</si>
  <si>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</si>
  <si>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</si>
  <si>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</si>
  <si>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</si>
  <si>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</si>
  <si>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</si>
  <si>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</si>
  <si>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</si>
  <si>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</si>
  <si>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</si>
  <si>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</si>
  <si>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</si>
  <si>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</si>
  <si>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</si>
  <si>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</si>
  <si>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</si>
  <si>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</si>
  <si>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</si>
  <si>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</si>
  <si>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</si>
  <si>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</si>
  <si>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</si>
  <si>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</si>
  <si>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</si>
  <si>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</si>
  <si>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</si>
  <si>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</si>
  <si>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</si>
  <si>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</si>
  <si>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</si>
  <si>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</si>
  <si>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</si>
  <si>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</si>
  <si>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</si>
  <si>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</si>
  <si>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</si>
  <si>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</si>
  <si>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</si>
  <si>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</si>
  <si>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</si>
  <si>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</si>
  <si>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</si>
  <si>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</si>
  <si>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</si>
  <si>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</si>
  <si>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</si>
  <si>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</si>
  <si>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</si>
  <si>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</si>
  <si>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</si>
  <si>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</si>
  <si>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</si>
  <si>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</si>
  <si>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</si>
  <si>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</si>
  <si>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</si>
  <si>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</si>
  <si>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</si>
  <si>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</si>
  <si>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</si>
  <si>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</si>
  <si>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</si>
  <si>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</si>
  <si>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August 2017</t>
  </si>
  <si>
    <t>Atlas Air -Amazon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</si>
</sst>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6" xfId="0" applyFont="1" applyBorder="1"/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ugust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2880133</v>
          </cell>
          <cell r="G5">
            <v>19867051</v>
          </cell>
        </row>
        <row r="6">
          <cell r="D6">
            <v>670799</v>
          </cell>
          <cell r="G6">
            <v>5145166</v>
          </cell>
        </row>
        <row r="7">
          <cell r="D7">
            <v>467</v>
          </cell>
          <cell r="G7">
            <v>3706</v>
          </cell>
        </row>
        <row r="10">
          <cell r="D10">
            <v>116800</v>
          </cell>
          <cell r="G10">
            <v>844719</v>
          </cell>
        </row>
        <row r="16">
          <cell r="D16">
            <v>21947</v>
          </cell>
          <cell r="G16">
            <v>154204</v>
          </cell>
        </row>
        <row r="17">
          <cell r="D17">
            <v>13249</v>
          </cell>
          <cell r="G17">
            <v>102071</v>
          </cell>
        </row>
        <row r="18">
          <cell r="D18">
            <v>5</v>
          </cell>
          <cell r="G18">
            <v>29</v>
          </cell>
        </row>
        <row r="19">
          <cell r="D19">
            <v>1350</v>
          </cell>
          <cell r="G19">
            <v>9718</v>
          </cell>
        </row>
        <row r="20">
          <cell r="D20">
            <v>2102</v>
          </cell>
          <cell r="G20">
            <v>15092</v>
          </cell>
        </row>
        <row r="21">
          <cell r="D21">
            <v>90</v>
          </cell>
          <cell r="G21">
            <v>465</v>
          </cell>
        </row>
        <row r="27">
          <cell r="D27">
            <v>19026.246299162409</v>
          </cell>
          <cell r="G27">
            <v>135305.77344337053</v>
          </cell>
        </row>
        <row r="28">
          <cell r="D28">
            <v>2541.1088249208196</v>
          </cell>
          <cell r="G28">
            <v>17177.375222723098</v>
          </cell>
        </row>
        <row r="32">
          <cell r="B32">
            <v>1007612</v>
          </cell>
          <cell r="D32">
            <v>7471528</v>
          </cell>
        </row>
        <row r="33">
          <cell r="B33">
            <v>763203</v>
          </cell>
          <cell r="D33">
            <v>5000790</v>
          </cell>
        </row>
      </sheetData>
      <sheetData sheetId="1"/>
      <sheetData sheetId="2"/>
      <sheetData sheetId="3"/>
      <sheetData sheetId="4"/>
      <sheetData sheetId="5">
        <row r="28">
          <cell r="D28">
            <v>267158</v>
          </cell>
          <cell r="I28">
            <v>3401041</v>
          </cell>
          <cell r="N28">
            <v>3668199</v>
          </cell>
        </row>
      </sheetData>
      <sheetData sheetId="6"/>
      <sheetData sheetId="7">
        <row r="5">
          <cell r="F5">
            <v>10559.328734673949</v>
          </cell>
          <cell r="I5">
            <v>74326.740266588808</v>
          </cell>
        </row>
        <row r="6">
          <cell r="F6">
            <v>1135.56305518656</v>
          </cell>
          <cell r="I6">
            <v>7425.2794277654293</v>
          </cell>
        </row>
        <row r="10">
          <cell r="F10">
            <v>8466.9175644884599</v>
          </cell>
          <cell r="I10">
            <v>60979.033176781719</v>
          </cell>
        </row>
        <row r="11">
          <cell r="F11">
            <v>1405.5457697342599</v>
          </cell>
          <cell r="I11">
            <v>9752.0957949576696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19026.246299162409</v>
          </cell>
        </row>
        <row r="21">
          <cell r="F21">
            <v>2541.1088249208201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128004</v>
          </cell>
          <cell r="C26">
            <v>132185</v>
          </cell>
          <cell r="L26">
            <v>1762626</v>
          </cell>
          <cell r="M26">
            <v>1753039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263710</v>
          </cell>
          <cell r="I27">
            <v>3397860</v>
          </cell>
          <cell r="N27">
            <v>3661570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16895175</v>
          </cell>
        </row>
        <row r="6">
          <cell r="G6">
            <v>4572378</v>
          </cell>
        </row>
        <row r="7">
          <cell r="G7">
            <v>3087</v>
          </cell>
        </row>
        <row r="10">
          <cell r="G10">
            <v>737835</v>
          </cell>
        </row>
        <row r="16">
          <cell r="G16">
            <v>128377</v>
          </cell>
        </row>
        <row r="17">
          <cell r="G17">
            <v>88154</v>
          </cell>
        </row>
        <row r="18">
          <cell r="G18">
            <v>26</v>
          </cell>
        </row>
        <row r="19">
          <cell r="G19">
            <v>8625</v>
          </cell>
        </row>
        <row r="20">
          <cell r="G20">
            <v>11786</v>
          </cell>
        </row>
        <row r="21">
          <cell r="G21">
            <v>700</v>
          </cell>
        </row>
        <row r="27">
          <cell r="G27">
            <v>119706.34583196367</v>
          </cell>
        </row>
        <row r="28">
          <cell r="G28">
            <v>14836.946094914789</v>
          </cell>
        </row>
        <row r="32">
          <cell r="D32">
            <v>6764324</v>
          </cell>
        </row>
        <row r="33">
          <cell r="D33">
            <v>3942156</v>
          </cell>
        </row>
      </sheetData>
      <sheetData sheetId="1"/>
      <sheetData sheetId="2"/>
      <sheetData sheetId="3"/>
      <sheetData sheetId="4"/>
      <sheetData sheetId="5">
        <row r="27">
          <cell r="B27">
            <v>139361</v>
          </cell>
          <cell r="C27">
            <v>126713</v>
          </cell>
          <cell r="L27">
            <v>1834236</v>
          </cell>
          <cell r="M27">
            <v>1830772</v>
          </cell>
        </row>
      </sheetData>
      <sheetData sheetId="6"/>
      <sheetData sheetId="7">
        <row r="5">
          <cell r="I5">
            <v>67049.234882676203</v>
          </cell>
        </row>
        <row r="6">
          <cell r="I6">
            <v>5971.5036349214406</v>
          </cell>
        </row>
        <row r="10">
          <cell r="I10">
            <v>52657.11094928746</v>
          </cell>
        </row>
        <row r="11">
          <cell r="I11">
            <v>8865.44245999335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119706.34583196367</v>
          </cell>
        </row>
        <row r="21">
          <cell r="I21">
            <v>14836.946094914789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U4">
            <v>100</v>
          </cell>
        </row>
        <row r="5">
          <cell r="FU5">
            <v>100</v>
          </cell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</row>
        <row r="22">
          <cell r="FU22">
            <v>437</v>
          </cell>
        </row>
        <row r="23">
          <cell r="FU23">
            <v>485</v>
          </cell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</row>
      </sheetData>
      <sheetData sheetId="3"/>
      <sheetData sheetId="4">
        <row r="15">
          <cell r="FR15">
            <v>20</v>
          </cell>
          <cell r="FS15">
            <v>28</v>
          </cell>
          <cell r="FT15">
            <v>26</v>
          </cell>
          <cell r="FU15">
            <v>31</v>
          </cell>
        </row>
        <row r="16">
          <cell r="FR16">
            <v>20</v>
          </cell>
          <cell r="FS16">
            <v>28</v>
          </cell>
          <cell r="FT16">
            <v>26</v>
          </cell>
          <cell r="FU16">
            <v>31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</row>
        <row r="32">
          <cell r="FR32">
            <v>3781</v>
          </cell>
          <cell r="FS32">
            <v>6449</v>
          </cell>
          <cell r="FT32">
            <v>6560</v>
          </cell>
          <cell r="FU32">
            <v>7850</v>
          </cell>
        </row>
        <row r="33">
          <cell r="FR33">
            <v>3802</v>
          </cell>
          <cell r="FS33">
            <v>6319</v>
          </cell>
          <cell r="FT33">
            <v>4769</v>
          </cell>
          <cell r="FU33">
            <v>7190</v>
          </cell>
        </row>
        <row r="37">
          <cell r="FR37">
            <v>16</v>
          </cell>
          <cell r="FS37">
            <v>6</v>
          </cell>
          <cell r="FT37">
            <v>7</v>
          </cell>
          <cell r="FU37">
            <v>24</v>
          </cell>
        </row>
        <row r="38">
          <cell r="FR38">
            <v>13</v>
          </cell>
          <cell r="FS38">
            <v>8</v>
          </cell>
          <cell r="FT38">
            <v>6</v>
          </cell>
          <cell r="FU38">
            <v>13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</row>
        <row r="47">
          <cell r="FU47">
            <v>436262</v>
          </cell>
        </row>
        <row r="52">
          <cell r="FU52">
            <v>258590</v>
          </cell>
        </row>
      </sheetData>
      <sheetData sheetId="5"/>
      <sheetData sheetId="6">
        <row r="4">
          <cell r="FU4">
            <v>62</v>
          </cell>
        </row>
        <row r="5">
          <cell r="FU5">
            <v>62</v>
          </cell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</row>
        <row r="22">
          <cell r="FU22">
            <v>10243</v>
          </cell>
        </row>
        <row r="23">
          <cell r="FU23">
            <v>10186</v>
          </cell>
        </row>
        <row r="27">
          <cell r="FU27">
            <v>436</v>
          </cell>
        </row>
        <row r="28">
          <cell r="FU28">
            <v>458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</row>
        <row r="47">
          <cell r="FU47">
            <v>30751</v>
          </cell>
        </row>
        <row r="48">
          <cell r="FU48">
            <v>7660</v>
          </cell>
        </row>
        <row r="52">
          <cell r="FU52">
            <v>6926</v>
          </cell>
        </row>
        <row r="53">
          <cell r="FU53">
            <v>2021</v>
          </cell>
        </row>
      </sheetData>
      <sheetData sheetId="7"/>
      <sheetData sheetId="8">
        <row r="4">
          <cell r="FU4">
            <v>661</v>
          </cell>
        </row>
        <row r="5">
          <cell r="FU5">
            <v>661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</row>
        <row r="22">
          <cell r="FU22">
            <v>84458</v>
          </cell>
        </row>
        <row r="23">
          <cell r="FU23">
            <v>81128</v>
          </cell>
        </row>
        <row r="27">
          <cell r="FU27">
            <v>3788</v>
          </cell>
        </row>
        <row r="28">
          <cell r="FU28">
            <v>4016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</row>
        <row r="47">
          <cell r="FU47">
            <v>45575</v>
          </cell>
        </row>
        <row r="48">
          <cell r="FU48">
            <v>17657</v>
          </cell>
        </row>
        <row r="52">
          <cell r="FU52">
            <v>13187</v>
          </cell>
        </row>
        <row r="53">
          <cell r="FU53">
            <v>73015</v>
          </cell>
        </row>
      </sheetData>
      <sheetData sheetId="9"/>
      <sheetData sheetId="10">
        <row r="4">
          <cell r="FU4">
            <v>699</v>
          </cell>
        </row>
        <row r="5">
          <cell r="FU5">
            <v>697</v>
          </cell>
        </row>
        <row r="8">
          <cell r="FU8">
            <v>81</v>
          </cell>
        </row>
        <row r="9">
          <cell r="FU9">
            <v>88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  <cell r="FU15">
            <v>5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  <cell r="FU16">
            <v>5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</row>
        <row r="22">
          <cell r="FU22">
            <v>97945</v>
          </cell>
        </row>
        <row r="23">
          <cell r="FU23">
            <v>94952</v>
          </cell>
        </row>
        <row r="27">
          <cell r="FU27">
            <v>2335</v>
          </cell>
        </row>
        <row r="28">
          <cell r="FU28">
            <v>2074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  <cell r="FU32">
            <v>591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  <cell r="FU37">
            <v>6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</row>
        <row r="47">
          <cell r="FU47">
            <v>226335</v>
          </cell>
        </row>
        <row r="48">
          <cell r="FU48">
            <v>287546</v>
          </cell>
        </row>
        <row r="52">
          <cell r="FU52">
            <v>112936</v>
          </cell>
        </row>
        <row r="53">
          <cell r="FU53">
            <v>157293</v>
          </cell>
        </row>
        <row r="70">
          <cell r="FU70">
            <v>89094</v>
          </cell>
        </row>
        <row r="71">
          <cell r="FU71">
            <v>5858</v>
          </cell>
        </row>
        <row r="73">
          <cell r="FU73">
            <v>541</v>
          </cell>
        </row>
        <row r="74">
          <cell r="FU74">
            <v>119</v>
          </cell>
        </row>
      </sheetData>
      <sheetData sheetId="11">
        <row r="4">
          <cell r="FU4">
            <v>78</v>
          </cell>
        </row>
        <row r="5">
          <cell r="FU5">
            <v>78</v>
          </cell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</row>
        <row r="22">
          <cell r="FU22">
            <v>435</v>
          </cell>
        </row>
        <row r="23">
          <cell r="FU23">
            <v>450</v>
          </cell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</row>
      </sheetData>
      <sheetData sheetId="12">
        <row r="15">
          <cell r="FR15">
            <v>4</v>
          </cell>
          <cell r="FS15">
            <v>11</v>
          </cell>
          <cell r="FT15">
            <v>18</v>
          </cell>
          <cell r="FU15">
            <v>18</v>
          </cell>
        </row>
        <row r="16">
          <cell r="FR16">
            <v>4</v>
          </cell>
          <cell r="FS16">
            <v>11</v>
          </cell>
          <cell r="FT16">
            <v>18</v>
          </cell>
          <cell r="FU16">
            <v>18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</row>
        <row r="32">
          <cell r="FR32">
            <v>730</v>
          </cell>
          <cell r="FS32">
            <v>2566</v>
          </cell>
          <cell r="FT32">
            <v>4485</v>
          </cell>
          <cell r="FU32">
            <v>4458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</row>
        <row r="37">
          <cell r="FR37">
            <v>5</v>
          </cell>
          <cell r="FT37">
            <v>4</v>
          </cell>
          <cell r="FU37">
            <v>6</v>
          </cell>
        </row>
        <row r="38">
          <cell r="FR38">
            <v>4</v>
          </cell>
          <cell r="FT38">
            <v>5</v>
          </cell>
          <cell r="FU38">
            <v>6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</row>
        <row r="47">
          <cell r="FU47">
            <v>187243</v>
          </cell>
        </row>
        <row r="52">
          <cell r="FU52">
            <v>46484</v>
          </cell>
        </row>
      </sheetData>
      <sheetData sheetId="13">
        <row r="4">
          <cell r="FU4">
            <v>6623</v>
          </cell>
        </row>
        <row r="5">
          <cell r="FU5">
            <v>6602</v>
          </cell>
        </row>
        <row r="8">
          <cell r="FU8">
            <v>7</v>
          </cell>
        </row>
        <row r="9">
          <cell r="FU9">
            <v>22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  <cell r="FU15">
            <v>502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  <cell r="FU16">
            <v>505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</row>
        <row r="22">
          <cell r="FU22">
            <v>915971</v>
          </cell>
        </row>
        <row r="23">
          <cell r="FU23">
            <v>913288</v>
          </cell>
        </row>
        <row r="27">
          <cell r="FU27">
            <v>33093</v>
          </cell>
        </row>
        <row r="28">
          <cell r="FU28">
            <v>33017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  <cell r="FU32">
            <v>89576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  <cell r="FU33">
            <v>86560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  <cell r="FU37">
            <v>2213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  <cell r="FU38">
            <v>2316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</row>
        <row r="47">
          <cell r="FU47">
            <v>4536732</v>
          </cell>
        </row>
        <row r="48">
          <cell r="FU48">
            <v>1619560</v>
          </cell>
        </row>
        <row r="52">
          <cell r="FU52">
            <v>2582642</v>
          </cell>
        </row>
        <row r="53">
          <cell r="FU53">
            <v>1915805</v>
          </cell>
        </row>
        <row r="70">
          <cell r="FU70">
            <v>446598</v>
          </cell>
        </row>
        <row r="71">
          <cell r="FU71">
            <v>466690</v>
          </cell>
        </row>
        <row r="73">
          <cell r="FU73">
            <v>42328</v>
          </cell>
        </row>
        <row r="74">
          <cell r="FU74">
            <v>44232</v>
          </cell>
        </row>
      </sheetData>
      <sheetData sheetId="14">
        <row r="4">
          <cell r="FU4">
            <v>158</v>
          </cell>
        </row>
        <row r="5">
          <cell r="FU5">
            <v>158</v>
          </cell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</row>
        <row r="22">
          <cell r="FU22">
            <v>23643</v>
          </cell>
        </row>
        <row r="23">
          <cell r="FU23">
            <v>24400</v>
          </cell>
        </row>
        <row r="27">
          <cell r="FU27">
            <v>173</v>
          </cell>
        </row>
        <row r="28">
          <cell r="FU28">
            <v>162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</row>
      </sheetData>
      <sheetData sheetId="15"/>
      <sheetData sheetId="16">
        <row r="15">
          <cell r="FN15">
            <v>5</v>
          </cell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  <cell r="FU15">
            <v>49</v>
          </cell>
        </row>
        <row r="16">
          <cell r="FN16">
            <v>5</v>
          </cell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  <cell r="FU16">
            <v>49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</row>
        <row r="32">
          <cell r="FN32">
            <v>852</v>
          </cell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  <cell r="FU32">
            <v>7211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</row>
        <row r="37">
          <cell r="FN37">
            <v>20</v>
          </cell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  <cell r="FU37">
            <v>91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</row>
        <row r="47">
          <cell r="FU47">
            <v>52097</v>
          </cell>
        </row>
        <row r="52">
          <cell r="FU52">
            <v>30</v>
          </cell>
        </row>
      </sheetData>
      <sheetData sheetId="17">
        <row r="4">
          <cell r="FU4">
            <v>93</v>
          </cell>
        </row>
        <row r="5">
          <cell r="FU5">
            <v>92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</row>
        <row r="22">
          <cell r="FU22">
            <v>10274</v>
          </cell>
        </row>
        <row r="23">
          <cell r="FU23">
            <v>10129</v>
          </cell>
        </row>
        <row r="27">
          <cell r="FU27">
            <v>236</v>
          </cell>
        </row>
        <row r="28">
          <cell r="FU28">
            <v>258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</row>
      </sheetData>
      <sheetData sheetId="18"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  <cell r="FU15">
            <v>17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  <cell r="FU16">
            <v>17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  <cell r="FU32">
            <v>4403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  <cell r="FU33">
            <v>4249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  <cell r="FU37">
            <v>23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  <cell r="FU38">
            <v>29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</row>
        <row r="47">
          <cell r="FU47">
            <v>428857</v>
          </cell>
        </row>
        <row r="52">
          <cell r="FU52">
            <v>173806</v>
          </cell>
        </row>
      </sheetData>
      <sheetData sheetId="19"/>
      <sheetData sheetId="2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</row>
      </sheetData>
      <sheetData sheetId="21">
        <row r="4">
          <cell r="FU4">
            <v>746</v>
          </cell>
        </row>
        <row r="5">
          <cell r="FU5">
            <v>745</v>
          </cell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</row>
        <row r="22">
          <cell r="FU22">
            <v>92814</v>
          </cell>
        </row>
        <row r="23">
          <cell r="FU23">
            <v>91706</v>
          </cell>
        </row>
        <row r="27">
          <cell r="FU27">
            <v>2210</v>
          </cell>
        </row>
        <row r="28">
          <cell r="FU28">
            <v>2227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</row>
        <row r="47">
          <cell r="FU47">
            <v>201233</v>
          </cell>
        </row>
        <row r="52">
          <cell r="FU52">
            <v>97453</v>
          </cell>
        </row>
        <row r="70">
          <cell r="FU70">
            <v>91531</v>
          </cell>
        </row>
        <row r="71">
          <cell r="FU71">
            <v>175</v>
          </cell>
        </row>
      </sheetData>
      <sheetData sheetId="22">
        <row r="4">
          <cell r="FU4">
            <v>372</v>
          </cell>
        </row>
        <row r="5">
          <cell r="FU5">
            <v>372</v>
          </cell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</row>
        <row r="22">
          <cell r="FU22">
            <v>56593</v>
          </cell>
        </row>
        <row r="23">
          <cell r="FU23">
            <v>56085</v>
          </cell>
        </row>
        <row r="27">
          <cell r="FU27">
            <v>318</v>
          </cell>
        </row>
        <row r="28">
          <cell r="FU28">
            <v>326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</row>
      </sheetData>
      <sheetData sheetId="23">
        <row r="4">
          <cell r="FU4">
            <v>411</v>
          </cell>
        </row>
        <row r="5">
          <cell r="FU5">
            <v>411</v>
          </cell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</row>
        <row r="22">
          <cell r="FU22">
            <v>51005</v>
          </cell>
        </row>
        <row r="23">
          <cell r="FU23">
            <v>50476</v>
          </cell>
        </row>
        <row r="27">
          <cell r="FU27">
            <v>1599</v>
          </cell>
        </row>
        <row r="28">
          <cell r="FU28">
            <v>1423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</row>
        <row r="47">
          <cell r="FU47">
            <v>79294</v>
          </cell>
        </row>
        <row r="48">
          <cell r="FU48">
            <v>36443</v>
          </cell>
        </row>
        <row r="52">
          <cell r="FU52">
            <v>45028</v>
          </cell>
        </row>
        <row r="53">
          <cell r="FU53">
            <v>50932</v>
          </cell>
        </row>
      </sheetData>
      <sheetData sheetId="24"/>
      <sheetData sheetId="25"/>
      <sheetData sheetId="26"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</row>
      </sheetData>
      <sheetData sheetId="27"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</row>
      </sheetData>
      <sheetData sheetId="28">
        <row r="4">
          <cell r="FU4">
            <v>7</v>
          </cell>
        </row>
        <row r="5">
          <cell r="FU5">
            <v>7</v>
          </cell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</row>
        <row r="22">
          <cell r="FU22">
            <v>242</v>
          </cell>
        </row>
        <row r="23">
          <cell r="FU23">
            <v>170</v>
          </cell>
        </row>
        <row r="27">
          <cell r="FU27">
            <v>14</v>
          </cell>
        </row>
        <row r="28">
          <cell r="FU28">
            <v>14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</row>
      </sheetData>
      <sheetData sheetId="29">
        <row r="15">
          <cell r="FN15">
            <v>21</v>
          </cell>
          <cell r="FO15">
            <v>22</v>
          </cell>
          <cell r="FP15">
            <v>2</v>
          </cell>
        </row>
        <row r="16">
          <cell r="FN16">
            <v>23</v>
          </cell>
          <cell r="FO16">
            <v>26</v>
          </cell>
          <cell r="FP16">
            <v>5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</row>
        <row r="32">
          <cell r="FN32">
            <v>1136</v>
          </cell>
          <cell r="FO32">
            <v>1111</v>
          </cell>
          <cell r="FP32">
            <v>122</v>
          </cell>
        </row>
        <row r="33">
          <cell r="FN33">
            <v>1362</v>
          </cell>
          <cell r="FO33">
            <v>1562</v>
          </cell>
          <cell r="FP33">
            <v>242</v>
          </cell>
        </row>
        <row r="37">
          <cell r="FN37">
            <v>17</v>
          </cell>
          <cell r="FO37">
            <v>30</v>
          </cell>
          <cell r="FP37">
            <v>1</v>
          </cell>
        </row>
        <row r="38">
          <cell r="FN38">
            <v>14</v>
          </cell>
          <cell r="FO38">
            <v>17</v>
          </cell>
          <cell r="FP38">
            <v>4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</row>
      </sheetData>
      <sheetData sheetId="30"/>
      <sheetData sheetId="31"/>
      <sheetData sheetId="32"/>
      <sheetData sheetId="33">
        <row r="15">
          <cell r="FO15">
            <v>1</v>
          </cell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</row>
        <row r="74">
          <cell r="BG74">
            <v>2614</v>
          </cell>
        </row>
      </sheetData>
      <sheetData sheetId="34"/>
      <sheetData sheetId="35">
        <row r="4">
          <cell r="FU4">
            <v>1</v>
          </cell>
        </row>
        <row r="5">
          <cell r="FU5">
            <v>1</v>
          </cell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</row>
        <row r="22">
          <cell r="FU22">
            <v>44</v>
          </cell>
        </row>
        <row r="23">
          <cell r="FU23">
            <v>49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</row>
      </sheetData>
      <sheetData sheetId="36"/>
      <sheetData sheetId="37">
        <row r="4">
          <cell r="FU4">
            <v>208</v>
          </cell>
        </row>
        <row r="5">
          <cell r="FU5">
            <v>209</v>
          </cell>
        </row>
        <row r="9">
          <cell r="FU9">
            <v>1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  <cell r="FU15">
            <v>28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  <cell r="FU16">
            <v>26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</row>
        <row r="22">
          <cell r="FU22">
            <v>12750</v>
          </cell>
        </row>
        <row r="23">
          <cell r="FU23">
            <v>12693</v>
          </cell>
        </row>
        <row r="27">
          <cell r="FU27">
            <v>382</v>
          </cell>
        </row>
        <row r="28">
          <cell r="FU28">
            <v>463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  <cell r="FU32">
            <v>1821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  <cell r="FU33">
            <v>1794</v>
          </cell>
        </row>
        <row r="37">
          <cell r="FN37">
            <v>47</v>
          </cell>
          <cell r="FO37">
            <v>35</v>
          </cell>
          <cell r="FQ37">
            <v>53</v>
          </cell>
          <cell r="FR37">
            <v>60</v>
          </cell>
          <cell r="FS37">
            <v>18</v>
          </cell>
          <cell r="FT37">
            <v>37</v>
          </cell>
          <cell r="FU37">
            <v>22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  <cell r="FU38">
            <v>23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</row>
        <row r="47">
          <cell r="FU47">
            <v>673</v>
          </cell>
        </row>
        <row r="70">
          <cell r="FU70">
            <v>5585</v>
          </cell>
        </row>
        <row r="71">
          <cell r="FU71">
            <v>7108</v>
          </cell>
        </row>
        <row r="73">
          <cell r="FU73">
            <v>789</v>
          </cell>
        </row>
        <row r="74">
          <cell r="FU74">
            <v>1005</v>
          </cell>
        </row>
      </sheetData>
      <sheetData sheetId="38">
        <row r="4">
          <cell r="FU4">
            <v>1</v>
          </cell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</row>
        <row r="22">
          <cell r="FU22">
            <v>61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</row>
      </sheetData>
      <sheetData sheetId="39">
        <row r="4">
          <cell r="FU4">
            <v>62</v>
          </cell>
        </row>
        <row r="5">
          <cell r="FU5">
            <v>62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</row>
        <row r="22">
          <cell r="FU22">
            <v>4115</v>
          </cell>
        </row>
        <row r="23">
          <cell r="FU23">
            <v>3935</v>
          </cell>
        </row>
        <row r="27">
          <cell r="FU27">
            <v>153</v>
          </cell>
        </row>
        <row r="28">
          <cell r="FU28">
            <v>151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</row>
        <row r="47">
          <cell r="FU47">
            <v>7344</v>
          </cell>
        </row>
        <row r="52">
          <cell r="FU52">
            <v>506</v>
          </cell>
        </row>
      </sheetData>
      <sheetData sheetId="40">
        <row r="4">
          <cell r="FU4">
            <v>141</v>
          </cell>
        </row>
        <row r="5">
          <cell r="FU5">
            <v>141</v>
          </cell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</row>
        <row r="22">
          <cell r="FU22">
            <v>9900</v>
          </cell>
        </row>
        <row r="23">
          <cell r="FU23">
            <v>10100</v>
          </cell>
        </row>
        <row r="27">
          <cell r="FU27">
            <v>326</v>
          </cell>
        </row>
        <row r="28">
          <cell r="FU28">
            <v>218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</row>
      </sheetData>
      <sheetData sheetId="41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</sheetData>
      <sheetData sheetId="42"/>
      <sheetData sheetId="43">
        <row r="4">
          <cell r="FU4">
            <v>1077</v>
          </cell>
        </row>
        <row r="5">
          <cell r="FU5">
            <v>1075</v>
          </cell>
        </row>
        <row r="9">
          <cell r="FU9">
            <v>1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  <cell r="FU15">
            <v>69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  <cell r="FU16">
            <v>70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</row>
        <row r="22">
          <cell r="FU22">
            <v>65826</v>
          </cell>
        </row>
        <row r="23">
          <cell r="FU23">
            <v>66566</v>
          </cell>
        </row>
        <row r="27">
          <cell r="FU27">
            <v>2498</v>
          </cell>
        </row>
        <row r="28">
          <cell r="FU28">
            <v>2498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  <cell r="FU32">
            <v>4790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  <cell r="FU33">
            <v>4848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  <cell r="FU37">
            <v>95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  <cell r="FU38">
            <v>115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</row>
        <row r="70">
          <cell r="FU70">
            <v>26493</v>
          </cell>
        </row>
        <row r="71">
          <cell r="FU71">
            <v>40073</v>
          </cell>
        </row>
        <row r="73">
          <cell r="FU73">
            <v>1930</v>
          </cell>
        </row>
        <row r="74">
          <cell r="FU74">
            <v>2918</v>
          </cell>
        </row>
      </sheetData>
      <sheetData sheetId="44"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</row>
      </sheetData>
      <sheetData sheetId="45">
        <row r="4">
          <cell r="FU4">
            <v>219</v>
          </cell>
        </row>
        <row r="5">
          <cell r="FU5">
            <v>219</v>
          </cell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</row>
        <row r="22">
          <cell r="FU22">
            <v>13097</v>
          </cell>
        </row>
        <row r="23">
          <cell r="FU23">
            <v>13085</v>
          </cell>
        </row>
        <row r="27">
          <cell r="FU27">
            <v>589</v>
          </cell>
        </row>
        <row r="28">
          <cell r="FU28">
            <v>659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</row>
      </sheetData>
      <sheetData sheetId="46">
        <row r="4">
          <cell r="FU4">
            <v>249</v>
          </cell>
        </row>
        <row r="5">
          <cell r="FU5">
            <v>249</v>
          </cell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</row>
        <row r="22">
          <cell r="FU22">
            <v>15852</v>
          </cell>
        </row>
        <row r="23">
          <cell r="FU23">
            <v>15694</v>
          </cell>
        </row>
        <row r="27">
          <cell r="FU27">
            <v>511</v>
          </cell>
        </row>
        <row r="28">
          <cell r="FU28">
            <v>516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</row>
      </sheetData>
      <sheetData sheetId="47"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  <cell r="FU15">
            <v>91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  <cell r="FU16">
            <v>91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  <cell r="FU32">
            <v>5892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  <cell r="FU37">
            <v>93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</row>
        <row r="47">
          <cell r="FU47">
            <v>2118</v>
          </cell>
        </row>
        <row r="52">
          <cell r="FU52">
            <v>2634</v>
          </cell>
        </row>
      </sheetData>
      <sheetData sheetId="48">
        <row r="4">
          <cell r="FU4">
            <v>4277</v>
          </cell>
        </row>
        <row r="5">
          <cell r="FU5">
            <v>4262</v>
          </cell>
        </row>
        <row r="9">
          <cell r="FU9">
            <v>10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  <cell r="FU15">
            <v>153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  <cell r="FU16">
            <v>154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</row>
        <row r="22">
          <cell r="FU22">
            <v>206293</v>
          </cell>
        </row>
        <row r="23">
          <cell r="FU23">
            <v>208072</v>
          </cell>
        </row>
        <row r="27">
          <cell r="FU27">
            <v>7905</v>
          </cell>
        </row>
        <row r="28">
          <cell r="FU28">
            <v>7462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  <cell r="FU32">
            <v>10441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  <cell r="FU33">
            <v>10216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  <cell r="FU37">
            <v>81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  <cell r="FU38">
            <v>100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</row>
        <row r="70">
          <cell r="FU70">
            <v>60549</v>
          </cell>
        </row>
        <row r="71">
          <cell r="FU71">
            <v>147523</v>
          </cell>
        </row>
        <row r="73">
          <cell r="FU73">
            <v>2973</v>
          </cell>
        </row>
        <row r="74">
          <cell r="FU74">
            <v>7243</v>
          </cell>
        </row>
      </sheetData>
      <sheetData sheetId="49">
        <row r="4">
          <cell r="FU4">
            <v>53</v>
          </cell>
        </row>
        <row r="5">
          <cell r="FU5">
            <v>53</v>
          </cell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</row>
        <row r="22">
          <cell r="FU22">
            <v>3560</v>
          </cell>
        </row>
        <row r="23">
          <cell r="FU23">
            <v>3347</v>
          </cell>
        </row>
        <row r="27">
          <cell r="FU27">
            <v>120</v>
          </cell>
        </row>
        <row r="28">
          <cell r="FU28">
            <v>110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</row>
      </sheetData>
      <sheetData sheetId="5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</sheetData>
      <sheetData sheetId="51">
        <row r="4">
          <cell r="FU4">
            <v>31</v>
          </cell>
        </row>
        <row r="5">
          <cell r="FU5">
            <v>31</v>
          </cell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</row>
        <row r="22">
          <cell r="FU22">
            <v>1959</v>
          </cell>
        </row>
        <row r="23">
          <cell r="FU23">
            <v>1746</v>
          </cell>
        </row>
        <row r="27">
          <cell r="FU27">
            <v>56</v>
          </cell>
        </row>
        <row r="28">
          <cell r="FU28">
            <v>105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</row>
        <row r="47">
          <cell r="FU47">
            <v>628</v>
          </cell>
        </row>
      </sheetData>
      <sheetData sheetId="52">
        <row r="4">
          <cell r="FU4">
            <v>25</v>
          </cell>
        </row>
        <row r="5">
          <cell r="FU5">
            <v>25</v>
          </cell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</row>
        <row r="22">
          <cell r="FU22">
            <v>1785</v>
          </cell>
        </row>
        <row r="23">
          <cell r="FU23">
            <v>1758</v>
          </cell>
        </row>
        <row r="27">
          <cell r="FU27">
            <v>65</v>
          </cell>
        </row>
        <row r="28">
          <cell r="FU28">
            <v>70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</row>
        <row r="47">
          <cell r="FU47">
            <v>519</v>
          </cell>
        </row>
      </sheetData>
      <sheetData sheetId="53">
        <row r="4">
          <cell r="FU4">
            <v>1</v>
          </cell>
        </row>
        <row r="5">
          <cell r="FU5">
            <v>1</v>
          </cell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</row>
        <row r="22">
          <cell r="FU22">
            <v>52</v>
          </cell>
        </row>
        <row r="23">
          <cell r="FU23">
            <v>32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</row>
        <row r="70">
          <cell r="FU70">
            <v>31</v>
          </cell>
        </row>
        <row r="71">
          <cell r="FU71">
            <v>1</v>
          </cell>
        </row>
      </sheetData>
      <sheetData sheetId="54"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>
        <row r="4">
          <cell r="FU4">
            <v>1</v>
          </cell>
        </row>
        <row r="5">
          <cell r="FU5">
            <v>1</v>
          </cell>
        </row>
        <row r="22">
          <cell r="FU22">
            <v>159</v>
          </cell>
        </row>
        <row r="23">
          <cell r="FU23">
            <v>159</v>
          </cell>
        </row>
        <row r="32">
          <cell r="FQ32">
            <v>37</v>
          </cell>
        </row>
      </sheetData>
      <sheetData sheetId="62">
        <row r="4">
          <cell r="FU4">
            <v>33</v>
          </cell>
        </row>
        <row r="5">
          <cell r="FU5">
            <v>33</v>
          </cell>
        </row>
        <row r="47">
          <cell r="FU47">
            <v>959391</v>
          </cell>
        </row>
        <row r="52">
          <cell r="FU52">
            <v>1212283</v>
          </cell>
        </row>
      </sheetData>
      <sheetData sheetId="63"/>
      <sheetData sheetId="64">
        <row r="4">
          <cell r="FU4">
            <v>23</v>
          </cell>
        </row>
        <row r="5">
          <cell r="FU5">
            <v>23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E12">
            <v>46</v>
          </cell>
          <cell r="FF12">
            <v>44</v>
          </cell>
          <cell r="FG12">
            <v>44</v>
          </cell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</row>
        <row r="47">
          <cell r="FU47">
            <v>797089</v>
          </cell>
        </row>
        <row r="52">
          <cell r="FU52">
            <v>585995</v>
          </cell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</row>
      </sheetData>
      <sheetData sheetId="65">
        <row r="4">
          <cell r="FU4">
            <v>24</v>
          </cell>
        </row>
        <row r="5">
          <cell r="FU5">
            <v>24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E12">
            <v>46</v>
          </cell>
          <cell r="FF12">
            <v>32</v>
          </cell>
          <cell r="FG12">
            <v>38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</row>
        <row r="47">
          <cell r="FU47">
            <v>25461</v>
          </cell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</row>
      </sheetData>
      <sheetData sheetId="66"/>
      <sheetData sheetId="67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</row>
      </sheetData>
      <sheetData sheetId="68">
        <row r="4">
          <cell r="FU4">
            <v>136</v>
          </cell>
        </row>
        <row r="5">
          <cell r="FU5">
            <v>136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E12">
            <v>176</v>
          </cell>
          <cell r="FF12">
            <v>120</v>
          </cell>
          <cell r="FG12">
            <v>280</v>
          </cell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</row>
        <row r="47">
          <cell r="FU47">
            <v>9262805</v>
          </cell>
        </row>
        <row r="52">
          <cell r="FU52">
            <v>8429186</v>
          </cell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</row>
      </sheetData>
      <sheetData sheetId="69">
        <row r="4">
          <cell r="FU4">
            <v>116</v>
          </cell>
        </row>
        <row r="5">
          <cell r="FU5">
            <v>116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E12">
            <v>198</v>
          </cell>
          <cell r="FF12">
            <v>186</v>
          </cell>
          <cell r="FG12">
            <v>212</v>
          </cell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</row>
        <row r="15">
          <cell r="FU15">
            <v>23</v>
          </cell>
        </row>
        <row r="16">
          <cell r="FU16">
            <v>23</v>
          </cell>
        </row>
        <row r="47">
          <cell r="FU47">
            <v>6808297</v>
          </cell>
        </row>
        <row r="48">
          <cell r="FU48">
            <v>156</v>
          </cell>
        </row>
        <row r="52">
          <cell r="FU52">
            <v>5598978</v>
          </cell>
        </row>
        <row r="53">
          <cell r="FU53">
            <v>566092</v>
          </cell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</row>
      </sheetData>
      <sheetData sheetId="70"/>
      <sheetData sheetId="71"/>
      <sheetData sheetId="72"/>
      <sheetData sheetId="73">
        <row r="4">
          <cell r="FU4">
            <v>295</v>
          </cell>
        </row>
        <row r="5">
          <cell r="FU5">
            <v>295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E12">
            <v>546</v>
          </cell>
          <cell r="FF12">
            <v>528</v>
          </cell>
          <cell r="FG12">
            <v>598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</row>
      </sheetData>
      <sheetData sheetId="74"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E12">
            <v>4</v>
          </cell>
          <cell r="FF12">
            <v>0</v>
          </cell>
          <cell r="FG12">
            <v>0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</row>
      </sheetData>
      <sheetData sheetId="75">
        <row r="4">
          <cell r="FU4">
            <v>23</v>
          </cell>
        </row>
        <row r="5">
          <cell r="FU5">
            <v>23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E12">
            <v>44</v>
          </cell>
          <cell r="FF12">
            <v>34</v>
          </cell>
          <cell r="FG12">
            <v>46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</row>
        <row r="47">
          <cell r="FU47">
            <v>175755</v>
          </cell>
        </row>
        <row r="52">
          <cell r="FU52">
            <v>59535</v>
          </cell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</row>
      </sheetData>
      <sheetData sheetId="76">
        <row r="4">
          <cell r="FU4">
            <v>50</v>
          </cell>
        </row>
        <row r="5">
          <cell r="FU5">
            <v>49</v>
          </cell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E12">
            <v>44</v>
          </cell>
          <cell r="FF12">
            <v>42</v>
          </cell>
          <cell r="FG12">
            <v>50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</row>
        <row r="47">
          <cell r="FU47">
            <v>78268</v>
          </cell>
        </row>
        <row r="52">
          <cell r="FU52">
            <v>42425</v>
          </cell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</row>
      </sheetData>
      <sheetData sheetId="77">
        <row r="4">
          <cell r="FU4">
            <v>65</v>
          </cell>
        </row>
        <row r="5">
          <cell r="FU5">
            <v>65</v>
          </cell>
        </row>
      </sheetData>
      <sheetData sheetId="78">
        <row r="4">
          <cell r="FU4">
            <v>947</v>
          </cell>
        </row>
        <row r="5">
          <cell r="FU5">
            <v>948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22" sqref="J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43313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1457907</v>
      </c>
      <c r="C5" s="296">
        <f>'Major Airline Stats'!K5</f>
        <v>1443713</v>
      </c>
      <c r="D5" s="5">
        <f>'Major Airline Stats'!K6</f>
        <v>2901620</v>
      </c>
      <c r="E5" s="9">
        <f>'[1]Monthly Summary'!D5</f>
        <v>2880133</v>
      </c>
      <c r="F5" s="39">
        <f>(D5-E5)/E5</f>
        <v>7.4604193625780477E-3</v>
      </c>
      <c r="G5" s="9">
        <f>+D5+'[2]Monthly Summary'!G5</f>
        <v>19796795</v>
      </c>
      <c r="H5" s="9">
        <f>'[1]Monthly Summary'!G5</f>
        <v>19867051</v>
      </c>
      <c r="I5" s="85">
        <f>(G5-H5)/H5</f>
        <v>-3.5363074268043105E-3</v>
      </c>
      <c r="J5" s="9"/>
    </row>
    <row r="6" spans="1:14" x14ac:dyDescent="0.2">
      <c r="A6" s="67" t="s">
        <v>5</v>
      </c>
      <c r="B6" s="294">
        <f>'Regional Major'!M5</f>
        <v>358480</v>
      </c>
      <c r="C6" s="294">
        <f>'Regional Major'!M6</f>
        <v>360162</v>
      </c>
      <c r="D6" s="5">
        <f>B6+C6</f>
        <v>718642</v>
      </c>
      <c r="E6" s="9">
        <f>'[1]Monthly Summary'!D6</f>
        <v>670799</v>
      </c>
      <c r="F6" s="39">
        <f>(D6-E6)/E6</f>
        <v>7.1322408053679273E-2</v>
      </c>
      <c r="G6" s="9">
        <f>+D6+'[2]Monthly Summary'!G6</f>
        <v>5291020</v>
      </c>
      <c r="H6" s="9">
        <f>'[1]Monthly Summary'!G6</f>
        <v>5145166</v>
      </c>
      <c r="I6" s="85">
        <f>(G6-H6)/H6</f>
        <v>2.8347773424608654E-2</v>
      </c>
      <c r="J6" s="20"/>
      <c r="K6" s="2"/>
    </row>
    <row r="7" spans="1:14" x14ac:dyDescent="0.2">
      <c r="A7" s="67" t="s">
        <v>6</v>
      </c>
      <c r="B7" s="9">
        <f>Charter!G5</f>
        <v>159</v>
      </c>
      <c r="C7" s="295">
        <f>Charter!G6</f>
        <v>159</v>
      </c>
      <c r="D7" s="5">
        <f>B7+C7</f>
        <v>318</v>
      </c>
      <c r="E7" s="9">
        <f>'[1]Monthly Summary'!D7</f>
        <v>467</v>
      </c>
      <c r="F7" s="39">
        <f>(D7-E7)/E7</f>
        <v>-0.31905781584582443</v>
      </c>
      <c r="G7" s="9">
        <f>+D7+'[2]Monthly Summary'!G7</f>
        <v>3405</v>
      </c>
      <c r="H7" s="9">
        <f>'[1]Monthly Summary'!G7</f>
        <v>3706</v>
      </c>
      <c r="I7" s="85">
        <f>(G7-H7)/H7</f>
        <v>-8.1219643820831078E-2</v>
      </c>
      <c r="J7" s="20"/>
      <c r="K7" s="2"/>
    </row>
    <row r="8" spans="1:14" x14ac:dyDescent="0.2">
      <c r="A8" s="70" t="s">
        <v>7</v>
      </c>
      <c r="B8" s="148">
        <f>SUM(B5:B7)</f>
        <v>1816546</v>
      </c>
      <c r="C8" s="148">
        <f>SUM(C5:C7)</f>
        <v>1804034</v>
      </c>
      <c r="D8" s="148">
        <f>SUM(D5:D7)</f>
        <v>3620580</v>
      </c>
      <c r="E8" s="148">
        <f>SUM(E5:E7)</f>
        <v>3551399</v>
      </c>
      <c r="F8" s="92">
        <f>(D8-E8)/E8</f>
        <v>1.9479928895626764E-2</v>
      </c>
      <c r="G8" s="148">
        <f>SUM(G5:G7)</f>
        <v>25091220</v>
      </c>
      <c r="H8" s="148">
        <f>SUM(H5:H7)</f>
        <v>25015923</v>
      </c>
      <c r="I8" s="91">
        <f>(G8-H8)/H8</f>
        <v>3.0099628944332776E-3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59461</v>
      </c>
      <c r="C10" s="297">
        <f>'Major Airline Stats'!K10+'Regional Major'!M11</f>
        <v>59064</v>
      </c>
      <c r="D10" s="120">
        <f>SUM(B10:C10)</f>
        <v>118525</v>
      </c>
      <c r="E10" s="120">
        <f>'[1]Monthly Summary'!D10</f>
        <v>116800</v>
      </c>
      <c r="F10" s="93">
        <f>(D10-E10)/E10</f>
        <v>1.4768835616438356E-2</v>
      </c>
      <c r="G10" s="509">
        <f>+D10+'[2]Monthly Summary'!G10</f>
        <v>856360</v>
      </c>
      <c r="H10" s="120">
        <f>'[1]Monthly Summary'!G10</f>
        <v>844719</v>
      </c>
      <c r="I10" s="96">
        <f>(G10-H10)/H10</f>
        <v>1.3780914126472827E-2</v>
      </c>
      <c r="J10" s="264"/>
    </row>
    <row r="11" spans="1:14" ht="15.75" thickBot="1" x14ac:dyDescent="0.3">
      <c r="A11" s="69" t="s">
        <v>13</v>
      </c>
      <c r="B11" s="273">
        <f>B10+B8</f>
        <v>1876007</v>
      </c>
      <c r="C11" s="273">
        <f>C10+C8</f>
        <v>1863098</v>
      </c>
      <c r="D11" s="273">
        <f>D10+D8</f>
        <v>3739105</v>
      </c>
      <c r="E11" s="273">
        <f>E10+E8</f>
        <v>3668199</v>
      </c>
      <c r="F11" s="94">
        <f>(D11-E11)/E11</f>
        <v>1.932992184993235E-2</v>
      </c>
      <c r="G11" s="273">
        <f>G8+G10</f>
        <v>25947580</v>
      </c>
      <c r="H11" s="273">
        <f>H8+H10</f>
        <v>25860642</v>
      </c>
      <c r="I11" s="97">
        <f>(G11-H11)/H11</f>
        <v>3.3617881566900001E-3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21"/>
      <c r="E14" s="522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10713</v>
      </c>
      <c r="C16" s="305">
        <f>'Major Airline Stats'!K16+'Major Airline Stats'!K20</f>
        <v>10713</v>
      </c>
      <c r="D16" s="47">
        <f t="shared" ref="D16:D21" si="0">SUM(B16:C16)</f>
        <v>21426</v>
      </c>
      <c r="E16" s="9">
        <f>'[1]Monthly Summary'!D16</f>
        <v>21947</v>
      </c>
      <c r="F16" s="95">
        <f t="shared" ref="F16:F22" si="1">(D16-E16)/E16</f>
        <v>-2.3739007609240442E-2</v>
      </c>
      <c r="G16" s="9">
        <f>+D16+'[2]Monthly Summary'!G16</f>
        <v>149803</v>
      </c>
      <c r="H16" s="9">
        <f>'[1]Monthly Summary'!G16</f>
        <v>154204</v>
      </c>
      <c r="I16" s="262">
        <f t="shared" ref="I16:I22" si="2">(G16-H16)/H16</f>
        <v>-2.8540115690902961E-2</v>
      </c>
      <c r="N16" s="130"/>
    </row>
    <row r="17" spans="1:12" x14ac:dyDescent="0.2">
      <c r="A17" s="68" t="s">
        <v>5</v>
      </c>
      <c r="B17" s="47">
        <f>'Regional Major'!M15+'Regional Major'!M18</f>
        <v>6693</v>
      </c>
      <c r="C17" s="47">
        <f>'Regional Major'!M16+'Regional Major'!M19</f>
        <v>6688</v>
      </c>
      <c r="D17" s="47">
        <f>SUM(B17:C17)</f>
        <v>13381</v>
      </c>
      <c r="E17" s="9">
        <f>'[1]Monthly Summary'!D17</f>
        <v>13249</v>
      </c>
      <c r="F17" s="95">
        <f t="shared" si="1"/>
        <v>9.9630160766850332E-3</v>
      </c>
      <c r="G17" s="9">
        <f>+D17+'[2]Monthly Summary'!G17</f>
        <v>101535</v>
      </c>
      <c r="H17" s="9">
        <f>'[1]Monthly Summary'!G17</f>
        <v>102071</v>
      </c>
      <c r="I17" s="262">
        <f t="shared" si="2"/>
        <v>-5.2512466812316919E-3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5</v>
      </c>
      <c r="F18" s="95">
        <f t="shared" si="1"/>
        <v>-0.6</v>
      </c>
      <c r="G18" s="9">
        <f>+D18+'[2]Monthly Summary'!G18</f>
        <v>28</v>
      </c>
      <c r="H18" s="9">
        <f>'[1]Monthly Summary'!G18</f>
        <v>29</v>
      </c>
      <c r="I18" s="262">
        <f t="shared" si="2"/>
        <v>-3.4482758620689655E-2</v>
      </c>
    </row>
    <row r="19" spans="1:12" x14ac:dyDescent="0.2">
      <c r="A19" s="68" t="s">
        <v>11</v>
      </c>
      <c r="B19" s="47">
        <f>Cargo!N4</f>
        <v>723</v>
      </c>
      <c r="C19" s="47">
        <f>Cargo!N5</f>
        <v>722</v>
      </c>
      <c r="D19" s="47">
        <f t="shared" si="0"/>
        <v>1445</v>
      </c>
      <c r="E19" s="9">
        <f>'[1]Monthly Summary'!D19</f>
        <v>1350</v>
      </c>
      <c r="F19" s="95">
        <f t="shared" si="1"/>
        <v>7.0370370370370375E-2</v>
      </c>
      <c r="G19" s="9">
        <f>+D19+'[2]Monthly Summary'!G19</f>
        <v>10070</v>
      </c>
      <c r="H19" s="9">
        <f>'[1]Monthly Summary'!G19</f>
        <v>9718</v>
      </c>
      <c r="I19" s="262">
        <f t="shared" si="2"/>
        <v>3.6221444741716402E-2</v>
      </c>
    </row>
    <row r="20" spans="1:12" x14ac:dyDescent="0.2">
      <c r="A20" s="68" t="s">
        <v>153</v>
      </c>
      <c r="B20" s="47">
        <f>'[3]General Avation'!$FU$4</f>
        <v>947</v>
      </c>
      <c r="C20" s="47">
        <f>'[3]General Avation'!$FU$5</f>
        <v>948</v>
      </c>
      <c r="D20" s="47">
        <f>SUM(B20:C20)</f>
        <v>1895</v>
      </c>
      <c r="E20" s="9">
        <f>'[1]Monthly Summary'!D20</f>
        <v>2102</v>
      </c>
      <c r="F20" s="95">
        <f t="shared" si="1"/>
        <v>-9.8477640342530925E-2</v>
      </c>
      <c r="G20" s="9">
        <f>+D20+'[2]Monthly Summary'!G20</f>
        <v>13681</v>
      </c>
      <c r="H20" s="9">
        <f>'[1]Monthly Summary'!G20</f>
        <v>15092</v>
      </c>
      <c r="I20" s="262">
        <f t="shared" si="2"/>
        <v>-9.349324145242513E-2</v>
      </c>
    </row>
    <row r="21" spans="1:12" ht="12.75" customHeight="1" x14ac:dyDescent="0.2">
      <c r="A21" s="68" t="s">
        <v>12</v>
      </c>
      <c r="B21" s="18">
        <f>'[3]Military '!$FU$4</f>
        <v>65</v>
      </c>
      <c r="C21" s="18">
        <f>'[3]Military '!$FU$5</f>
        <v>65</v>
      </c>
      <c r="D21" s="18">
        <f t="shared" si="0"/>
        <v>130</v>
      </c>
      <c r="E21" s="120">
        <f>'[1]Monthly Summary'!D21</f>
        <v>90</v>
      </c>
      <c r="F21" s="260">
        <f t="shared" si="1"/>
        <v>0.44444444444444442</v>
      </c>
      <c r="G21" s="120">
        <f>+D21+'[2]Monthly Summary'!G21</f>
        <v>830</v>
      </c>
      <c r="H21" s="120">
        <f>'[1]Monthly Summary'!G21</f>
        <v>465</v>
      </c>
      <c r="I21" s="263">
        <f t="shared" si="2"/>
        <v>0.78494623655913975</v>
      </c>
    </row>
    <row r="22" spans="1:12" ht="15.75" thickBot="1" x14ac:dyDescent="0.3">
      <c r="A22" s="69" t="s">
        <v>28</v>
      </c>
      <c r="B22" s="274">
        <f>SUM(B16:B21)</f>
        <v>19142</v>
      </c>
      <c r="C22" s="274">
        <f>SUM(C16:C21)</f>
        <v>19137</v>
      </c>
      <c r="D22" s="274">
        <f>SUM(D16:D21)</f>
        <v>38279</v>
      </c>
      <c r="E22" s="274">
        <f>SUM(E16:E21)</f>
        <v>38743</v>
      </c>
      <c r="F22" s="270">
        <f t="shared" si="1"/>
        <v>-1.1976357019332525E-2</v>
      </c>
      <c r="G22" s="274">
        <f>SUM(G16:G21)</f>
        <v>275947</v>
      </c>
      <c r="H22" s="274">
        <f>SUM(H16:H21)</f>
        <v>281579</v>
      </c>
      <c r="I22" s="271">
        <f t="shared" si="2"/>
        <v>-2.0001491588506243E-2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21"/>
      <c r="E25" s="522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11041.675232192989</v>
      </c>
      <c r="C27" s="22">
        <f>(Cargo!N21+'Major Airline Stats'!K33+'Regional Major'!M30)*0.00045359237</f>
        <v>8740.10082679888</v>
      </c>
      <c r="D27" s="22">
        <f>(SUM(B27:C27)+('Cargo Summary'!E17*0.00045359237))</f>
        <v>19781.776058991869</v>
      </c>
      <c r="E27" s="9">
        <f>'[1]Monthly Summary'!D27</f>
        <v>19026.246299162409</v>
      </c>
      <c r="F27" s="98">
        <f>(D27-E27)/E27</f>
        <v>3.9709869616410924E-2</v>
      </c>
      <c r="G27" s="9">
        <f>+D27+'[2]Monthly Summary'!G27</f>
        <v>139488.12189095555</v>
      </c>
      <c r="H27" s="9">
        <f>'[1]Monthly Summary'!G27</f>
        <v>135305.77344337053</v>
      </c>
      <c r="I27" s="100">
        <f>(G27-H27)/H27</f>
        <v>3.091034729080093E-2</v>
      </c>
    </row>
    <row r="28" spans="1:12" x14ac:dyDescent="0.2">
      <c r="A28" s="62" t="s">
        <v>16</v>
      </c>
      <c r="B28" s="22">
        <f>(Cargo!N17+'Major Airline Stats'!K29+'Regional Major'!M26)*0.00045359237</f>
        <v>893.13335556213997</v>
      </c>
      <c r="C28" s="22">
        <f>(Cargo!N22+'Major Airline Stats'!K34+'Regional Major'!M31)*0.00045359237</f>
        <v>1254.25457064446</v>
      </c>
      <c r="D28" s="22">
        <f>SUM(B28:C28)</f>
        <v>2147.3879262066002</v>
      </c>
      <c r="E28" s="9">
        <f>'[1]Monthly Summary'!D28</f>
        <v>2541.1088249208196</v>
      </c>
      <c r="F28" s="98">
        <f>(D28-E28)/E28</f>
        <v>-0.15494058926283397</v>
      </c>
      <c r="G28" s="120">
        <f>+D28+'[2]Monthly Summary'!G28</f>
        <v>16984.334021121387</v>
      </c>
      <c r="H28" s="9">
        <f>'[1]Monthly Summary'!G28</f>
        <v>17177.375222723098</v>
      </c>
      <c r="I28" s="100">
        <f>(G28-H28)/H28</f>
        <v>-1.1238108214946958E-2</v>
      </c>
    </row>
    <row r="29" spans="1:12" ht="15.75" thickBot="1" x14ac:dyDescent="0.3">
      <c r="A29" s="63" t="s">
        <v>62</v>
      </c>
      <c r="B29" s="54">
        <f>SUM(B27:B28)</f>
        <v>11934.808587755129</v>
      </c>
      <c r="C29" s="54">
        <f>SUM(C27:C28)</f>
        <v>9994.3553974433398</v>
      </c>
      <c r="D29" s="54">
        <f>SUM(D27:D28)</f>
        <v>21929.163985198469</v>
      </c>
      <c r="E29" s="54">
        <f>SUM(E27:E28)</f>
        <v>21567.355124083228</v>
      </c>
      <c r="F29" s="99">
        <f>(D29-E29)/E29</f>
        <v>1.6775764067204841E-2</v>
      </c>
      <c r="G29" s="54">
        <f>SUM(G27:G28)</f>
        <v>156472.45591207693</v>
      </c>
      <c r="H29" s="54">
        <f>SUM(H27:H28)</f>
        <v>152483.14866609362</v>
      </c>
      <c r="I29" s="101">
        <f>(G29-H29)/H29</f>
        <v>2.6162282723575302E-2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1081089</v>
      </c>
      <c r="C32" s="392">
        <f>B32/C8</f>
        <v>0.59926198730179148</v>
      </c>
      <c r="D32" s="393">
        <f>+B32+'[2]Monthly Summary'!$D$32</f>
        <v>7845413</v>
      </c>
      <c r="E32" s="394">
        <f>+D32/D34</f>
        <v>0.62710556896383318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722945</v>
      </c>
      <c r="C33" s="397">
        <f>+B33/C8</f>
        <v>0.40073801269820858</v>
      </c>
      <c r="D33" s="398">
        <f>+B33+'[2]Monthly Summary'!$D$33</f>
        <v>4665101</v>
      </c>
      <c r="E33" s="399">
        <f>+D33/D34</f>
        <v>0.37289443103616687</v>
      </c>
      <c r="G33" s="408"/>
      <c r="H33" s="408"/>
      <c r="I33" s="407"/>
    </row>
    <row r="34" spans="1:14" ht="13.5" thickBot="1" x14ac:dyDescent="0.25">
      <c r="B34" s="309"/>
      <c r="D34" s="400">
        <f>SUM(D32:D33)</f>
        <v>12510514</v>
      </c>
    </row>
    <row r="35" spans="1:14" ht="13.5" thickBot="1" x14ac:dyDescent="0.25">
      <c r="B35" s="517" t="s">
        <v>230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1007612</v>
      </c>
      <c r="C36" s="392">
        <f>+B36/B38</f>
        <v>0.56901031445972616</v>
      </c>
      <c r="D36" s="393">
        <f>'[1]Monthly Summary'!$D$32</f>
        <v>7471528</v>
      </c>
      <c r="E36" s="394">
        <f>+D36/D38</f>
        <v>0.59904886966480486</v>
      </c>
    </row>
    <row r="37" spans="1:14" ht="13.5" thickBot="1" x14ac:dyDescent="0.25">
      <c r="A37" s="395" t="s">
        <v>151</v>
      </c>
      <c r="B37" s="396">
        <f>'[1]Monthly Summary'!$B$33</f>
        <v>763203</v>
      </c>
      <c r="C37" s="399">
        <f>+B37/B38</f>
        <v>0.43098968554027384</v>
      </c>
      <c r="D37" s="398">
        <f>'[1]Monthly Summary'!$D$33</f>
        <v>5000790</v>
      </c>
      <c r="E37" s="399">
        <f>+D37/D38</f>
        <v>0.40095113033519508</v>
      </c>
      <c r="M37" s="13"/>
    </row>
    <row r="38" spans="1:14" x14ac:dyDescent="0.2">
      <c r="B38" s="415">
        <f>+SUM(B36:B37)</f>
        <v>1770815</v>
      </c>
      <c r="D38" s="400">
        <f>SUM(D36:D37)</f>
        <v>12472318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3" zoomScaleNormal="100" zoomScaleSheetLayoutView="100" workbookViewId="0">
      <selection activeCell="Q23" sqref="Q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43313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[3]Delta!$FU$32</f>
        <v>89576</v>
      </c>
      <c r="C4" s="21">
        <f>'[3]Atlantic Southeast'!$FU$32</f>
        <v>0</v>
      </c>
      <c r="D4" s="21">
        <f>[3]Pinnacle!$FU$32</f>
        <v>4790</v>
      </c>
      <c r="E4" s="21">
        <f>[3]Compass!$FU$32</f>
        <v>0</v>
      </c>
      <c r="F4" s="21">
        <f>'[3]Sky West'!$FU$32</f>
        <v>10441</v>
      </c>
      <c r="G4" s="21">
        <f>'[3]Go Jet'!$FU$32</f>
        <v>1821</v>
      </c>
      <c r="H4" s="21">
        <f>'[3]Sun Country'!$FU$32</f>
        <v>591</v>
      </c>
      <c r="I4" s="21">
        <f>[3]Icelandair!$FU$32</f>
        <v>7211</v>
      </c>
      <c r="J4" s="21">
        <f>[3]KLM!$FU$32</f>
        <v>4403</v>
      </c>
      <c r="K4" s="21">
        <f>'[3]Air Georgian'!$FU$32</f>
        <v>0</v>
      </c>
      <c r="L4" s="21">
        <f>'[3]Sky Regional'!$FU$32</f>
        <v>5892</v>
      </c>
      <c r="M4" s="21">
        <f>[3]Condor!$FU$32</f>
        <v>4458</v>
      </c>
      <c r="N4" s="21">
        <f>'[3]Air France'!$FU$32</f>
        <v>7850</v>
      </c>
      <c r="O4" s="21">
        <f>'[3]Charter Misc'!$FU$32+[3]Ryan!$FU$32+[3]Omni!$FU$32</f>
        <v>0</v>
      </c>
      <c r="P4" s="281">
        <f>SUM(B4:O4)</f>
        <v>137033</v>
      </c>
    </row>
    <row r="5" spans="1:16" x14ac:dyDescent="0.2">
      <c r="A5" s="62" t="s">
        <v>31</v>
      </c>
      <c r="B5" s="14">
        <f>[3]Delta!$FU$33</f>
        <v>86560</v>
      </c>
      <c r="C5" s="14">
        <f>'[3]Atlantic Southeast'!$FU$33</f>
        <v>0</v>
      </c>
      <c r="D5" s="14">
        <f>[3]Pinnacle!$FU$33</f>
        <v>4848</v>
      </c>
      <c r="E5" s="14">
        <f>[3]Compass!$FU$33</f>
        <v>0</v>
      </c>
      <c r="F5" s="14">
        <f>'[3]Sky West'!$FU$33</f>
        <v>10216</v>
      </c>
      <c r="G5" s="14">
        <f>'[3]Go Jet'!$FU$33</f>
        <v>1794</v>
      </c>
      <c r="H5" s="14">
        <f>'[3]Sun Country'!$FU$33</f>
        <v>660</v>
      </c>
      <c r="I5" s="14">
        <f>[3]Icelandair!$FU$33</f>
        <v>7240</v>
      </c>
      <c r="J5" s="14">
        <f>[3]KLM!$FU$33</f>
        <v>4249</v>
      </c>
      <c r="K5" s="14">
        <f>'[3]Air Georgian'!$FU$33</f>
        <v>0</v>
      </c>
      <c r="L5" s="14">
        <f>'[3]Sky Regional'!$FU$33</f>
        <v>6057</v>
      </c>
      <c r="M5" s="14">
        <f>[3]Condor!$FU$33</f>
        <v>4529</v>
      </c>
      <c r="N5" s="14">
        <f>'[3]Air France'!$FU$33</f>
        <v>7190</v>
      </c>
      <c r="O5" s="14">
        <f>'[3]Charter Misc'!$FU$33++[3]Ryan!$FU$33+[3]Omni!$FU$33</f>
        <v>0</v>
      </c>
      <c r="P5" s="282">
        <f>SUM(B5:O5)</f>
        <v>133343</v>
      </c>
    </row>
    <row r="6" spans="1:16" ht="15" x14ac:dyDescent="0.25">
      <c r="A6" s="60" t="s">
        <v>7</v>
      </c>
      <c r="B6" s="34">
        <f t="shared" ref="B6:O6" si="0">SUM(B4:B5)</f>
        <v>176136</v>
      </c>
      <c r="C6" s="34">
        <f t="shared" si="0"/>
        <v>0</v>
      </c>
      <c r="D6" s="34">
        <f t="shared" si="0"/>
        <v>9638</v>
      </c>
      <c r="E6" s="34">
        <f t="shared" si="0"/>
        <v>0</v>
      </c>
      <c r="F6" s="34">
        <f t="shared" si="0"/>
        <v>20657</v>
      </c>
      <c r="G6" s="34">
        <f t="shared" ref="G6" si="1">SUM(G4:G5)</f>
        <v>3615</v>
      </c>
      <c r="H6" s="34">
        <f t="shared" si="0"/>
        <v>1251</v>
      </c>
      <c r="I6" s="34">
        <f t="shared" si="0"/>
        <v>14451</v>
      </c>
      <c r="J6" s="34">
        <f t="shared" ref="J6" si="2">SUM(J4:J5)</f>
        <v>8652</v>
      </c>
      <c r="K6" s="34">
        <f t="shared" si="0"/>
        <v>0</v>
      </c>
      <c r="L6" s="34">
        <f t="shared" ref="L6" si="3">SUM(L4:L5)</f>
        <v>11949</v>
      </c>
      <c r="M6" s="34">
        <f t="shared" ref="M6" si="4">SUM(M4:M5)</f>
        <v>8987</v>
      </c>
      <c r="N6" s="34">
        <f t="shared" si="0"/>
        <v>15040</v>
      </c>
      <c r="O6" s="34">
        <f t="shared" si="0"/>
        <v>0</v>
      </c>
      <c r="P6" s="283">
        <f>SUM(B6:O6)</f>
        <v>270376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[3]Delta!$FU$37</f>
        <v>2213</v>
      </c>
      <c r="C9" s="21">
        <f>'[3]Atlantic Southeast'!$FU$37</f>
        <v>0</v>
      </c>
      <c r="D9" s="21">
        <f>[3]Pinnacle!$FU$37</f>
        <v>95</v>
      </c>
      <c r="E9" s="21">
        <f>[3]Compass!$FU$37</f>
        <v>0</v>
      </c>
      <c r="F9" s="21">
        <f>'[3]Sky West'!$FU$37</f>
        <v>81</v>
      </c>
      <c r="G9" s="21">
        <f>'[3]Go Jet'!$FU$37</f>
        <v>22</v>
      </c>
      <c r="H9" s="21">
        <f>'[3]Sun Country'!$FU$37</f>
        <v>6</v>
      </c>
      <c r="I9" s="21">
        <f>[3]Icelandair!$FU$37</f>
        <v>91</v>
      </c>
      <c r="J9" s="21">
        <f>[3]KLM!$FU$37</f>
        <v>23</v>
      </c>
      <c r="K9" s="21">
        <f>'[3]Air Georgian'!$FU$37</f>
        <v>0</v>
      </c>
      <c r="L9" s="21">
        <f>'[3]Sky Regional'!$FU$37</f>
        <v>93</v>
      </c>
      <c r="M9" s="21">
        <f>[3]Condor!$FU$37</f>
        <v>6</v>
      </c>
      <c r="N9" s="21">
        <f>'[3]Air France'!$FU$37</f>
        <v>24</v>
      </c>
      <c r="O9" s="21">
        <f>'[3]Charter Misc'!$FU$37+[3]Ryan!$FU$37+[3]Omni!$FU$37</f>
        <v>0</v>
      </c>
      <c r="P9" s="281">
        <f>SUM(B9:O9)</f>
        <v>2654</v>
      </c>
    </row>
    <row r="10" spans="1:16" x14ac:dyDescent="0.2">
      <c r="A10" s="62" t="s">
        <v>33</v>
      </c>
      <c r="B10" s="14">
        <f>[3]Delta!$FU$38</f>
        <v>2316</v>
      </c>
      <c r="C10" s="14">
        <f>'[3]Atlantic Southeast'!$FU$38</f>
        <v>0</v>
      </c>
      <c r="D10" s="14">
        <f>[3]Pinnacle!$FU$38</f>
        <v>115</v>
      </c>
      <c r="E10" s="14">
        <f>[3]Compass!$FU$38</f>
        <v>0</v>
      </c>
      <c r="F10" s="14">
        <f>'[3]Sky West'!$FU$38</f>
        <v>100</v>
      </c>
      <c r="G10" s="14">
        <f>'[3]Go Jet'!$FU$38</f>
        <v>23</v>
      </c>
      <c r="H10" s="14">
        <f>'[3]Sun Country'!$FU$38</f>
        <v>5</v>
      </c>
      <c r="I10" s="14">
        <f>[3]Icelandair!$FU$38</f>
        <v>141</v>
      </c>
      <c r="J10" s="14">
        <f>[3]KLM!$FU$38</f>
        <v>29</v>
      </c>
      <c r="K10" s="14">
        <f>'[3]Air Georgian'!$FU$38</f>
        <v>0</v>
      </c>
      <c r="L10" s="14">
        <f>'[3]Sky Regional'!$FU$38</f>
        <v>89</v>
      </c>
      <c r="M10" s="14">
        <f>[3]Condor!$FU$38</f>
        <v>6</v>
      </c>
      <c r="N10" s="14">
        <f>'[3]Air France'!$FU$38</f>
        <v>13</v>
      </c>
      <c r="O10" s="14">
        <f>'[3]Charter Misc'!$FU$38+[3]Ryan!$FU$38+[3]Omni!$FU$38</f>
        <v>0</v>
      </c>
      <c r="P10" s="282">
        <f>SUM(B10:O10)</f>
        <v>2837</v>
      </c>
    </row>
    <row r="11" spans="1:16" ht="15.75" thickBot="1" x14ac:dyDescent="0.3">
      <c r="A11" s="63" t="s">
        <v>34</v>
      </c>
      <c r="B11" s="284">
        <f t="shared" ref="B11:H11" si="5">SUM(B9:B10)</f>
        <v>4529</v>
      </c>
      <c r="C11" s="284">
        <f t="shared" si="5"/>
        <v>0</v>
      </c>
      <c r="D11" s="284">
        <f t="shared" si="5"/>
        <v>210</v>
      </c>
      <c r="E11" s="284">
        <f t="shared" si="5"/>
        <v>0</v>
      </c>
      <c r="F11" s="284">
        <f t="shared" si="5"/>
        <v>181</v>
      </c>
      <c r="G11" s="284">
        <f t="shared" ref="G11" si="6">SUM(G9:G10)</f>
        <v>45</v>
      </c>
      <c r="H11" s="284">
        <f t="shared" si="5"/>
        <v>11</v>
      </c>
      <c r="I11" s="284">
        <f t="shared" ref="I11:O11" si="7">SUM(I9:I10)</f>
        <v>232</v>
      </c>
      <c r="J11" s="284">
        <f t="shared" ref="J11" si="8">SUM(J9:J10)</f>
        <v>52</v>
      </c>
      <c r="K11" s="284">
        <f t="shared" si="7"/>
        <v>0</v>
      </c>
      <c r="L11" s="284">
        <f t="shared" ref="L11" si="9">SUM(L9:L10)</f>
        <v>182</v>
      </c>
      <c r="M11" s="284">
        <f t="shared" si="7"/>
        <v>12</v>
      </c>
      <c r="N11" s="284">
        <f t="shared" si="7"/>
        <v>37</v>
      </c>
      <c r="O11" s="284">
        <f t="shared" si="7"/>
        <v>0</v>
      </c>
      <c r="P11" s="285">
        <f>SUM(B11:O11)</f>
        <v>5491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SUM([3]Delta!$FN$32:$FU$32)</f>
        <v>672888</v>
      </c>
      <c r="C16" s="21">
        <f>SUM('[3]Atlantic Southeast'!$FN$32:$FU$32)</f>
        <v>2369</v>
      </c>
      <c r="D16" s="21">
        <f>SUM([3]Pinnacle!$FN$32:$FU$32)</f>
        <v>46095</v>
      </c>
      <c r="E16" s="21">
        <f>SUM([3]Compass!$FN$32:$FU$32)</f>
        <v>0</v>
      </c>
      <c r="F16" s="21">
        <f>SUM('[3]Sky West'!$FN$32:$FU$32)</f>
        <v>86960</v>
      </c>
      <c r="G16" s="21">
        <f>SUM('[3]Go Jet'!$FN$32:$FU$32)</f>
        <v>16965</v>
      </c>
      <c r="H16" s="21">
        <f>SUM('[3]Sun Country'!$FN$32:$FU$32)</f>
        <v>125849</v>
      </c>
      <c r="I16" s="21">
        <f>SUM([3]Icelandair!$FN$32:$FU$32)</f>
        <v>31338</v>
      </c>
      <c r="J16" s="21">
        <f>SUM([3]KLM!$FN$32:$FU$32)</f>
        <v>29247</v>
      </c>
      <c r="K16" s="21">
        <f>SUM('[3]Air Georgian'!$FN$32:$FU$32)</f>
        <v>0</v>
      </c>
      <c r="L16" s="21">
        <f>SUM('[3]Sky Regional'!$FN$32:$FU$32)</f>
        <v>39563</v>
      </c>
      <c r="M16" s="21">
        <f>SUM([3]Condor!$FN$32:$FU$32)</f>
        <v>12239</v>
      </c>
      <c r="N16" s="21">
        <f>SUM('[3]Air France'!$FN$32:$FU$32)</f>
        <v>24640</v>
      </c>
      <c r="O16" s="21">
        <f>SUM('[3]Charter Misc'!$FN$32:$FU$32)+SUM([3]Ryan!$FN$32:$FU$32)+SUM([3]Omni!$FN$32:$FU$32)</f>
        <v>37</v>
      </c>
      <c r="P16" s="281">
        <f>SUM(B16:O16)</f>
        <v>1088190</v>
      </c>
    </row>
    <row r="17" spans="1:19" x14ac:dyDescent="0.2">
      <c r="A17" s="62" t="s">
        <v>31</v>
      </c>
      <c r="B17" s="14">
        <f>SUM([3]Delta!$FN$33:$FU$33)</f>
        <v>655354</v>
      </c>
      <c r="C17" s="14">
        <f>SUM('[3]Atlantic Southeast'!$FN$33:$FU$33)</f>
        <v>3166</v>
      </c>
      <c r="D17" s="14">
        <f>SUM([3]Pinnacle!$FN$33:$FU$33)</f>
        <v>46645</v>
      </c>
      <c r="E17" s="14">
        <f>SUM([3]Compass!$FN$33:$FU$33)</f>
        <v>0</v>
      </c>
      <c r="F17" s="14">
        <f>SUM('[3]Sky West'!$FN$33:$FU$33)</f>
        <v>89591</v>
      </c>
      <c r="G17" s="14">
        <f>SUM('[3]Go Jet'!$FN$33:$FU$33)</f>
        <v>15814</v>
      </c>
      <c r="H17" s="14">
        <f>SUM('[3]Sun Country'!$FN$33:$FU$33)</f>
        <v>119523</v>
      </c>
      <c r="I17" s="14">
        <f>SUM([3]Icelandair!$FN$33:$FU$33)</f>
        <v>32436</v>
      </c>
      <c r="J17" s="14">
        <f>SUM([3]KLM!$FN$33:$FU$33)</f>
        <v>26539</v>
      </c>
      <c r="K17" s="14">
        <f>SUM('[3]Air Georgian'!$FN$33:$FU$33)</f>
        <v>0</v>
      </c>
      <c r="L17" s="14">
        <f>SUM('[3]Sky Regional'!$FN$33:$FU$33)</f>
        <v>38665</v>
      </c>
      <c r="M17" s="14">
        <f>SUM([3]Condor!$FN$33:$FU$33)</f>
        <v>12671</v>
      </c>
      <c r="N17" s="14">
        <f>SUM('[3]Air France'!$FN$33:$FU$33)</f>
        <v>22080</v>
      </c>
      <c r="O17" s="14">
        <f>SUM('[3]Charter Misc'!$FN$33:$FU$33)++SUM([3]Ryan!$FN$33:$FU$33)+SUM([3]Omni!$FN$33:$FU$33)</f>
        <v>0</v>
      </c>
      <c r="P17" s="282">
        <f>SUM(B17:O17)</f>
        <v>1062484</v>
      </c>
    </row>
    <row r="18" spans="1:19" ht="15" x14ac:dyDescent="0.25">
      <c r="A18" s="60" t="s">
        <v>7</v>
      </c>
      <c r="B18" s="34">
        <f t="shared" ref="B18:O18" si="10">SUM(B16:B17)</f>
        <v>1328242</v>
      </c>
      <c r="C18" s="34">
        <f t="shared" si="10"/>
        <v>5535</v>
      </c>
      <c r="D18" s="34">
        <f t="shared" si="10"/>
        <v>92740</v>
      </c>
      <c r="E18" s="34">
        <f t="shared" si="10"/>
        <v>0</v>
      </c>
      <c r="F18" s="34">
        <f t="shared" si="10"/>
        <v>176551</v>
      </c>
      <c r="G18" s="34">
        <f t="shared" ref="G18" si="11">SUM(G16:G17)</f>
        <v>32779</v>
      </c>
      <c r="H18" s="34">
        <f t="shared" si="10"/>
        <v>245372</v>
      </c>
      <c r="I18" s="34">
        <f t="shared" si="10"/>
        <v>63774</v>
      </c>
      <c r="J18" s="34">
        <f t="shared" ref="J18" si="12">SUM(J16:J17)</f>
        <v>55786</v>
      </c>
      <c r="K18" s="34">
        <f t="shared" si="10"/>
        <v>0</v>
      </c>
      <c r="L18" s="34">
        <f t="shared" ref="L18" si="13">SUM(L16:L17)</f>
        <v>78228</v>
      </c>
      <c r="M18" s="34">
        <f t="shared" ref="M18" si="14">SUM(M16:M17)</f>
        <v>24910</v>
      </c>
      <c r="N18" s="34">
        <f t="shared" si="10"/>
        <v>46720</v>
      </c>
      <c r="O18" s="34">
        <f t="shared" si="10"/>
        <v>37</v>
      </c>
      <c r="P18" s="283">
        <f>SUM(B18:O18)</f>
        <v>2150674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SUM([3]Delta!$FN$37:$FU$37)</f>
        <v>35846</v>
      </c>
      <c r="C21" s="21">
        <f>SUM('[3]Atlantic Southeast'!$FN$37:$FU$37)</f>
        <v>48</v>
      </c>
      <c r="D21" s="21">
        <f>SUM([3]Pinnacle!$FN$37:$FU$37)</f>
        <v>763</v>
      </c>
      <c r="E21" s="21">
        <f>SUM([3]Compass!$FN$37:$FU$37)</f>
        <v>0</v>
      </c>
      <c r="F21" s="21">
        <f>SUM('[3]Sky West'!$FN$37:$FU$37)</f>
        <v>827</v>
      </c>
      <c r="G21" s="21">
        <f>SUM('[3]Go Jet'!$FN$37:$FU$37)</f>
        <v>272</v>
      </c>
      <c r="H21" s="21">
        <f>SUM('[3]Sun Country'!$FN$37:$FU$37)</f>
        <v>781</v>
      </c>
      <c r="I21" s="21">
        <f>SUM([3]Icelandair!$FN$37:$FU$37)</f>
        <v>459</v>
      </c>
      <c r="J21" s="21">
        <f>SUM([3]KLM!$FN$37:$FU$37)</f>
        <v>222</v>
      </c>
      <c r="K21" s="21">
        <f>SUM('[3]Air Georgian'!$FN$37:$FU$37)</f>
        <v>0</v>
      </c>
      <c r="L21" s="21">
        <f>SUM('[3]Sky Regional'!$FN$37:$FU$37)</f>
        <v>454</v>
      </c>
      <c r="M21" s="21">
        <f>SUM([3]Condor!$FN$37:$FU$37)</f>
        <v>15</v>
      </c>
      <c r="N21" s="21">
        <f>SUM('[3]Air France'!$FN$37:$FU$37)</f>
        <v>53</v>
      </c>
      <c r="O21" s="21">
        <f>SUM('[3]Charter Misc'!$FN$37:$FU$37)++SUM([3]Ryan!$FN$37:$FU$37)+SUM([3]Omni!$FN$37:$FU$37)</f>
        <v>0</v>
      </c>
      <c r="P21" s="281">
        <f>SUM(B21:O21)</f>
        <v>39740</v>
      </c>
    </row>
    <row r="22" spans="1:19" x14ac:dyDescent="0.2">
      <c r="A22" s="62" t="s">
        <v>33</v>
      </c>
      <c r="B22" s="14">
        <f>SUM([3]Delta!$FN$38:$FU$38)</f>
        <v>18078</v>
      </c>
      <c r="C22" s="14">
        <f>SUM('[3]Atlantic Southeast'!$FN$38:$FU$38)</f>
        <v>35</v>
      </c>
      <c r="D22" s="14">
        <f>SUM([3]Pinnacle!$FN$38:$FU$38)</f>
        <v>818</v>
      </c>
      <c r="E22" s="14">
        <f>SUM([3]Compass!$FN$38:$FU$38)</f>
        <v>0</v>
      </c>
      <c r="F22" s="14">
        <f>SUM('[3]Sky West'!$FN$38:$FU$38)</f>
        <v>843</v>
      </c>
      <c r="G22" s="14">
        <f>SUM('[3]Go Jet'!$FN$38:$FU$38)</f>
        <v>310</v>
      </c>
      <c r="H22" s="14">
        <f>SUM('[3]Sun Country'!$FN$38:$FU$38)</f>
        <v>949</v>
      </c>
      <c r="I22" s="14">
        <f>SUM([3]Icelandair!$FN$38:$FU$38)</f>
        <v>508</v>
      </c>
      <c r="J22" s="14">
        <f>SUM([3]KLM!$FN$38:$FU$38)</f>
        <v>180</v>
      </c>
      <c r="K22" s="14">
        <f>SUM('[3]Air Georgian'!$FN$38:$FU$38)</f>
        <v>0</v>
      </c>
      <c r="L22" s="14">
        <f>SUM('[3]Sky Regional'!$FN$38:$FU$38)</f>
        <v>472</v>
      </c>
      <c r="M22" s="14">
        <f>SUM([3]Condor!$FN$38:$FU$38)</f>
        <v>15</v>
      </c>
      <c r="N22" s="14">
        <f>SUM('[3]Air France'!$FN$38:$FU$38)</f>
        <v>40</v>
      </c>
      <c r="O22" s="14">
        <f>SUM('[3]Charter Misc'!$FN$38:$FU$38)++SUM([3]Ryan!$FN$38:$FU$38)+SUM([3]Omni!$FN$38:$FU$38)</f>
        <v>0</v>
      </c>
      <c r="P22" s="282">
        <f>SUM(B22:O22)</f>
        <v>22248</v>
      </c>
    </row>
    <row r="23" spans="1:19" ht="15.75" thickBot="1" x14ac:dyDescent="0.3">
      <c r="A23" s="63" t="s">
        <v>34</v>
      </c>
      <c r="B23" s="284">
        <f t="shared" ref="B23:O23" si="15">SUM(B21:B22)</f>
        <v>53924</v>
      </c>
      <c r="C23" s="284">
        <f t="shared" si="15"/>
        <v>83</v>
      </c>
      <c r="D23" s="284">
        <f t="shared" si="15"/>
        <v>1581</v>
      </c>
      <c r="E23" s="284">
        <f t="shared" si="15"/>
        <v>0</v>
      </c>
      <c r="F23" s="284">
        <f t="shared" si="15"/>
        <v>1670</v>
      </c>
      <c r="G23" s="284">
        <f t="shared" ref="G23" si="16">SUM(G21:G22)</f>
        <v>582</v>
      </c>
      <c r="H23" s="284">
        <f t="shared" si="15"/>
        <v>1730</v>
      </c>
      <c r="I23" s="284">
        <f t="shared" si="15"/>
        <v>967</v>
      </c>
      <c r="J23" s="284">
        <f t="shared" ref="J23" si="17">SUM(J21:J22)</f>
        <v>402</v>
      </c>
      <c r="K23" s="284">
        <f t="shared" si="15"/>
        <v>0</v>
      </c>
      <c r="L23" s="284">
        <f t="shared" ref="L23" si="18">SUM(L21:L22)</f>
        <v>926</v>
      </c>
      <c r="M23" s="284">
        <f t="shared" ref="M23" si="19">SUM(M21:M22)</f>
        <v>30</v>
      </c>
      <c r="N23" s="284">
        <f t="shared" si="15"/>
        <v>93</v>
      </c>
      <c r="O23" s="284">
        <f t="shared" si="15"/>
        <v>0</v>
      </c>
      <c r="P23" s="285">
        <f>SUM(B23:O23)</f>
        <v>61988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[3]Delta!$FU$15</f>
        <v>502</v>
      </c>
      <c r="C27" s="21">
        <f>'[3]Atlantic Southeast'!$FU$15</f>
        <v>0</v>
      </c>
      <c r="D27" s="21">
        <f>[3]Pinnacle!$FU$15</f>
        <v>69</v>
      </c>
      <c r="E27" s="21">
        <f>[3]Compass!$FU$15</f>
        <v>0</v>
      </c>
      <c r="F27" s="21">
        <f>'[3]Sky West'!$FU$15</f>
        <v>153</v>
      </c>
      <c r="G27" s="21">
        <f>'[3]Go Jet'!$FU$15</f>
        <v>28</v>
      </c>
      <c r="H27" s="21">
        <f>'[3]Sun Country'!$FU$15</f>
        <v>5</v>
      </c>
      <c r="I27" s="21">
        <f>[3]Icelandair!$FU$15</f>
        <v>49</v>
      </c>
      <c r="J27" s="21">
        <f>[3]KLM!$FU$15</f>
        <v>17</v>
      </c>
      <c r="K27" s="21">
        <f>'[3]Air Georgian'!$FU$15</f>
        <v>0</v>
      </c>
      <c r="L27" s="21">
        <f>'[3]Sky Regional'!$FU$15</f>
        <v>91</v>
      </c>
      <c r="M27" s="21">
        <f>[3]Condor!$FU$15</f>
        <v>18</v>
      </c>
      <c r="N27" s="21">
        <f>'[3]Air France'!$FU$15</f>
        <v>31</v>
      </c>
      <c r="O27" s="21">
        <f>'[3]Charter Misc'!$FU$15+[3]Ryan!$FU$15+[3]Omni!$FU$15</f>
        <v>0</v>
      </c>
      <c r="P27" s="281">
        <f>SUM(B27:O27)</f>
        <v>963</v>
      </c>
    </row>
    <row r="28" spans="1:19" x14ac:dyDescent="0.2">
      <c r="A28" s="62" t="s">
        <v>23</v>
      </c>
      <c r="B28" s="21">
        <f>[3]Delta!$FU$16</f>
        <v>505</v>
      </c>
      <c r="C28" s="21">
        <f>'[3]Atlantic Southeast'!$FU$16</f>
        <v>0</v>
      </c>
      <c r="D28" s="21">
        <f>[3]Pinnacle!$FU$16</f>
        <v>70</v>
      </c>
      <c r="E28" s="21">
        <f>[3]Compass!$FU$16</f>
        <v>0</v>
      </c>
      <c r="F28" s="21">
        <f>'[3]Sky West'!$FU$16</f>
        <v>154</v>
      </c>
      <c r="G28" s="21">
        <f>'[3]Go Jet'!$FU$16</f>
        <v>26</v>
      </c>
      <c r="H28" s="21">
        <f>'[3]Sun Country'!$FU$16</f>
        <v>5</v>
      </c>
      <c r="I28" s="21">
        <f>[3]Icelandair!$FU$16</f>
        <v>49</v>
      </c>
      <c r="J28" s="21">
        <f>[3]KLM!$FU$16</f>
        <v>17</v>
      </c>
      <c r="K28" s="21">
        <f>'[3]Air Georgian'!$FU$16</f>
        <v>0</v>
      </c>
      <c r="L28" s="21">
        <f>'[3]Sky Regional'!$FU$16</f>
        <v>91</v>
      </c>
      <c r="M28" s="21">
        <f>[3]Condor!$FU$16</f>
        <v>18</v>
      </c>
      <c r="N28" s="21">
        <f>'[3]Air France'!$FU$16</f>
        <v>31</v>
      </c>
      <c r="O28" s="21">
        <f>'[3]Charter Misc'!$FU$16+[3]Ryan!$FU$16+[3]Omni!$FU$16</f>
        <v>0</v>
      </c>
      <c r="P28" s="281">
        <f>SUM(B28:O28)</f>
        <v>966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1007</v>
      </c>
      <c r="C30" s="381">
        <f t="shared" si="20"/>
        <v>0</v>
      </c>
      <c r="D30" s="381">
        <f t="shared" si="20"/>
        <v>139</v>
      </c>
      <c r="E30" s="381">
        <f t="shared" si="20"/>
        <v>0</v>
      </c>
      <c r="F30" s="381">
        <f>SUM(F27:F28)</f>
        <v>307</v>
      </c>
      <c r="G30" s="381">
        <f>SUM(G27:G28)</f>
        <v>54</v>
      </c>
      <c r="H30" s="381">
        <f t="shared" si="20"/>
        <v>10</v>
      </c>
      <c r="I30" s="381">
        <f t="shared" si="20"/>
        <v>98</v>
      </c>
      <c r="J30" s="381">
        <f t="shared" ref="J30" si="21">SUM(J27:J28)</f>
        <v>34</v>
      </c>
      <c r="K30" s="381">
        <f t="shared" si="20"/>
        <v>0</v>
      </c>
      <c r="L30" s="381">
        <f t="shared" ref="L30" si="22">SUM(L27:L28)</f>
        <v>182</v>
      </c>
      <c r="M30" s="381">
        <f>SUM(M27:M28)</f>
        <v>36</v>
      </c>
      <c r="N30" s="381">
        <f>SUM(N27:N28)</f>
        <v>62</v>
      </c>
      <c r="O30" s="381">
        <f>SUM(O27:O28)</f>
        <v>0</v>
      </c>
      <c r="P30" s="382">
        <f>SUM(B30:O30)</f>
        <v>1929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SUM([3]Delta!$FN$15:$FU$15)</f>
        <v>4006</v>
      </c>
      <c r="C34" s="21">
        <f>SUM('[3]Atlantic Southeast'!$FN$15:$FU$15)</f>
        <v>45</v>
      </c>
      <c r="D34" s="21">
        <f>SUM([3]Pinnacle!$FN$15:$FU$15)</f>
        <v>714</v>
      </c>
      <c r="E34" s="21">
        <f>SUM([3]Compass!$FN$15:$FU$15)</f>
        <v>1</v>
      </c>
      <c r="F34" s="21">
        <f>SUM('[3]Sky West'!$FN$15:$FU$15)</f>
        <v>1401</v>
      </c>
      <c r="G34" s="21">
        <f>SUM('[3]Go Jet'!$FN$15:$FU$15)</f>
        <v>266</v>
      </c>
      <c r="H34" s="21">
        <f>SUM('[3]Sun Country'!$FN$15:$FU$15)</f>
        <v>1027</v>
      </c>
      <c r="I34" s="21">
        <f>SUM([3]Icelandair!$FN$15:$FU$15)</f>
        <v>221</v>
      </c>
      <c r="J34" s="21">
        <f>SUM([3]KLM!$FN$15:$FU$15)</f>
        <v>119</v>
      </c>
      <c r="K34" s="21">
        <f>SUM('[3]Air Georgian'!$FN$15:$FU$15)</f>
        <v>0</v>
      </c>
      <c r="L34" s="21">
        <f>SUM('[3]Sky Regional'!$FN$15:$FU$15)</f>
        <v>685</v>
      </c>
      <c r="M34" s="21">
        <f>SUM([3]Condor!$FN$15:$FU$15)</f>
        <v>51</v>
      </c>
      <c r="N34" s="21">
        <f>SUM('[3]Air France'!$FN$15:$FU$15)</f>
        <v>105</v>
      </c>
      <c r="O34" s="21">
        <f>SUM('[3]Charter Misc'!$FN$15:$FU$15)+SUM([3]Ryan!$FN$15:$FU$15)+SUM([3]Omni!$FN$15:$FU$15)</f>
        <v>0</v>
      </c>
      <c r="P34" s="281">
        <f>SUM(B34:O34)</f>
        <v>8641</v>
      </c>
    </row>
    <row r="35" spans="1:16" x14ac:dyDescent="0.2">
      <c r="A35" s="62" t="s">
        <v>23</v>
      </c>
      <c r="B35" s="21">
        <f>SUM([3]Delta!$FN$16:$FU$16)</f>
        <v>4032</v>
      </c>
      <c r="C35" s="21">
        <f>SUM('[3]Atlantic Southeast'!$FN$16:$FU$16)</f>
        <v>54</v>
      </c>
      <c r="D35" s="21">
        <f>SUM([3]Pinnacle!$FN$16:$FU$16)</f>
        <v>714</v>
      </c>
      <c r="E35" s="21">
        <f>SUM([3]Compass!$FN$16:$FU$16)</f>
        <v>0</v>
      </c>
      <c r="F35" s="21">
        <f>SUM('[3]Sky West'!$FN$16:$FU$16)</f>
        <v>1410</v>
      </c>
      <c r="G35" s="21">
        <f>SUM('[3]Go Jet'!$FN$16:$FU$16)</f>
        <v>257</v>
      </c>
      <c r="H35" s="21">
        <f>SUM('[3]Sun Country'!$FN$16:$FU$16)</f>
        <v>1020</v>
      </c>
      <c r="I35" s="21">
        <f>SUM([3]Icelandair!$FN$16:$FU$16)</f>
        <v>221</v>
      </c>
      <c r="J35" s="21">
        <f>SUM([3]KLM!$FN$16:$FU$16)</f>
        <v>119</v>
      </c>
      <c r="K35" s="21">
        <f>SUM('[3]Air Georgian'!$FN$16:$FU$16)</f>
        <v>0</v>
      </c>
      <c r="L35" s="21">
        <f>SUM('[3]Sky Regional'!$FN$16:$FU$16)</f>
        <v>685</v>
      </c>
      <c r="M35" s="21">
        <f>SUM([3]Condor!$FN$16:$FU$16)</f>
        <v>51</v>
      </c>
      <c r="N35" s="21">
        <f>SUM('[3]Air France'!$FN$16:$FU$16)</f>
        <v>105</v>
      </c>
      <c r="O35" s="21">
        <f>SUM('[3]Charter Misc'!$FN$16:$FU$16)+SUM([3]Ryan!$FN$16:$FU$16)+SUM([3]Omni!$FN$16:$FU$16)</f>
        <v>0</v>
      </c>
      <c r="P35" s="281">
        <f>SUM(B35:O35)</f>
        <v>8668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8038</v>
      </c>
      <c r="C37" s="381">
        <f t="shared" si="23"/>
        <v>99</v>
      </c>
      <c r="D37" s="381">
        <f t="shared" si="23"/>
        <v>1428</v>
      </c>
      <c r="E37" s="381">
        <f t="shared" si="23"/>
        <v>1</v>
      </c>
      <c r="F37" s="381">
        <f>+SUM(F34:F35)</f>
        <v>2811</v>
      </c>
      <c r="G37" s="381">
        <f>+SUM(G34:G35)</f>
        <v>523</v>
      </c>
      <c r="H37" s="381">
        <f t="shared" si="23"/>
        <v>2047</v>
      </c>
      <c r="I37" s="381">
        <f t="shared" si="23"/>
        <v>442</v>
      </c>
      <c r="J37" s="381">
        <f t="shared" ref="J37" si="24">+SUM(J34:J35)</f>
        <v>238</v>
      </c>
      <c r="K37" s="381">
        <f t="shared" si="23"/>
        <v>0</v>
      </c>
      <c r="L37" s="381">
        <f t="shared" ref="L37" si="25">+SUM(L34:L35)</f>
        <v>1370</v>
      </c>
      <c r="M37" s="381">
        <f>+SUM(M34:M35)</f>
        <v>102</v>
      </c>
      <c r="N37" s="381">
        <f>+SUM(N34:N35)</f>
        <v>210</v>
      </c>
      <c r="O37" s="381">
        <f>+SUM(O34:O35)</f>
        <v>0</v>
      </c>
      <c r="P37" s="382">
        <f>SUM(B37:O37)</f>
        <v>17309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&amp;"Arial,Bold"August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3"/>
  <sheetViews>
    <sheetView topLeftCell="A10" zoomScaleNormal="100" zoomScaleSheetLayoutView="85" workbookViewId="0">
      <selection activeCell="D34" sqref="D34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5" t="s">
        <v>139</v>
      </c>
      <c r="K1" s="576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71">
        <v>43313</v>
      </c>
      <c r="B2" s="572"/>
      <c r="C2" s="573" t="s">
        <v>9</v>
      </c>
      <c r="D2" s="574"/>
      <c r="E2" s="574"/>
      <c r="F2" s="574"/>
      <c r="G2" s="574"/>
      <c r="H2" s="574"/>
      <c r="I2" s="454"/>
      <c r="J2" s="571">
        <f>+A2</f>
        <v>43313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182</v>
      </c>
      <c r="D4" s="352">
        <f>SUM(D5:D7)</f>
        <v>178</v>
      </c>
      <c r="E4" s="353">
        <f>(C4-D4)/D4</f>
        <v>2.247191011235955E-2</v>
      </c>
      <c r="F4" s="350">
        <f>SUM(F5:F7)</f>
        <v>1370</v>
      </c>
      <c r="G4" s="352">
        <f>SUM(G5:G7)</f>
        <v>1399</v>
      </c>
      <c r="H4" s="351">
        <f>(F4-G4)/G4</f>
        <v>-2.0729092208720514E-2</v>
      </c>
      <c r="I4" s="353">
        <f>F4/$F$66</f>
        <v>5.4508271729702632E-3</v>
      </c>
      <c r="J4" s="349" t="s">
        <v>101</v>
      </c>
      <c r="K4" s="55"/>
      <c r="L4" s="350">
        <f>SUM(L5:L7)</f>
        <v>11949</v>
      </c>
      <c r="M4" s="352">
        <f>SUM(M5:M7)</f>
        <v>11114</v>
      </c>
      <c r="N4" s="353">
        <f>(L4-M4)/M4</f>
        <v>7.5130466078819513E-2</v>
      </c>
      <c r="O4" s="350">
        <f>SUM(O5:O7)</f>
        <v>78228</v>
      </c>
      <c r="P4" s="352">
        <f>SUM(P5:P7)</f>
        <v>66262</v>
      </c>
      <c r="Q4" s="351">
        <f>(O4-P4)/P4</f>
        <v>0.18058615797893213</v>
      </c>
      <c r="R4" s="353">
        <f>O4/$O$66</f>
        <v>3.1181671261526762E-3</v>
      </c>
      <c r="S4" s="20"/>
    </row>
    <row r="5" spans="1:19" ht="14.1" customHeight="1" x14ac:dyDescent="0.2">
      <c r="A5" s="349"/>
      <c r="B5" s="425" t="s">
        <v>101</v>
      </c>
      <c r="C5" s="354">
        <f>+[3]AirCanada!$FU$19</f>
        <v>0</v>
      </c>
      <c r="D5" s="9">
        <f>+[3]AirCanada!$FG$19</f>
        <v>0</v>
      </c>
      <c r="E5" s="86" t="e">
        <f>(C5-D5)/D5</f>
        <v>#DIV/0!</v>
      </c>
      <c r="F5" s="295">
        <f>SUM([3]AirCanada!$FN$19:$FU$19)</f>
        <v>0</v>
      </c>
      <c r="G5" s="295">
        <f>SUM([3]AirCanada!$EZ$19:$FG$19)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+[3]AirCanada!$FU$41</f>
        <v>0</v>
      </c>
      <c r="M5" s="295">
        <f>+[3]AirCanada!$FG$41</f>
        <v>0</v>
      </c>
      <c r="N5" s="433" t="e">
        <f>(L5-M5)/M5</f>
        <v>#DIV/0!</v>
      </c>
      <c r="O5" s="431">
        <f>SUM([3]AirCanada!$FN$41:$FU$41)</f>
        <v>0</v>
      </c>
      <c r="P5" s="295">
        <f>SUM([3]AirCanada!$EZ$41:$FG$41)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Georgian'!$FU$19</f>
        <v>0</v>
      </c>
      <c r="D6" s="9">
        <f>'[3]Air Georgian'!$FG$19</f>
        <v>0</v>
      </c>
      <c r="E6" s="86" t="e">
        <f>(C6-D6)/D6</f>
        <v>#DIV/0!</v>
      </c>
      <c r="F6" s="295">
        <f>SUM('[3]Air Georgian'!$FN$19:$FU$19)</f>
        <v>0</v>
      </c>
      <c r="G6" s="295">
        <f>SUM('[3]Air Georgian'!$EZ$19:$FG$19)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Georgian'!$FU$41</f>
        <v>0</v>
      </c>
      <c r="M6" s="9">
        <f>'[3]Air Georgian'!$FG$41</f>
        <v>0</v>
      </c>
      <c r="N6" s="86" t="e">
        <f>(L6-M6)/M6</f>
        <v>#DIV/0!</v>
      </c>
      <c r="O6" s="354">
        <f>SUM('[3]Air Georgian'!$FN$41:$FU$41)</f>
        <v>0</v>
      </c>
      <c r="P6" s="9">
        <f>SUM('[3]Air Georgian'!$EZ$41:$FG$41)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Regional'!$FU$19</f>
        <v>182</v>
      </c>
      <c r="D7" s="9">
        <f>'[3]Sky Regional'!$FG$19</f>
        <v>178</v>
      </c>
      <c r="E7" s="86">
        <f>(C7-D7)/D7</f>
        <v>2.247191011235955E-2</v>
      </c>
      <c r="F7" s="295">
        <f>SUM('[3]Sky Regional'!$FN$19:$FU$19)</f>
        <v>1370</v>
      </c>
      <c r="G7" s="295">
        <f>SUM('[3]Sky Regional'!$EZ$19:$FG$19)</f>
        <v>464</v>
      </c>
      <c r="H7" s="432">
        <f>(F7-G7)/G7</f>
        <v>1.9525862068965518</v>
      </c>
      <c r="I7" s="86">
        <f>F7/$F$66</f>
        <v>5.4508271729702632E-3</v>
      </c>
      <c r="J7" s="349"/>
      <c r="K7" s="425" t="s">
        <v>214</v>
      </c>
      <c r="L7" s="354">
        <f>'[3]Sky Regional'!$FU$41</f>
        <v>11949</v>
      </c>
      <c r="M7" s="9">
        <f>'[3]Sky Regional'!$FG$41</f>
        <v>11114</v>
      </c>
      <c r="N7" s="86">
        <f>(L7-M7)/M7</f>
        <v>7.5130466078819513E-2</v>
      </c>
      <c r="O7" s="354">
        <f>SUM('[3]Sky Regional'!$FN$41:$FU$41)</f>
        <v>78228</v>
      </c>
      <c r="P7" s="9">
        <f>SUM('[3]Sky Regional'!$EZ$41:$FG$41)</f>
        <v>29113</v>
      </c>
      <c r="Q7" s="39">
        <f>(O7-P7)/P7</f>
        <v>1.6870470236664032</v>
      </c>
      <c r="R7" s="86">
        <f>O7/$O$66</f>
        <v>3.1181671261526762E-3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One'!$FU$19</f>
        <v>200</v>
      </c>
      <c r="D9" s="352">
        <f>'[3]Air Choice One'!$FG$19</f>
        <v>254</v>
      </c>
      <c r="E9" s="353">
        <f>(C9-D9)/D9</f>
        <v>-0.2125984251968504</v>
      </c>
      <c r="F9" s="352">
        <f>SUM('[3]Air Choice One'!$FN$19:$FU$19)</f>
        <v>1592</v>
      </c>
      <c r="G9" s="352">
        <f>SUM('[3]Air Choice One'!$EZ$19:$FG$19)</f>
        <v>1972</v>
      </c>
      <c r="H9" s="351">
        <f>(F9-G9)/G9</f>
        <v>-0.1926977687626775</v>
      </c>
      <c r="I9" s="353">
        <f>F9/$F$66</f>
        <v>6.3340998973493859E-3</v>
      </c>
      <c r="J9" s="349" t="s">
        <v>196</v>
      </c>
      <c r="K9" s="55"/>
      <c r="L9" s="350">
        <f>'[3]Air Choice One'!$FU$41</f>
        <v>922</v>
      </c>
      <c r="M9" s="352">
        <f>'[3]Air Choice One'!$FG$41</f>
        <v>941</v>
      </c>
      <c r="N9" s="353">
        <f>(L9-M9)/M9</f>
        <v>-2.0191285866099893E-2</v>
      </c>
      <c r="O9" s="350">
        <f>SUM('[3]Air Choice One'!$FN$41:$FU$41)</f>
        <v>6670</v>
      </c>
      <c r="P9" s="352">
        <f>SUM('[3]Air Choice One'!$EZ$41:$FG$41)</f>
        <v>6736</v>
      </c>
      <c r="Q9" s="351">
        <f>(O9-P9)/P9</f>
        <v>-9.7980997624703085E-3</v>
      </c>
      <c r="R9" s="353">
        <f>O9/$O$66</f>
        <v>2.6586611867155432E-4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France'!$FU$19</f>
        <v>62</v>
      </c>
      <c r="D11" s="352">
        <f>'[3]Air France'!$FG$19</f>
        <v>60</v>
      </c>
      <c r="E11" s="353">
        <f>(C11-D11)/D11</f>
        <v>3.3333333333333333E-2</v>
      </c>
      <c r="F11" s="352">
        <f>SUM('[3]Air France'!$FN$19:$FU$19)</f>
        <v>210</v>
      </c>
      <c r="G11" s="352">
        <f>SUM('[3]Air France'!$EZ$19:$FG$19)</f>
        <v>214</v>
      </c>
      <c r="H11" s="351">
        <f>(F11-G11)/G11</f>
        <v>-1.8691588785046728E-2</v>
      </c>
      <c r="I11" s="353">
        <f>F11/$F$66</f>
        <v>8.3552825279106227E-4</v>
      </c>
      <c r="J11" s="349" t="s">
        <v>162</v>
      </c>
      <c r="K11" s="55"/>
      <c r="L11" s="350">
        <f>'[3]Air France'!$FU$41</f>
        <v>15040</v>
      </c>
      <c r="M11" s="352">
        <f>'[3]Air France'!$FG$41</f>
        <v>14501</v>
      </c>
      <c r="N11" s="353">
        <f>(L11-M11)/M11</f>
        <v>3.7169850355147922E-2</v>
      </c>
      <c r="O11" s="350">
        <f>SUM('[3]Air France'!$FN$41:$FU$41)</f>
        <v>46720</v>
      </c>
      <c r="P11" s="352">
        <f>SUM('[3]Air France'!$EZ$41:$FG$41)</f>
        <v>53039</v>
      </c>
      <c r="Q11" s="351">
        <f>(O11-P11)/P11</f>
        <v>-0.11913874695978431</v>
      </c>
      <c r="R11" s="353">
        <f>O11/$O$66</f>
        <v>1.862258630335085E-3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298</v>
      </c>
      <c r="D13" s="352">
        <f>SUM(D14:D16)</f>
        <v>362</v>
      </c>
      <c r="E13" s="353">
        <f>(C13-D13)/D13</f>
        <v>-0.17679558011049723</v>
      </c>
      <c r="F13" s="352">
        <f>SUM(F14:F16)</f>
        <v>2514</v>
      </c>
      <c r="G13" s="352">
        <f>SUM(G14:G16)</f>
        <v>1748</v>
      </c>
      <c r="H13" s="351">
        <f>(F13-G13)/G13</f>
        <v>0.43821510297482835</v>
      </c>
      <c r="I13" s="353">
        <f>F13/$F$66</f>
        <v>1.0002466797698716E-2</v>
      </c>
      <c r="J13" s="349" t="s">
        <v>131</v>
      </c>
      <c r="K13" s="55"/>
      <c r="L13" s="350">
        <f>SUM(L14:L16)</f>
        <v>32022</v>
      </c>
      <c r="M13" s="352">
        <f>SUM(M14:M16)</f>
        <v>37642</v>
      </c>
      <c r="N13" s="353">
        <f>(L13-M13)/M13</f>
        <v>-0.14930131236384889</v>
      </c>
      <c r="O13" s="350">
        <f>SUM(O14:O16)</f>
        <v>246306</v>
      </c>
      <c r="P13" s="352">
        <f>SUM(P14:P16)</f>
        <v>201565</v>
      </c>
      <c r="Q13" s="351">
        <f>(O13-P13)/P13</f>
        <v>0.22196809962046982</v>
      </c>
      <c r="R13" s="353">
        <f>O13/$O$66</f>
        <v>9.8177541567490041E-3</v>
      </c>
      <c r="S13" s="20"/>
    </row>
    <row r="14" spans="1:19" ht="14.1" customHeight="1" x14ac:dyDescent="0.2">
      <c r="A14" s="349"/>
      <c r="B14" s="425" t="s">
        <v>131</v>
      </c>
      <c r="C14" s="431">
        <f>[3]Alaska!$FU$19</f>
        <v>124</v>
      </c>
      <c r="D14" s="295">
        <f>[3]Alaska!$FG$19</f>
        <v>176</v>
      </c>
      <c r="E14" s="433">
        <f>(C14-D14)/D14</f>
        <v>-0.29545454545454547</v>
      </c>
      <c r="F14" s="295">
        <f>SUM([3]Alaska!$FN$19:$FU$19)</f>
        <v>948</v>
      </c>
      <c r="G14" s="295">
        <f>SUM([3]Alaska!$EZ$19:$FG$19)</f>
        <v>1091</v>
      </c>
      <c r="H14" s="432">
        <f>(F14-G14)/G14</f>
        <v>-0.13107241063244729</v>
      </c>
      <c r="I14" s="433">
        <f>F14/$F$66</f>
        <v>3.7718132554567952E-3</v>
      </c>
      <c r="J14" s="349"/>
      <c r="K14" s="425" t="s">
        <v>131</v>
      </c>
      <c r="L14" s="431">
        <f>[3]Alaska!$FU$41</f>
        <v>20429</v>
      </c>
      <c r="M14" s="295">
        <f>[3]Alaska!$FG$41</f>
        <v>26885</v>
      </c>
      <c r="N14" s="433">
        <f>(L14-M14)/M14</f>
        <v>-0.24013390366375303</v>
      </c>
      <c r="O14" s="431">
        <f>SUM([3]Alaska!$FN$41:$FU$41)</f>
        <v>144021</v>
      </c>
      <c r="P14" s="295">
        <f>SUM([3]Alaska!$EZ$41:$FG$41)</f>
        <v>160463</v>
      </c>
      <c r="Q14" s="432">
        <f>(O14-P14)/P14</f>
        <v>-0.10246598904420334</v>
      </c>
      <c r="R14" s="433">
        <f>O14/$O$66</f>
        <v>5.7406753039274247E-3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West_AS'!$FU$19</f>
        <v>50</v>
      </c>
      <c r="D15" s="9">
        <f>'[3]Sky West_AS'!$FG$19</f>
        <v>186</v>
      </c>
      <c r="E15" s="86">
        <f>(C15-D15)/D15</f>
        <v>-0.73118279569892475</v>
      </c>
      <c r="F15" s="9">
        <f>SUM('[3]Sky West_AS'!$FN$19:$FU$19)</f>
        <v>694</v>
      </c>
      <c r="G15" s="9">
        <f>SUM('[3]Sky West_AS'!$EZ$19:$FG$19)</f>
        <v>657</v>
      </c>
      <c r="H15" s="39">
        <f>(F15-G15)/G15</f>
        <v>5.6316590563165903E-2</v>
      </c>
      <c r="I15" s="86">
        <f>F15/$F$66</f>
        <v>2.7612219401761773E-3</v>
      </c>
      <c r="J15" s="349"/>
      <c r="K15" s="425" t="s">
        <v>100</v>
      </c>
      <c r="L15" s="354">
        <f>'[3]Sky West_AS'!$FU$41</f>
        <v>3543</v>
      </c>
      <c r="M15" s="9">
        <f>'[3]Sky West_AS'!$FG$41</f>
        <v>10757</v>
      </c>
      <c r="N15" s="86">
        <f>(L15-M15)/M15</f>
        <v>-0.67063307613646927</v>
      </c>
      <c r="O15" s="354">
        <f>SUM('[3]Sky West_AS'!$FN$41:$FU$41)</f>
        <v>45980</v>
      </c>
      <c r="P15" s="9">
        <f>SUM('[3]Sky West_AS'!$EZ$41:$FG$41)</f>
        <v>41102</v>
      </c>
      <c r="Q15" s="39">
        <f>(O15-P15)/P15</f>
        <v>0.11868035618704686</v>
      </c>
      <c r="R15" s="433">
        <f>O15/$O$66</f>
        <v>1.8327622393580309E-3</v>
      </c>
      <c r="S15" s="20"/>
    </row>
    <row r="16" spans="1:19" ht="14.1" customHeight="1" x14ac:dyDescent="0.2">
      <c r="A16" s="349"/>
      <c r="B16" s="425" t="s">
        <v>215</v>
      </c>
      <c r="C16" s="354">
        <f>[3]Horizon_AS!$FU$19</f>
        <v>124</v>
      </c>
      <c r="D16" s="9">
        <f>[3]Horizon_AS!$FG$19</f>
        <v>0</v>
      </c>
      <c r="E16" s="86" t="e">
        <f>(C16-D16)/D16</f>
        <v>#DIV/0!</v>
      </c>
      <c r="F16" s="9">
        <f>SUM([3]Horizon_AS!$FN$19:$FU$19)</f>
        <v>872</v>
      </c>
      <c r="G16" s="9">
        <f>SUM([3]Horizon_AS!$EZ$19:$FG$19)</f>
        <v>0</v>
      </c>
      <c r="H16" s="39" t="e">
        <f>(F16-G16)/G16</f>
        <v>#DIV/0!</v>
      </c>
      <c r="I16" s="86">
        <f>F16/$F$66</f>
        <v>3.4694316020657443E-3</v>
      </c>
      <c r="J16" s="349"/>
      <c r="K16" s="425" t="s">
        <v>215</v>
      </c>
      <c r="L16" s="354">
        <f>[3]Horizon_AS!$FU$41</f>
        <v>8050</v>
      </c>
      <c r="M16" s="9">
        <f>[3]Horizon_AS!$FG$41</f>
        <v>0</v>
      </c>
      <c r="N16" s="86" t="e">
        <f>(L16-M16)/M16</f>
        <v>#DIV/0!</v>
      </c>
      <c r="O16" s="354">
        <f>SUM([3]Horizon_AS!$FN$41:$FU$41)</f>
        <v>56305</v>
      </c>
      <c r="P16" s="9">
        <f>SUM([3]Horizon_AS!$EZ$41:$FG$41)</f>
        <v>0</v>
      </c>
      <c r="Q16" s="39" t="e">
        <f>(O16-P16)/P16</f>
        <v>#DIV/0!</v>
      </c>
      <c r="R16" s="433">
        <f>O16/$O$66</f>
        <v>2.2443166134635479E-3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1836</v>
      </c>
      <c r="D18" s="352">
        <f>SUM(D19:D25)</f>
        <v>2048</v>
      </c>
      <c r="E18" s="353">
        <f t="shared" ref="E18:E25" si="0">(C18-D18)/D18</f>
        <v>-0.103515625</v>
      </c>
      <c r="F18" s="350">
        <f>SUM(F19:F25)</f>
        <v>13882</v>
      </c>
      <c r="G18" s="352">
        <f>SUM(G19:G25)</f>
        <v>15651</v>
      </c>
      <c r="H18" s="351">
        <f t="shared" ref="H18:H25" si="1">(F18-G18)/G18</f>
        <v>-0.11302792153855984</v>
      </c>
      <c r="I18" s="353">
        <f t="shared" ref="I18:I25" si="2">F18/$F$66</f>
        <v>5.5232396215454886E-2</v>
      </c>
      <c r="J18" s="349" t="s">
        <v>17</v>
      </c>
      <c r="K18" s="357"/>
      <c r="L18" s="350">
        <f>SUM(L19:L25)</f>
        <v>195885</v>
      </c>
      <c r="M18" s="352">
        <f>SUM(M19:M25)</f>
        <v>220442</v>
      </c>
      <c r="N18" s="353">
        <f t="shared" ref="N18:N25" si="3">(L18-M18)/M18</f>
        <v>-0.11139891672185881</v>
      </c>
      <c r="O18" s="350">
        <f>SUM(O19:O25)</f>
        <v>1443403</v>
      </c>
      <c r="P18" s="352">
        <f>SUM(P19:P25)</f>
        <v>1613887</v>
      </c>
      <c r="Q18" s="351">
        <f t="shared" ref="Q18:Q25" si="4">(O18-P18)/P18</f>
        <v>-0.10563564859249749</v>
      </c>
      <c r="R18" s="353">
        <f t="shared" ref="R18:R25" si="5">O18/$O$66</f>
        <v>5.7534025980341449E-2</v>
      </c>
      <c r="S18" s="20"/>
    </row>
    <row r="19" spans="1:22" ht="14.1" customHeight="1" x14ac:dyDescent="0.2">
      <c r="A19" s="53"/>
      <c r="B19" s="359" t="s">
        <v>17</v>
      </c>
      <c r="C19" s="354">
        <f>[3]American!$FU$19</f>
        <v>1322</v>
      </c>
      <c r="D19" s="9">
        <f>[3]American!$FG$19</f>
        <v>1540</v>
      </c>
      <c r="E19" s="86">
        <f t="shared" si="0"/>
        <v>-0.14155844155844155</v>
      </c>
      <c r="F19" s="9">
        <f>SUM([3]American!$FN$19:$FU$19)</f>
        <v>9600</v>
      </c>
      <c r="G19" s="9">
        <f>SUM([3]American!$EZ$19:$FG$19)</f>
        <v>12083</v>
      </c>
      <c r="H19" s="39">
        <f t="shared" si="1"/>
        <v>-0.20549532400893819</v>
      </c>
      <c r="I19" s="86">
        <f t="shared" si="2"/>
        <v>3.8195577270448561E-2</v>
      </c>
      <c r="J19" s="53"/>
      <c r="K19" s="358" t="s">
        <v>17</v>
      </c>
      <c r="L19" s="354">
        <f>[3]American!$FU$41</f>
        <v>165586</v>
      </c>
      <c r="M19" s="9">
        <f>[3]American!$FG$41</f>
        <v>192977</v>
      </c>
      <c r="N19" s="86">
        <f t="shared" si="3"/>
        <v>-0.14193919482632644</v>
      </c>
      <c r="O19" s="354">
        <f>SUM([3]American!$FN$41:$FU$41)</f>
        <v>1199364</v>
      </c>
      <c r="P19" s="9">
        <f>SUM([3]American!$EZ$41:$FG$41)</f>
        <v>1434546</v>
      </c>
      <c r="Q19" s="39">
        <f t="shared" si="4"/>
        <v>-0.16394176275978603</v>
      </c>
      <c r="R19" s="86">
        <f t="shared" si="5"/>
        <v>4.7806634415950532E-2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Eagle'!$FU$19</f>
        <v>14</v>
      </c>
      <c r="D20" s="9">
        <f>'[3]American Eagle'!$FG$19</f>
        <v>8</v>
      </c>
      <c r="E20" s="86">
        <f t="shared" si="0"/>
        <v>0.75</v>
      </c>
      <c r="F20" s="9">
        <f>SUM('[3]American Eagle'!$FN$19:$FU$19)</f>
        <v>368</v>
      </c>
      <c r="G20" s="9">
        <f>SUM('[3]American Eagle'!$EZ$19:$FG$19)</f>
        <v>126</v>
      </c>
      <c r="H20" s="39">
        <f t="shared" si="1"/>
        <v>1.9206349206349207</v>
      </c>
      <c r="I20" s="86">
        <f t="shared" si="2"/>
        <v>1.4641637953671947E-3</v>
      </c>
      <c r="J20" s="53"/>
      <c r="K20" s="424" t="s">
        <v>173</v>
      </c>
      <c r="L20" s="354">
        <f>'[3]American Eagle'!$FU$41</f>
        <v>412</v>
      </c>
      <c r="M20" s="9">
        <f>'[3]American Eagle'!$FG$41</f>
        <v>392</v>
      </c>
      <c r="N20" s="86">
        <f t="shared" si="3"/>
        <v>5.1020408163265307E-2</v>
      </c>
      <c r="O20" s="354">
        <f>SUM('[3]American Eagle'!$FN$41:$FU$41)</f>
        <v>22585</v>
      </c>
      <c r="P20" s="9">
        <f>SUM('[3]American Eagle'!$EZ$41:$FG$41)</f>
        <v>6485</v>
      </c>
      <c r="Q20" s="39">
        <f t="shared" si="4"/>
        <v>2.4826522744795683</v>
      </c>
      <c r="R20" s="86">
        <f t="shared" si="5"/>
        <v>9.002378246172494E-4</v>
      </c>
      <c r="S20" s="20"/>
    </row>
    <row r="21" spans="1:22" ht="14.1" customHeight="1" x14ac:dyDescent="0.2">
      <c r="A21" s="53"/>
      <c r="B21" s="426" t="s">
        <v>52</v>
      </c>
      <c r="C21" s="354">
        <f>[3]Republic!$FU$19</f>
        <v>438</v>
      </c>
      <c r="D21" s="9">
        <f>[3]Republic!$FG$19</f>
        <v>444</v>
      </c>
      <c r="E21" s="86">
        <f t="shared" si="0"/>
        <v>-1.3513513513513514E-2</v>
      </c>
      <c r="F21" s="9">
        <f>SUM([3]Republic!$FN$19:$FU$19)</f>
        <v>3335</v>
      </c>
      <c r="G21" s="9">
        <f>SUM([3]Republic!$EZ$19:$FG$19)</f>
        <v>3033</v>
      </c>
      <c r="H21" s="39">
        <f t="shared" si="1"/>
        <v>9.9571381470491258E-2</v>
      </c>
      <c r="I21" s="86">
        <f t="shared" si="2"/>
        <v>1.3268984395515203E-2</v>
      </c>
      <c r="J21" s="363"/>
      <c r="K21" s="360" t="s">
        <v>52</v>
      </c>
      <c r="L21" s="354">
        <f>[3]Republic!$FU$41</f>
        <v>26182</v>
      </c>
      <c r="M21" s="9">
        <f>[3]Republic!$FG$41</f>
        <v>24118</v>
      </c>
      <c r="N21" s="86">
        <f t="shared" si="3"/>
        <v>8.5579235425823033E-2</v>
      </c>
      <c r="O21" s="354">
        <f>SUM([3]Republic!$FN$41:$FU$41)</f>
        <v>189234</v>
      </c>
      <c r="P21" s="9">
        <f>SUM([3]Republic!$EZ$41:$FG$41)</f>
        <v>153226</v>
      </c>
      <c r="Q21" s="39">
        <f t="shared" si="4"/>
        <v>0.23499928210616997</v>
      </c>
      <c r="R21" s="86">
        <f t="shared" si="5"/>
        <v>7.5428649326376171E-3</v>
      </c>
      <c r="S21" s="20"/>
    </row>
    <row r="22" spans="1:22" ht="14.1" customHeight="1" x14ac:dyDescent="0.2">
      <c r="A22" s="53"/>
      <c r="B22" s="426" t="s">
        <v>200</v>
      </c>
      <c r="C22" s="354">
        <f>[3]PSA!$FU$19</f>
        <v>0</v>
      </c>
      <c r="D22" s="9">
        <f>[3]PSA!$FG$19</f>
        <v>50</v>
      </c>
      <c r="E22" s="86">
        <f t="shared" si="0"/>
        <v>-1</v>
      </c>
      <c r="F22" s="9">
        <f>SUM([3]PSA!$FN$19:$FU$19)</f>
        <v>178</v>
      </c>
      <c r="G22" s="9">
        <f>SUM([3]PSA!$EZ$19:$FG$19)</f>
        <v>330</v>
      </c>
      <c r="H22" s="39">
        <f t="shared" si="1"/>
        <v>-0.46060606060606063</v>
      </c>
      <c r="I22" s="86">
        <f t="shared" si="2"/>
        <v>7.0820966188956704E-4</v>
      </c>
      <c r="J22" s="363"/>
      <c r="K22" s="426" t="s">
        <v>200</v>
      </c>
      <c r="L22" s="354">
        <f>[3]PSA!$FU$41</f>
        <v>0</v>
      </c>
      <c r="M22" s="9">
        <f>[3]PSA!$FG$41</f>
        <v>2580</v>
      </c>
      <c r="N22" s="86">
        <f t="shared" si="3"/>
        <v>-1</v>
      </c>
      <c r="O22" s="354">
        <f>SUM([3]PSA!$FN$41:$FU$41)</f>
        <v>7565</v>
      </c>
      <c r="P22" s="9">
        <f>SUM([3]PSA!$EZ$41:$FG$41)</f>
        <v>15556</v>
      </c>
      <c r="Q22" s="39">
        <f t="shared" si="4"/>
        <v>-0.51369246592954487</v>
      </c>
      <c r="R22" s="86">
        <f t="shared" si="5"/>
        <v>3.0154080775866691E-4</v>
      </c>
      <c r="S22" s="20"/>
    </row>
    <row r="23" spans="1:22" ht="14.1" customHeight="1" x14ac:dyDescent="0.2">
      <c r="A23" s="53"/>
      <c r="B23" s="425" t="s">
        <v>100</v>
      </c>
      <c r="C23" s="354">
        <f>'[3]Sky West_AA'!$FU$19</f>
        <v>62</v>
      </c>
      <c r="D23" s="9">
        <f>'[3]Sky West_AA'!$FG$19</f>
        <v>6</v>
      </c>
      <c r="E23" s="86">
        <f>(C23-D23)/D23</f>
        <v>9.3333333333333339</v>
      </c>
      <c r="F23" s="9">
        <f>SUM('[3]Sky West_AA'!$FN$19:$FU$19)</f>
        <v>401</v>
      </c>
      <c r="G23" s="9">
        <f>SUM('[3]Sky West_AA'!$EZ$19:$FG$19)</f>
        <v>77</v>
      </c>
      <c r="H23" s="39">
        <f>(F23-G23)/G23</f>
        <v>4.2077922077922079</v>
      </c>
      <c r="I23" s="86">
        <f t="shared" si="2"/>
        <v>1.5954610922343617E-3</v>
      </c>
      <c r="J23" s="363"/>
      <c r="K23" s="425" t="s">
        <v>100</v>
      </c>
      <c r="L23" s="354">
        <f>'[3]Sky West_AA'!$FU$41</f>
        <v>3705</v>
      </c>
      <c r="M23" s="9">
        <f>'[3]Sky West_AA'!$FG$41</f>
        <v>375</v>
      </c>
      <c r="N23" s="86">
        <f>(L23-M23)/M23</f>
        <v>8.8800000000000008</v>
      </c>
      <c r="O23" s="354">
        <f>SUM('[3]Sky West_AA'!$FN$41:$FU$41)</f>
        <v>24655</v>
      </c>
      <c r="P23" s="9">
        <f>SUM('[3]Sky West_AA'!$EZ$41:$FG$41)</f>
        <v>3984</v>
      </c>
      <c r="Q23" s="39">
        <f>(O23-P23)/P23</f>
        <v>5.1885040160642566</v>
      </c>
      <c r="R23" s="433">
        <f t="shared" si="5"/>
        <v>9.8274799937738701E-4</v>
      </c>
      <c r="S23" s="20"/>
    </row>
    <row r="24" spans="1:22" ht="14.1" customHeight="1" x14ac:dyDescent="0.2">
      <c r="A24" s="53"/>
      <c r="B24" s="426" t="s">
        <v>51</v>
      </c>
      <c r="C24" s="354">
        <f>[3]MESA!$FU$19</f>
        <v>0</v>
      </c>
      <c r="D24" s="9">
        <f>[3]MESA!$FG$19</f>
        <v>0</v>
      </c>
      <c r="E24" s="86" t="e">
        <f t="shared" si="0"/>
        <v>#DIV/0!</v>
      </c>
      <c r="F24" s="9">
        <f>SUM([3]MESA!$FN$19:$FU$19)</f>
        <v>0</v>
      </c>
      <c r="G24" s="9">
        <f>SUM([3]MESA!$EZ$19:$FG$19)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[3]MESA!$FU$41</f>
        <v>0</v>
      </c>
      <c r="M24" s="9">
        <f>[3]MESA!$FG$41</f>
        <v>0</v>
      </c>
      <c r="N24" s="86" t="e">
        <f t="shared" si="3"/>
        <v>#DIV/0!</v>
      </c>
      <c r="O24" s="354">
        <f>SUM([3]MESA!$FN$41:$FU$41)</f>
        <v>0</v>
      </c>
      <c r="P24" s="9">
        <f>SUM([3]MESA!$EZ$41:$FG$41)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Wisconsin'!$FU$19</f>
        <v>0</v>
      </c>
      <c r="D25" s="9">
        <f>'[3]Air Wisconsin'!$FG$19</f>
        <v>0</v>
      </c>
      <c r="E25" s="86" t="e">
        <f t="shared" si="0"/>
        <v>#DIV/0!</v>
      </c>
      <c r="F25" s="9">
        <f>SUM('[3]Air Wisconsin'!$FN$19:$FU$19)</f>
        <v>0</v>
      </c>
      <c r="G25" s="9">
        <f>SUM('[3]Air Wisconsin'!$EZ$19:$FG$19)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Wisconsin'!$FU$41</f>
        <v>0</v>
      </c>
      <c r="M25" s="9">
        <f>'[3]Air Wisconsin'!$FG$41</f>
        <v>0</v>
      </c>
      <c r="N25" s="86" t="e">
        <f t="shared" si="3"/>
        <v>#DIV/0!</v>
      </c>
      <c r="O25" s="354">
        <f>SUM('[3]Air Wisconsin'!$FN$41:$FU$41)</f>
        <v>0</v>
      </c>
      <c r="P25" s="9">
        <f>SUM('[3]Air Wisconsin'!$EZ$41:$FG$41)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Air'!$FU$19</f>
        <v>156</v>
      </c>
      <c r="D27" s="352">
        <f>'[3]Boutique Air'!$FG$19</f>
        <v>164</v>
      </c>
      <c r="E27" s="353">
        <f>(C27-D27)/D27</f>
        <v>-4.878048780487805E-2</v>
      </c>
      <c r="F27" s="352">
        <f>SUM('[3]Boutique Air'!$FN$19:$FU$19)</f>
        <v>1216</v>
      </c>
      <c r="G27" s="352">
        <f>SUM('[3]Boutique Air'!$EZ$19:$FG$19)</f>
        <v>1240</v>
      </c>
      <c r="H27" s="351">
        <f>(F27-G27)/G27</f>
        <v>-1.935483870967742E-2</v>
      </c>
      <c r="I27" s="353">
        <f>F27/$F$66</f>
        <v>4.8381064542568179E-3</v>
      </c>
      <c r="J27" s="349" t="s">
        <v>197</v>
      </c>
      <c r="K27" s="359"/>
      <c r="L27" s="350">
        <f>'[3]Boutique Air'!$FU$41</f>
        <v>885</v>
      </c>
      <c r="M27" s="352">
        <f>'[3]Boutique Air'!$FG$41</f>
        <v>966</v>
      </c>
      <c r="N27" s="353">
        <f>(L27-M27)/M27</f>
        <v>-8.3850931677018639E-2</v>
      </c>
      <c r="O27" s="350">
        <f>SUM('[3]Boutique Air'!$FN$41:$FU$41)</f>
        <v>6571</v>
      </c>
      <c r="P27" s="352">
        <f>SUM('[3]Boutique Air'!$EZ$41:$FG$41)</f>
        <v>7890</v>
      </c>
      <c r="Q27" s="351">
        <f>(O27-P27)/P27</f>
        <v>-0.16717363751584283</v>
      </c>
      <c r="R27" s="353">
        <f>O27/$O$66</f>
        <v>2.6191997987867814E-4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[3]Condor!$FU$19</f>
        <v>36</v>
      </c>
      <c r="D29" s="352">
        <f>[3]Condor!$FG$19</f>
        <v>36</v>
      </c>
      <c r="E29" s="353">
        <f>(C29-D29)/D29</f>
        <v>0</v>
      </c>
      <c r="F29" s="352">
        <f>SUM([3]Condor!$FN$19:$FU$19)</f>
        <v>104</v>
      </c>
      <c r="G29" s="352">
        <f>SUM([3]Condor!$EZ$19:$FG$19)</f>
        <v>118</v>
      </c>
      <c r="H29" s="351">
        <f>(F29-G29)/G29</f>
        <v>-0.11864406779661017</v>
      </c>
      <c r="I29" s="353">
        <f>F29/$F$66</f>
        <v>4.1378542042985939E-4</v>
      </c>
      <c r="J29" s="349" t="s">
        <v>168</v>
      </c>
      <c r="K29" s="359"/>
      <c r="L29" s="350">
        <f>[3]Condor!$FU$41</f>
        <v>8987</v>
      </c>
      <c r="M29" s="352">
        <f>[3]Condor!$FG$41</f>
        <v>8645</v>
      </c>
      <c r="N29" s="353">
        <f>(L29-M29)/M29</f>
        <v>3.9560439560439559E-2</v>
      </c>
      <c r="O29" s="350">
        <f>SUM([3]Condor!$FN$41:$FU$41)</f>
        <v>24910</v>
      </c>
      <c r="P29" s="352">
        <f>SUM([3]Condor!$EZ$41:$FG$41)</f>
        <v>27410</v>
      </c>
      <c r="Q29" s="351">
        <f>(O29-P29)/P29</f>
        <v>-9.1207588471360818E-2</v>
      </c>
      <c r="R29" s="353">
        <f>O29/$O$66</f>
        <v>9.9291229626812861E-4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25883</v>
      </c>
      <c r="D31" s="352">
        <f>SUM(D32:D38)</f>
        <v>25858</v>
      </c>
      <c r="E31" s="353">
        <f t="shared" ref="E31:E38" si="6">(C31-D31)/D31</f>
        <v>9.668187794879728E-4</v>
      </c>
      <c r="F31" s="355">
        <f>SUM(F32:F38)</f>
        <v>184451</v>
      </c>
      <c r="G31" s="355">
        <f>SUM(G32:G38)</f>
        <v>185774</v>
      </c>
      <c r="H31" s="351">
        <f>(F31-G31)/G31</f>
        <v>-7.1215562995898245E-3</v>
      </c>
      <c r="I31" s="353">
        <f t="shared" ref="I31:I38" si="7">F31/$F$66</f>
        <v>0.73387629407411537</v>
      </c>
      <c r="J31" s="349" t="s">
        <v>18</v>
      </c>
      <c r="K31" s="361"/>
      <c r="L31" s="350">
        <f>SUM(L32:L38)</f>
        <v>2611589</v>
      </c>
      <c r="M31" s="352">
        <f>SUM(M32:M38)</f>
        <v>2533216</v>
      </c>
      <c r="N31" s="353">
        <f t="shared" ref="N31:N38" si="8">(L31-M31)/M31</f>
        <v>3.0938143450854567E-2</v>
      </c>
      <c r="O31" s="350">
        <f>SUM(O32:O38)</f>
        <v>17844559</v>
      </c>
      <c r="P31" s="352">
        <f>SUM(P32:P38)</f>
        <v>17636517</v>
      </c>
      <c r="Q31" s="351">
        <f t="shared" ref="Q31:Q38" si="9">(O31-P31)/P31</f>
        <v>1.1796093298920642E-2</v>
      </c>
      <c r="R31" s="353">
        <f t="shared" ref="R31:R38" si="10">O31/$O$66</f>
        <v>0.71128390415825371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[3]Delta!$FU$19</f>
        <v>14261</v>
      </c>
      <c r="D32" s="9">
        <f>[3]Delta!$FG$19</f>
        <v>14425</v>
      </c>
      <c r="E32" s="86">
        <f t="shared" si="6"/>
        <v>-1.1369150779896014E-2</v>
      </c>
      <c r="F32" s="9">
        <f>SUM([3]Delta!$FN$19:$FU$19)</f>
        <v>97019</v>
      </c>
      <c r="G32" s="9">
        <f>SUM([3]Delta!$EZ$19:$FG$19)</f>
        <v>96631</v>
      </c>
      <c r="H32" s="39">
        <f t="shared" ref="H32:H38" si="11">(F32-G32)/G32</f>
        <v>4.0152746013184179E-3</v>
      </c>
      <c r="I32" s="86">
        <f t="shared" si="7"/>
        <v>0.38601007408350507</v>
      </c>
      <c r="J32" s="53"/>
      <c r="K32" s="358" t="s">
        <v>18</v>
      </c>
      <c r="L32" s="354">
        <f>[3]Delta!$FU$41</f>
        <v>2005395</v>
      </c>
      <c r="M32" s="9">
        <f>[3]Delta!$FG$41</f>
        <v>1969909</v>
      </c>
      <c r="N32" s="86">
        <f t="shared" si="8"/>
        <v>1.8014030089714805E-2</v>
      </c>
      <c r="O32" s="354">
        <f>SUM([3]Delta!$FN$41:$FU$41)</f>
        <v>13420830</v>
      </c>
      <c r="P32" s="9">
        <f>SUM([3]Delta!$EZ$41:$FG$41)</f>
        <v>13216260</v>
      </c>
      <c r="Q32" s="39">
        <f t="shared" si="9"/>
        <v>1.5478660377444149E-2</v>
      </c>
      <c r="R32" s="86">
        <f t="shared" si="10"/>
        <v>0.53495412015753463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[3]Compass!$FU$19</f>
        <v>0</v>
      </c>
      <c r="D33" s="9">
        <f>[3]Compass!$FG$19</f>
        <v>1021</v>
      </c>
      <c r="E33" s="86">
        <f t="shared" si="6"/>
        <v>-1</v>
      </c>
      <c r="F33" s="9">
        <f>SUM([3]Compass!$FN$19:$FU$19)</f>
        <v>2</v>
      </c>
      <c r="G33" s="9">
        <f>SUM([3]Compass!$EZ$19:$FG$19)</f>
        <v>8429</v>
      </c>
      <c r="H33" s="39">
        <f t="shared" si="11"/>
        <v>-0.99976272392929177</v>
      </c>
      <c r="I33" s="86">
        <f t="shared" si="7"/>
        <v>7.9574119313434503E-6</v>
      </c>
      <c r="J33" s="53"/>
      <c r="K33" s="360" t="s">
        <v>120</v>
      </c>
      <c r="L33" s="354">
        <f>[3]Compass!$FU$41</f>
        <v>0</v>
      </c>
      <c r="M33" s="9">
        <f>[3]Compass!$FG$41</f>
        <v>62261</v>
      </c>
      <c r="N33" s="86">
        <f t="shared" si="8"/>
        <v>-1</v>
      </c>
      <c r="O33" s="354">
        <f>SUM([3]Compass!$FN$41:$FU$41)</f>
        <v>0</v>
      </c>
      <c r="P33" s="9">
        <f>SUM([3]Compass!$EZ$41:$FG$41)</f>
        <v>497822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[3]Pinnacle!$FU$19</f>
        <v>2292</v>
      </c>
      <c r="D34" s="9">
        <f>[3]Pinnacle!$FG$19</f>
        <v>3243</v>
      </c>
      <c r="E34" s="86">
        <f t="shared" si="6"/>
        <v>-0.29324699352451433</v>
      </c>
      <c r="F34" s="9">
        <f>SUM([3]Pinnacle!$FN$19:$FU$19)</f>
        <v>16451</v>
      </c>
      <c r="G34" s="9">
        <f>SUM([3]Pinnacle!$EZ$19:$FG$19)</f>
        <v>25385</v>
      </c>
      <c r="H34" s="39">
        <f t="shared" si="11"/>
        <v>-0.35194012211936182</v>
      </c>
      <c r="I34" s="86">
        <f t="shared" si="7"/>
        <v>6.5453691841265552E-2</v>
      </c>
      <c r="J34" s="53"/>
      <c r="K34" s="359" t="s">
        <v>164</v>
      </c>
      <c r="L34" s="354">
        <f>[3]Pinnacle!$FU$41</f>
        <v>142030</v>
      </c>
      <c r="M34" s="9">
        <f>[3]Pinnacle!$FG$41</f>
        <v>157605</v>
      </c>
      <c r="N34" s="86">
        <f t="shared" si="8"/>
        <v>-9.8823006884299361E-2</v>
      </c>
      <c r="O34" s="354">
        <f>SUM([3]Pinnacle!$FN$41:$FU$41)</f>
        <v>969681</v>
      </c>
      <c r="P34" s="9">
        <f>SUM([3]Pinnacle!$EZ$41:$FG$41)</f>
        <v>1265287</v>
      </c>
      <c r="Q34" s="39">
        <f t="shared" si="9"/>
        <v>-0.23362762756591982</v>
      </c>
      <c r="R34" s="86">
        <f t="shared" si="10"/>
        <v>3.8651472836514461E-2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Jet'!$FU$19</f>
        <v>472</v>
      </c>
      <c r="D35" s="9">
        <f>'[3]Go Jet'!$FG$19</f>
        <v>406</v>
      </c>
      <c r="E35" s="86">
        <f t="shared" si="6"/>
        <v>0.1625615763546798</v>
      </c>
      <c r="F35" s="9">
        <f>SUM('[3]Go Jet'!$FN$19:$FU$19)</f>
        <v>4886</v>
      </c>
      <c r="G35" s="9">
        <f>SUM('[3]Go Jet'!$EZ$19:$FG$19)</f>
        <v>3860</v>
      </c>
      <c r="H35" s="39">
        <f>(F35-G35)/G35</f>
        <v>0.26580310880829017</v>
      </c>
      <c r="I35" s="86">
        <f t="shared" si="7"/>
        <v>1.9439957348272047E-2</v>
      </c>
      <c r="J35" s="53"/>
      <c r="K35" s="358" t="s">
        <v>160</v>
      </c>
      <c r="L35" s="354">
        <f>'[3]Go Jet'!$FU$41</f>
        <v>29058</v>
      </c>
      <c r="M35" s="9">
        <f>'[3]Go Jet'!$FG$41</f>
        <v>23154</v>
      </c>
      <c r="N35" s="86">
        <f t="shared" si="8"/>
        <v>0.25498833894791395</v>
      </c>
      <c r="O35" s="354">
        <f>SUM('[3]Go Jet'!$FN$41:$FU$41)</f>
        <v>288810</v>
      </c>
      <c r="P35" s="9">
        <f>SUM('[3]Go Jet'!$EZ$41:$FG$41)</f>
        <v>216537</v>
      </c>
      <c r="Q35" s="39">
        <f>(O35-P35)/P35</f>
        <v>0.33376743928289393</v>
      </c>
      <c r="R35" s="86">
        <f t="shared" si="10"/>
        <v>1.1511963078490494E-2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West'!$FU$19</f>
        <v>8856</v>
      </c>
      <c r="D36" s="9">
        <f>'[3]Sky West'!$FG$19</f>
        <v>6543</v>
      </c>
      <c r="E36" s="86">
        <f t="shared" si="6"/>
        <v>0.35350756533700139</v>
      </c>
      <c r="F36" s="9">
        <f>SUM('[3]Sky West'!$FN$19:$FU$19)</f>
        <v>64663</v>
      </c>
      <c r="G36" s="9">
        <f>SUM('[3]Sky West'!$EZ$19:$FG$19)</f>
        <v>46797</v>
      </c>
      <c r="H36" s="39">
        <f t="shared" si="11"/>
        <v>0.38177660961172727</v>
      </c>
      <c r="I36" s="86">
        <f t="shared" si="7"/>
        <v>0.25727506385823073</v>
      </c>
      <c r="J36" s="53"/>
      <c r="K36" s="359" t="s">
        <v>100</v>
      </c>
      <c r="L36" s="354">
        <f>'[3]Sky West'!$FU$41</f>
        <v>435022</v>
      </c>
      <c r="M36" s="9">
        <f>'[3]Sky West'!$FG$41</f>
        <v>309817</v>
      </c>
      <c r="N36" s="86">
        <f t="shared" si="8"/>
        <v>0.4041256612774638</v>
      </c>
      <c r="O36" s="354">
        <f>SUM('[3]Sky West'!$FN$41:$FU$41)</f>
        <v>3091827</v>
      </c>
      <c r="P36" s="9">
        <f>SUM('[3]Sky West'!$EZ$41:$FG$41)</f>
        <v>2180727</v>
      </c>
      <c r="Q36" s="39">
        <f t="shared" si="9"/>
        <v>0.4177964504497812</v>
      </c>
      <c r="R36" s="86">
        <f t="shared" si="10"/>
        <v>0.12324018652082694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America_Delta'!$FU$19</f>
        <v>2</v>
      </c>
      <c r="D37" s="9">
        <f>'[3]Shuttle America_Delta'!$FG$19</f>
        <v>0</v>
      </c>
      <c r="E37" s="86" t="e">
        <f t="shared" si="6"/>
        <v>#DIV/0!</v>
      </c>
      <c r="F37" s="9">
        <f>SUM('[3]Shuttle America_Delta'!$FN$19:$FU$19)</f>
        <v>78</v>
      </c>
      <c r="G37" s="9">
        <f>SUM('[3]Shuttle America_Delta'!$EZ$19:$FG$19)</f>
        <v>158</v>
      </c>
      <c r="H37" s="39">
        <f t="shared" si="11"/>
        <v>-0.50632911392405067</v>
      </c>
      <c r="I37" s="86">
        <f t="shared" si="7"/>
        <v>3.1033906532239455E-4</v>
      </c>
      <c r="J37" s="53"/>
      <c r="K37" s="359" t="s">
        <v>134</v>
      </c>
      <c r="L37" s="354">
        <f>'[3]Shuttle America_Delta'!$FU$41</f>
        <v>84</v>
      </c>
      <c r="M37" s="9">
        <f>'[3]Shuttle America_Delta'!$FG$41</f>
        <v>0</v>
      </c>
      <c r="N37" s="86" t="e">
        <f t="shared" si="8"/>
        <v>#DIV/0!</v>
      </c>
      <c r="O37" s="354">
        <f>SUM('[3]Shuttle America_Delta'!$FN$41:$FU$41)</f>
        <v>4612</v>
      </c>
      <c r="P37" s="9">
        <f>SUM('[3]Shuttle America_Delta'!$EZ$41:$FG$41)</f>
        <v>8496</v>
      </c>
      <c r="Q37" s="39">
        <f t="shared" si="9"/>
        <v>-0.4571563088512241</v>
      </c>
      <c r="R37" s="86">
        <f t="shared" si="10"/>
        <v>1.8383426376509873E-4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Southeast'!$FU$19</f>
        <v>0</v>
      </c>
      <c r="D38" s="9">
        <f>'[3]Atlantic Southeast'!$FG$19</f>
        <v>220</v>
      </c>
      <c r="E38" s="86">
        <f t="shared" si="6"/>
        <v>-1</v>
      </c>
      <c r="F38" s="9">
        <f>SUM('[3]Atlantic Southeast'!$FN$19:$FU$19)</f>
        <v>1352</v>
      </c>
      <c r="G38" s="9">
        <f>SUM('[3]Atlantic Southeast'!$EZ$19:$FG$19)</f>
        <v>4514</v>
      </c>
      <c r="H38" s="39">
        <f t="shared" si="11"/>
        <v>-0.70048737261852012</v>
      </c>
      <c r="I38" s="86">
        <f t="shared" si="7"/>
        <v>5.3792104655881719E-3</v>
      </c>
      <c r="J38" s="53"/>
      <c r="K38" s="426" t="s">
        <v>174</v>
      </c>
      <c r="L38" s="354">
        <f>'[3]Atlantic Southeast'!$FU$41</f>
        <v>0</v>
      </c>
      <c r="M38" s="9">
        <f>'[3]Atlantic Southeast'!$FG$41</f>
        <v>10470</v>
      </c>
      <c r="N38" s="86">
        <f t="shared" si="8"/>
        <v>-1</v>
      </c>
      <c r="O38" s="354">
        <f>SUM('[3]Atlantic Southeast'!$FN$41:$FU$41)</f>
        <v>68799</v>
      </c>
      <c r="P38" s="9">
        <f>SUM('[3]Atlantic Southeast'!$EZ$41:$FG$41)</f>
        <v>251388</v>
      </c>
      <c r="Q38" s="39">
        <f t="shared" si="9"/>
        <v>-0.72632345219342209</v>
      </c>
      <c r="R38" s="86">
        <f t="shared" si="10"/>
        <v>2.7423273011220788E-3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[3]Frontier!$FU$19</f>
        <v>316</v>
      </c>
      <c r="D40" s="352">
        <f>[3]Frontier!$FG$19</f>
        <v>187</v>
      </c>
      <c r="E40" s="353">
        <f>(C40-D40)/D40</f>
        <v>0.68983957219251335</v>
      </c>
      <c r="F40" s="352">
        <f>SUM([3]Frontier!$FN$19:$FU$19)</f>
        <v>2248</v>
      </c>
      <c r="G40" s="352">
        <f>SUM([3]Frontier!$EZ$19:$FG$19)</f>
        <v>1422</v>
      </c>
      <c r="H40" s="351">
        <f>(F40-G40)/G40</f>
        <v>0.58087201125175814</v>
      </c>
      <c r="I40" s="353">
        <f>F40/$F$66</f>
        <v>8.9441310108300375E-3</v>
      </c>
      <c r="J40" s="349" t="s">
        <v>47</v>
      </c>
      <c r="K40" s="362"/>
      <c r="L40" s="350">
        <f>[3]Frontier!$FU$41</f>
        <v>48043</v>
      </c>
      <c r="M40" s="352">
        <f>[3]Frontier!$FG$41</f>
        <v>25158</v>
      </c>
      <c r="N40" s="353">
        <f>(L40-M40)/M40</f>
        <v>0.90965100564432788</v>
      </c>
      <c r="O40" s="350">
        <f>SUM([3]Frontier!$FN$41:$FU$41)</f>
        <v>333380</v>
      </c>
      <c r="P40" s="352">
        <f>SUM([3]Frontier!$EZ$41:$FG$41)</f>
        <v>211553</v>
      </c>
      <c r="Q40" s="351">
        <f>(O40-P40)/P40</f>
        <v>0.57586987657939148</v>
      </c>
      <c r="R40" s="353">
        <f>O40/$O$66</f>
        <v>1.3288522735040895E-2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[3]Icelandair!$FU$19</f>
        <v>98</v>
      </c>
      <c r="D42" s="352">
        <f>[3]Icelandair!$FG$19</f>
        <v>62</v>
      </c>
      <c r="E42" s="353">
        <f>(C42-D42)/D42</f>
        <v>0.58064516129032262</v>
      </c>
      <c r="F42" s="352">
        <f>SUM([3]Icelandair!$FN$19:$FU$19)</f>
        <v>442</v>
      </c>
      <c r="G42" s="352">
        <f>SUM([3]Icelandair!$EZ$19:$FG$19)</f>
        <v>382</v>
      </c>
      <c r="H42" s="351">
        <f>(F42-G42)/G42</f>
        <v>0.15706806282722513</v>
      </c>
      <c r="I42" s="353">
        <f>F42/$F$66</f>
        <v>1.7585880368269024E-3</v>
      </c>
      <c r="J42" s="349" t="s">
        <v>48</v>
      </c>
      <c r="K42" s="362"/>
      <c r="L42" s="350">
        <f>[3]Icelandair!$FU$41</f>
        <v>14451</v>
      </c>
      <c r="M42" s="352">
        <f>[3]Icelandair!$FG$41</f>
        <v>13784</v>
      </c>
      <c r="N42" s="353">
        <f>(L42-M42)/M42</f>
        <v>4.8389437028438773E-2</v>
      </c>
      <c r="O42" s="350">
        <f>SUM([3]Icelandair!$FN$41:$FU$41)</f>
        <v>63774</v>
      </c>
      <c r="P42" s="352">
        <f>SUM([3]Icelandair!$EZ$41:$FG$41)</f>
        <v>72517</v>
      </c>
      <c r="Q42" s="351">
        <f>(O42-P42)/P42</f>
        <v>-0.12056483307362412</v>
      </c>
      <c r="R42" s="353">
        <f>O42/$O$66</f>
        <v>2.542030862392759E-3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Blue'!$FU$19</f>
        <v>185</v>
      </c>
      <c r="D44" s="352">
        <f>'[3]Jet Blue'!$FG$19</f>
        <v>0</v>
      </c>
      <c r="E44" s="353" t="e">
        <f>(C44-D44)/D44</f>
        <v>#DIV/0!</v>
      </c>
      <c r="F44" s="352">
        <f>SUM('[3]Jet Blue'!$FN$19:$FU$19)</f>
        <v>717</v>
      </c>
      <c r="G44" s="352">
        <f>SUM('[3]Jet Blue'!$EZ$19:$FG$19)</f>
        <v>0</v>
      </c>
      <c r="H44" s="351" t="e">
        <f>(F44-G44)/G44</f>
        <v>#DIV/0!</v>
      </c>
      <c r="I44" s="353">
        <f>F44/$F$66</f>
        <v>2.8527321773866268E-3</v>
      </c>
      <c r="J44" s="349" t="s">
        <v>229</v>
      </c>
      <c r="K44" s="362"/>
      <c r="L44" s="350">
        <f>'[3]Jet Blue'!$FU$41</f>
        <v>20403</v>
      </c>
      <c r="M44" s="352">
        <f>'[3]Jet Blue'!$FG$41</f>
        <v>0</v>
      </c>
      <c r="N44" s="353" t="e">
        <f>(L44-M44)/M44</f>
        <v>#DIV/0!</v>
      </c>
      <c r="O44" s="350">
        <f>SUM('[3]Jet Blue'!$FN$41:$FU$41)</f>
        <v>85132</v>
      </c>
      <c r="P44" s="352">
        <f>SUM('[3]Jet Blue'!$EZ$41:$FG$41)</f>
        <v>0</v>
      </c>
      <c r="Q44" s="351" t="e">
        <f>(O44-P44)/P44</f>
        <v>#DIV/0!</v>
      </c>
      <c r="R44" s="353">
        <f>O44/$O$66</f>
        <v>3.3933604819710284E-3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[3]KLM!$FU$19</f>
        <v>34</v>
      </c>
      <c r="D46" s="352">
        <f>[3]KLM!$FG$19</f>
        <v>26</v>
      </c>
      <c r="E46" s="353">
        <f>(C46-D46)/D46</f>
        <v>0.30769230769230771</v>
      </c>
      <c r="F46" s="352">
        <f>SUM([3]KLM!$FN$19:$FU$19)</f>
        <v>238</v>
      </c>
      <c r="G46" s="352">
        <f>SUM([3]KLM!$EZ$19:$FG$19)</f>
        <v>132</v>
      </c>
      <c r="H46" s="351">
        <f>(F46-G46)/G46</f>
        <v>0.80303030303030298</v>
      </c>
      <c r="I46" s="353">
        <f>F46/$F$66</f>
        <v>9.4693201982987054E-4</v>
      </c>
      <c r="J46" s="349" t="s">
        <v>216</v>
      </c>
      <c r="K46" s="362"/>
      <c r="L46" s="350">
        <f>[3]KLM!$FU$41</f>
        <v>8652</v>
      </c>
      <c r="M46" s="352">
        <f>[3]KLM!$FG$41</f>
        <v>6263</v>
      </c>
      <c r="N46" s="353">
        <f>(L46-M46)/M46</f>
        <v>0.38144659109053169</v>
      </c>
      <c r="O46" s="350">
        <f>SUM([3]KLM!$FN$41:$FU$41)</f>
        <v>55786</v>
      </c>
      <c r="P46" s="352">
        <f>SUM([3]KLM!$EZ$41:$FG$41)</f>
        <v>31218</v>
      </c>
      <c r="Q46" s="351">
        <f>(O46-P46)/P46</f>
        <v>0.78698186943430071</v>
      </c>
      <c r="R46" s="353">
        <f>O46/$O$66</f>
        <v>2.2236292797918034E-3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515" t="s">
        <v>132</v>
      </c>
      <c r="C48" s="350">
        <f>[3]Southwest!$FU$19</f>
        <v>1491</v>
      </c>
      <c r="D48" s="352">
        <f>[3]Southwest!$FG$19</f>
        <v>1598</v>
      </c>
      <c r="E48" s="353">
        <f>(C48-D48)/D48</f>
        <v>-6.6958698372966211E-2</v>
      </c>
      <c r="F48" s="352">
        <f>SUM([3]Southwest!$FN$19:$FU$19)</f>
        <v>10830</v>
      </c>
      <c r="G48" s="352">
        <f>SUM([3]Southwest!$EZ$19:$FG$19)</f>
        <v>12112</v>
      </c>
      <c r="H48" s="351">
        <f>(F48-G48)/G48</f>
        <v>-0.10584544253632761</v>
      </c>
      <c r="I48" s="353">
        <f>F48/$F$66</f>
        <v>4.3089385608224784E-2</v>
      </c>
      <c r="J48" s="357" t="s">
        <v>132</v>
      </c>
      <c r="L48" s="350">
        <f>[3]Southwest!$FU$41</f>
        <v>184520</v>
      </c>
      <c r="M48" s="352">
        <f>[3]Southwest!$FG$41</f>
        <v>193207</v>
      </c>
      <c r="N48" s="353">
        <f>(L48-M48)/M48</f>
        <v>-4.4962139052932865E-2</v>
      </c>
      <c r="O48" s="350">
        <f>SUM([3]Southwest!$FN$41:$FU$41)</f>
        <v>1311454</v>
      </c>
      <c r="P48" s="352">
        <f>SUM([3]Southwest!$EZ$41:$FG$41)</f>
        <v>1404284</v>
      </c>
      <c r="Q48" s="351">
        <f>(O48-P48)/P48</f>
        <v>-6.6104861979485632E-2</v>
      </c>
      <c r="R48" s="353">
        <f>O48/$O$66</f>
        <v>5.2274540449218074E-2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[3]Spirit!$FU$19</f>
        <v>744</v>
      </c>
      <c r="D50" s="352">
        <f>[3]Spirit!$FG$19</f>
        <v>780</v>
      </c>
      <c r="E50" s="353">
        <f>(C50-D50)/D50</f>
        <v>-4.6153846153846156E-2</v>
      </c>
      <c r="F50" s="352">
        <f>SUM([3]Spirit!$FN$19:$FU$19)</f>
        <v>5775</v>
      </c>
      <c r="G50" s="352">
        <f>SUM([3]Spirit!$EZ$19:$FG$19)</f>
        <v>6217</v>
      </c>
      <c r="H50" s="351">
        <f>(F50-G50)/G50</f>
        <v>-7.1095383625542866E-2</v>
      </c>
      <c r="I50" s="353">
        <f>F50/$F$66</f>
        <v>2.2977026951754211E-2</v>
      </c>
      <c r="J50" s="349" t="s">
        <v>161</v>
      </c>
      <c r="K50" s="55"/>
      <c r="L50" s="350">
        <f>[3]Spirit!$FU$41</f>
        <v>112678</v>
      </c>
      <c r="M50" s="352">
        <f>[3]Spirit!$FG$41</f>
        <v>114899</v>
      </c>
      <c r="N50" s="353">
        <f>(L50-M50)/M50</f>
        <v>-1.9330020278679538E-2</v>
      </c>
      <c r="O50" s="350">
        <f>SUM([3]Spirit!$FN$41:$FU$41)</f>
        <v>794117</v>
      </c>
      <c r="P50" s="352">
        <f>SUM([3]Spirit!$EZ$41:$FG$41)</f>
        <v>852679</v>
      </c>
      <c r="Q50" s="351">
        <f>(O50-P50)/P50</f>
        <v>-6.8680007365022472E-2</v>
      </c>
      <c r="R50" s="353">
        <f>O50/$O$66</f>
        <v>3.1653493937196207E-2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Country'!$FU$19</f>
        <v>1575</v>
      </c>
      <c r="D52" s="352">
        <f>'[3]Sun Country'!$FG$19</f>
        <v>1713</v>
      </c>
      <c r="E52" s="353">
        <f>(C52-D52)/D52</f>
        <v>-8.0560420315236428E-2</v>
      </c>
      <c r="F52" s="352">
        <f>SUM('[3]Sun Country'!$FN$19:$FU$19)</f>
        <v>13808</v>
      </c>
      <c r="G52" s="352">
        <f>SUM('[3]Sun Country'!$EZ$19:$FG$19)</f>
        <v>14594</v>
      </c>
      <c r="H52" s="351">
        <f>(F52-G52)/G52</f>
        <v>-5.3857749760175412E-2</v>
      </c>
      <c r="I52" s="353">
        <f>F52/$F$66</f>
        <v>5.4937971973995178E-2</v>
      </c>
      <c r="J52" s="349" t="s">
        <v>49</v>
      </c>
      <c r="K52" s="362"/>
      <c r="L52" s="350">
        <f>'[3]Sun Country'!$FU$41</f>
        <v>194148</v>
      </c>
      <c r="M52" s="352">
        <f>'[3]Sun Country'!$FG$41</f>
        <v>202959</v>
      </c>
      <c r="N52" s="353">
        <f>(L52-M52)/M52</f>
        <v>-4.3412708970777349E-2</v>
      </c>
      <c r="O52" s="350">
        <f>SUM('[3]Sun Country'!$FN$41:$FU$41)</f>
        <v>1674244</v>
      </c>
      <c r="P52" s="352">
        <f>SUM('[3]Sun Country'!$EZ$41:$FG$41)</f>
        <v>1689104</v>
      </c>
      <c r="Q52" s="351">
        <f>(O52-P52)/P52</f>
        <v>-8.7975636787314456E-3</v>
      </c>
      <c r="R52" s="353">
        <f>O52/$O$66</f>
        <v>6.673534542565783E-2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1711</v>
      </c>
      <c r="D54" s="352">
        <f>SUM(D55:D61)</f>
        <v>1870</v>
      </c>
      <c r="E54" s="353">
        <f t="shared" ref="E54:E61" si="12">(C54-D54)/D54</f>
        <v>-8.5026737967914434E-2</v>
      </c>
      <c r="F54" s="352">
        <f>SUM(F55:F61)</f>
        <v>11941</v>
      </c>
      <c r="G54" s="352">
        <f>SUM(G55:G61)</f>
        <v>13300</v>
      </c>
      <c r="H54" s="351">
        <f t="shared" ref="H54:H61" si="13">(F54-G54)/G54</f>
        <v>-0.10218045112781955</v>
      </c>
      <c r="I54" s="353">
        <f t="shared" ref="I54:I61" si="14">F54/$F$66</f>
        <v>4.7509727936086064E-2</v>
      </c>
      <c r="J54" s="349" t="s">
        <v>19</v>
      </c>
      <c r="K54" s="357"/>
      <c r="L54" s="350">
        <f>SUM(L55:L61)</f>
        <v>160088</v>
      </c>
      <c r="M54" s="352">
        <f>SUM(M55:M61)</f>
        <v>167195</v>
      </c>
      <c r="N54" s="353">
        <f t="shared" ref="N54:N61" si="15">(L54-M54)/M54</f>
        <v>-4.2507252011124735E-2</v>
      </c>
      <c r="O54" s="350">
        <f>SUM(O55:O61)</f>
        <v>1072561</v>
      </c>
      <c r="P54" s="352">
        <f>SUM(P55:P61)</f>
        <v>1137556</v>
      </c>
      <c r="Q54" s="351">
        <f t="shared" ref="Q54:Q61" si="16">(O54-P54)/P54</f>
        <v>-5.7135648706525217E-2</v>
      </c>
      <c r="R54" s="353">
        <f t="shared" ref="R54:R61" si="17">O54/$O$66</f>
        <v>4.2752268382081099E-2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[3]United!$FU$19</f>
        <v>822</v>
      </c>
      <c r="D55" s="9">
        <f>[3]United!$FG$19+[3]Continental!$FG$19</f>
        <v>926</v>
      </c>
      <c r="E55" s="86">
        <f t="shared" si="12"/>
        <v>-0.11231101511879049</v>
      </c>
      <c r="F55" s="9">
        <f>SUM([3]United!$FN$19:$FU$19)</f>
        <v>5056</v>
      </c>
      <c r="G55" s="9">
        <f>SUM([3]United!$EZ$19:$FG$19)+SUM([3]Continental!$EZ$19:$FG$19)</f>
        <v>5996</v>
      </c>
      <c r="H55" s="39">
        <f t="shared" si="13"/>
        <v>-0.15677118078719146</v>
      </c>
      <c r="I55" s="86">
        <f t="shared" si="14"/>
        <v>2.0116337362436242E-2</v>
      </c>
      <c r="J55" s="363"/>
      <c r="K55" s="424" t="s">
        <v>19</v>
      </c>
      <c r="L55" s="354">
        <f>[3]United!$FU$41</f>
        <v>101481</v>
      </c>
      <c r="M55" s="9">
        <f>[3]United!$FG$41+[3]Continental!$FG$41</f>
        <v>109039</v>
      </c>
      <c r="N55" s="86">
        <f t="shared" si="15"/>
        <v>-6.9314648887095445E-2</v>
      </c>
      <c r="O55" s="354">
        <f>SUM([3]United!$FN$41:$FU$41)</f>
        <v>629822</v>
      </c>
      <c r="P55" s="9">
        <f>SUM([3]United!$EZ$41:$FG$41)+SUM([3]Continental!$EZ$41:$FG$41)</f>
        <v>699352</v>
      </c>
      <c r="Q55" s="39">
        <f t="shared" si="16"/>
        <v>-9.9420606504306841E-2</v>
      </c>
      <c r="R55" s="86">
        <f t="shared" si="17"/>
        <v>2.5104697240473116E-2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Express'!$FU$19</f>
        <v>2</v>
      </c>
      <c r="D56" s="9">
        <f>'[3]Continental Express'!$FG$19</f>
        <v>4</v>
      </c>
      <c r="E56" s="86">
        <f t="shared" si="12"/>
        <v>-0.5</v>
      </c>
      <c r="F56" s="9">
        <f>SUM('[3]Continental Express'!$FN$19:$FU$19)</f>
        <v>54</v>
      </c>
      <c r="G56" s="9">
        <f>SUM('[3]Continental Express'!$EZ$19:$FG$19)</f>
        <v>134</v>
      </c>
      <c r="H56" s="39">
        <f t="shared" si="13"/>
        <v>-0.59701492537313428</v>
      </c>
      <c r="I56" s="86">
        <f t="shared" si="14"/>
        <v>2.1485012214627315E-4</v>
      </c>
      <c r="J56" s="53"/>
      <c r="K56" s="424" t="s">
        <v>174</v>
      </c>
      <c r="L56" s="354">
        <f>'[3]Continental Express'!$FU$41</f>
        <v>93</v>
      </c>
      <c r="M56" s="9">
        <f>'[3]Continental Express'!$FG$41</f>
        <v>198</v>
      </c>
      <c r="N56" s="86">
        <f t="shared" si="15"/>
        <v>-0.53030303030303028</v>
      </c>
      <c r="O56" s="354">
        <f>SUM('[3]Continental Express'!$FN$41:$FU$41)</f>
        <v>1690</v>
      </c>
      <c r="P56" s="9">
        <f>SUM('[3]Continental Express'!$EZ$41:$FG$41)</f>
        <v>5551</v>
      </c>
      <c r="Q56" s="39">
        <f t="shared" si="16"/>
        <v>-0.6955503512880562</v>
      </c>
      <c r="R56" s="86">
        <f t="shared" si="17"/>
        <v>6.7363379393542243E-5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Jet_UA'!$FU$19</f>
        <v>1</v>
      </c>
      <c r="D57" s="9">
        <f>'[3]Go Jet_UA'!$FG$19</f>
        <v>40</v>
      </c>
      <c r="E57" s="86">
        <f t="shared" si="12"/>
        <v>-0.97499999999999998</v>
      </c>
      <c r="F57" s="9">
        <f>SUM('[3]Go Jet_UA'!$FN$19:$FU$19)</f>
        <v>157</v>
      </c>
      <c r="G57" s="9">
        <f>SUM('[3]Go Jet_UA'!$EZ$19:$FG$19)</f>
        <v>206</v>
      </c>
      <c r="H57" s="39">
        <f t="shared" si="13"/>
        <v>-0.23786407766990292</v>
      </c>
      <c r="I57" s="86">
        <f t="shared" si="14"/>
        <v>6.2465683661046083E-4</v>
      </c>
      <c r="J57" s="363"/>
      <c r="K57" s="358" t="s">
        <v>160</v>
      </c>
      <c r="L57" s="354">
        <f>'[3]Go Jet_UA'!$FU$41</f>
        <v>61</v>
      </c>
      <c r="M57" s="9">
        <f>'[3]Go Jet_UA'!$FG$41</f>
        <v>2669</v>
      </c>
      <c r="N57" s="86">
        <f t="shared" si="15"/>
        <v>-0.97714499812663924</v>
      </c>
      <c r="O57" s="354">
        <f>SUM('[3]Go Jet_UA'!$FN$41:$FU$41)</f>
        <v>10365</v>
      </c>
      <c r="P57" s="9">
        <f>SUM('[3]Go Jet_UA'!$EZ$41:$FG$41)</f>
        <v>13282</v>
      </c>
      <c r="Q57" s="39">
        <f t="shared" si="16"/>
        <v>-0.21962053907544044</v>
      </c>
      <c r="R57" s="86">
        <f t="shared" si="17"/>
        <v>4.1314877361779017E-4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[3]MESA_UA!$FU$19</f>
        <v>282</v>
      </c>
      <c r="D58" s="9">
        <f>[3]MESA_UA!$FG$19</f>
        <v>290</v>
      </c>
      <c r="E58" s="86">
        <f t="shared" si="12"/>
        <v>-2.7586206896551724E-2</v>
      </c>
      <c r="F58" s="9">
        <f>SUM([3]MESA_UA!$FN$19:$FU$19)</f>
        <v>2228</v>
      </c>
      <c r="G58" s="9">
        <f>SUM([3]MESA_UA!$EZ$19:$FG$19)</f>
        <v>2444</v>
      </c>
      <c r="H58" s="39">
        <f>(F58-G58)/G58</f>
        <v>-8.8379705400982E-2</v>
      </c>
      <c r="I58" s="86">
        <f t="shared" si="14"/>
        <v>8.8645568915166027E-3</v>
      </c>
      <c r="J58" s="363"/>
      <c r="K58" s="358" t="s">
        <v>51</v>
      </c>
      <c r="L58" s="354">
        <f>[3]MESA_UA!$FU$41</f>
        <v>20000</v>
      </c>
      <c r="M58" s="9">
        <f>[3]MESA_UA!$FG$41</f>
        <v>16637</v>
      </c>
      <c r="N58" s="86">
        <f t="shared" si="15"/>
        <v>0.2021398088597704</v>
      </c>
      <c r="O58" s="354">
        <f>SUM([3]MESA_UA!$FN$41:$FU$41)</f>
        <v>144874</v>
      </c>
      <c r="P58" s="9">
        <f>SUM([3]MESA_UA!$EZ$41:$FG$41)</f>
        <v>141793</v>
      </c>
      <c r="Q58" s="39">
        <f t="shared" si="16"/>
        <v>2.1728858265217605E-2</v>
      </c>
      <c r="R58" s="86">
        <f t="shared" si="17"/>
        <v>5.7746758735266503E-3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[3]Republic_UA!$FU$19</f>
        <v>498</v>
      </c>
      <c r="D59" s="9">
        <f>[3]Republic_UA!$FG$19</f>
        <v>418</v>
      </c>
      <c r="E59" s="86">
        <f t="shared" si="12"/>
        <v>0.19138755980861244</v>
      </c>
      <c r="F59" s="9">
        <f>SUM([3]Republic_UA!$FN$19:$FU$19)</f>
        <v>3222</v>
      </c>
      <c r="G59" s="9">
        <f>SUM([3]Republic_UA!$EZ$19:$FG$19)</f>
        <v>2464</v>
      </c>
      <c r="H59" s="39">
        <f t="shared" ref="H59" si="18">(F59-G59)/G59</f>
        <v>0.30762987012987014</v>
      </c>
      <c r="I59" s="86">
        <f t="shared" si="14"/>
        <v>1.2819390621394297E-2</v>
      </c>
      <c r="J59" s="363"/>
      <c r="K59" s="426" t="s">
        <v>52</v>
      </c>
      <c r="L59" s="354">
        <f>[3]Republic_UA!$FU$41</f>
        <v>31546</v>
      </c>
      <c r="M59" s="9">
        <f>[3]Republic_UA!$FG$41</f>
        <v>25299</v>
      </c>
      <c r="N59" s="86">
        <f t="shared" si="15"/>
        <v>0.24692675599826081</v>
      </c>
      <c r="O59" s="354">
        <f>SUM([3]Republic_UA!$FN$41:$FU$41)</f>
        <v>205537</v>
      </c>
      <c r="P59" s="9">
        <f>SUM([3]Republic_UA!$EZ$41:$FG$41)</f>
        <v>142706</v>
      </c>
      <c r="Q59" s="39">
        <f t="shared" si="16"/>
        <v>0.44028281922273765</v>
      </c>
      <c r="R59" s="86">
        <f t="shared" si="17"/>
        <v>8.1927023138523621E-3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West_UA'!$FU$19</f>
        <v>106</v>
      </c>
      <c r="D60" s="9">
        <f>'[3]Sky West_UA'!$FG$19+'[3]Sky West_CO'!$FG$19</f>
        <v>192</v>
      </c>
      <c r="E60" s="86">
        <f t="shared" si="12"/>
        <v>-0.44791666666666669</v>
      </c>
      <c r="F60" s="9">
        <f>SUM('[3]Sky West_UA'!$FN$19:$FU$19)</f>
        <v>1224</v>
      </c>
      <c r="G60" s="9">
        <f>SUM('[3]Sky West_UA'!$EZ$19:$FG$19)+SUM('[3]Sky West_CO'!$EZ$19:$FG$19)</f>
        <v>2032</v>
      </c>
      <c r="H60" s="39">
        <f t="shared" si="13"/>
        <v>-0.39763779527559057</v>
      </c>
      <c r="I60" s="86">
        <f t="shared" si="14"/>
        <v>4.869936101982191E-3</v>
      </c>
      <c r="J60" s="363"/>
      <c r="K60" s="358" t="s">
        <v>100</v>
      </c>
      <c r="L60" s="354">
        <f>'[3]Sky West_UA'!$FU$41</f>
        <v>6907</v>
      </c>
      <c r="M60" s="9">
        <f>'[3]Sky West_UA'!$FG$41+'[3]Sky West_CO'!$FG$41</f>
        <v>13353</v>
      </c>
      <c r="N60" s="86">
        <f t="shared" si="15"/>
        <v>-0.4827379615067775</v>
      </c>
      <c r="O60" s="354">
        <f>SUM('[3]Sky West_UA'!$FN$41:$FU$41)</f>
        <v>80273</v>
      </c>
      <c r="P60" s="9">
        <f>SUM('[3]Sky West_UA'!$EZ$41:$FG$41)+SUM('[3]Sky West_CO'!$EZ$41:$FG$41)</f>
        <v>133599</v>
      </c>
      <c r="Q60" s="39">
        <f t="shared" si="16"/>
        <v>-0.39914969423423829</v>
      </c>
      <c r="R60" s="86">
        <f t="shared" si="17"/>
        <v>3.1996808012176429E-3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America'!$FU$19</f>
        <v>0</v>
      </c>
      <c r="D61" s="9">
        <f>'[3]Shuttle America'!$FG$19</f>
        <v>0</v>
      </c>
      <c r="E61" s="86" t="e">
        <f t="shared" si="12"/>
        <v>#DIV/0!</v>
      </c>
      <c r="F61" s="9">
        <f>SUM('[3]Shuttle America'!$FN$19:$FU$19)</f>
        <v>0</v>
      </c>
      <c r="G61" s="9">
        <f>SUM('[3]Shuttle America'!$EZ$19:$FG$19)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America'!$FU$41</f>
        <v>0</v>
      </c>
      <c r="M61" s="9">
        <f>'[3]Shuttle America'!$FG$41</f>
        <v>0</v>
      </c>
      <c r="N61" s="86" t="e">
        <f t="shared" si="15"/>
        <v>#DIV/0!</v>
      </c>
      <c r="O61" s="354">
        <f>SUM('[3]Shuttle America'!$FN$41:$FU$41)</f>
        <v>0</v>
      </c>
      <c r="P61" s="9">
        <f>SUM('[3]Shuttle America'!$EZ$41:$FG$41)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21426</v>
      </c>
      <c r="D64" s="439">
        <f>+D66-D65</f>
        <v>21947</v>
      </c>
      <c r="E64" s="440">
        <f>(C64-D64)/D64</f>
        <v>-2.3739007609240442E-2</v>
      </c>
      <c r="F64" s="438">
        <f t="shared" ref="F64:G64" si="19">+F66-F65</f>
        <v>149803</v>
      </c>
      <c r="G64" s="439">
        <f t="shared" si="19"/>
        <v>154204</v>
      </c>
      <c r="H64" s="445">
        <f>(F64-G64)/G64</f>
        <v>-2.8540115690902961E-2</v>
      </c>
      <c r="I64" s="501">
        <f>F64/$F$66</f>
        <v>0.5960220897755214</v>
      </c>
      <c r="K64" s="372" t="s">
        <v>136</v>
      </c>
      <c r="L64" s="438">
        <f>+L66-L65</f>
        <v>2901620</v>
      </c>
      <c r="M64" s="439">
        <f>+M66-M65</f>
        <v>2880133</v>
      </c>
      <c r="N64" s="440">
        <f>(L64-M64)/M64</f>
        <v>7.4604193625780477E-3</v>
      </c>
      <c r="O64" s="438">
        <f t="shared" ref="O64" si="20">+O66-O65</f>
        <v>19796795</v>
      </c>
      <c r="P64" s="439">
        <f>+P66-P65</f>
        <v>19867051</v>
      </c>
      <c r="Q64" s="488">
        <f>(O64-P64)/P64</f>
        <v>-3.5363074268043105E-3</v>
      </c>
      <c r="R64" s="494">
        <f>+O64/O66</f>
        <v>0.78910000731430774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13381</v>
      </c>
      <c r="D65" s="373">
        <f>D61+D38+D36+D34+D33+D37+D20+D60+D57+D35+D56+D58+D25+D24+D21+D15+D6+D59+D22+D23+D7+D16+D5</f>
        <v>13249</v>
      </c>
      <c r="E65" s="374">
        <f>(C65-D65)/D65</f>
        <v>9.9630160766850332E-3</v>
      </c>
      <c r="F65" s="441">
        <f>F61+F38+F36+F34+F33+F37+F20+F60+F57+F35+F56+F58+F25+F24+F21+F15+F6+F59+F22+F23+F7+F16</f>
        <v>101535</v>
      </c>
      <c r="G65" s="373">
        <f>G61+G38+G36+G34+G33+G37+G20+G60+G57+G35+G56+G58+G25+G24+G21+G15+G6+G59+G22+G23+G7+G16</f>
        <v>102071</v>
      </c>
      <c r="H65" s="446">
        <f>(F65-G65)/G65</f>
        <v>-5.2512466812316919E-3</v>
      </c>
      <c r="I65" s="502">
        <f>F65/$F$66</f>
        <v>0.4039779102244786</v>
      </c>
      <c r="K65" s="329" t="s">
        <v>137</v>
      </c>
      <c r="L65" s="441">
        <f>L61+L38+L36+L34+L33+L37+L20+L60+L57+L35+L56+L58+L25+L24+L21+L15+L6+L59+L22+L23+L7+L16</f>
        <v>718642</v>
      </c>
      <c r="M65" s="373">
        <f>M61+M38+M36+M34+M33+M37+M20+M60+M57+M35+M56+M58+M25+M24+M21+M15+M6+M59+M22+M23+M7+M16</f>
        <v>670799</v>
      </c>
      <c r="N65" s="374">
        <f>(L65-M65)/M65</f>
        <v>7.1322408053679273E-2</v>
      </c>
      <c r="O65" s="441">
        <f>O61+O38+O36+O34+O33+O37+O20+O60+O57+O35+O56+O58+O25+O24+O21+O15+O6+O59+O22+O23+O7+O16</f>
        <v>5291020</v>
      </c>
      <c r="P65" s="373">
        <f>P61+P38+P36+P34+P33+P37+P20+P60+P57+P35+P56+P58+P25+P24+P21+P15+P6+P59+P22+P23+P7+P16</f>
        <v>5145166</v>
      </c>
      <c r="Q65" s="486">
        <f>(O65-P65)/P65</f>
        <v>2.8347773424608654E-2</v>
      </c>
      <c r="R65" s="495">
        <f>+O65/O66</f>
        <v>0.21089999268569223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34807</v>
      </c>
      <c r="D66" s="443">
        <f>D54+D52+D42+D40+D31+D18+D13+D4+D50+D29+D27+D9+D46+D11+D44+D48</f>
        <v>35196</v>
      </c>
      <c r="E66" s="444">
        <f>(C66-D66)/D66</f>
        <v>-1.1052392317308785E-2</v>
      </c>
      <c r="F66" s="442">
        <f>F54+F52+F42+F40+F31+F18+F13+F4+F50+F29+F27+F9+F46+F11+F44+F48</f>
        <v>251338</v>
      </c>
      <c r="G66" s="443">
        <f>G54+G52+G42+G40+G31+G18+G13+G4+G50+G29+G27+G9+G46+G11+G44+G48</f>
        <v>256275</v>
      </c>
      <c r="H66" s="447">
        <f>(F66-G66)/G66</f>
        <v>-1.9264462003706954E-2</v>
      </c>
      <c r="I66" s="503">
        <f>+H66/H66</f>
        <v>1</v>
      </c>
      <c r="K66" s="329" t="s">
        <v>138</v>
      </c>
      <c r="L66" s="442">
        <f>L54+L52+L42+L40+L31+L18+L13+L4+L50+L29+L27+L9+L46+L11+L44+L48</f>
        <v>3620262</v>
      </c>
      <c r="M66" s="443">
        <f>M54+M52+M42+M40+M31+M18+M13+M4+M50+M29+M27+M9+M46+M11+M44+M48</f>
        <v>3550932</v>
      </c>
      <c r="N66" s="444">
        <f>(L66-M66)/M66</f>
        <v>1.9524451608760741E-2</v>
      </c>
      <c r="O66" s="442">
        <f>O54+O52+O42+O40+O31+O18+O13+O4+O50+O29+O27+O9+O46+O11+O44+O48</f>
        <v>25087815</v>
      </c>
      <c r="P66" s="443">
        <f>P54+P52+P42+P40+P31+P18+P13+P4+P50+P29+P27+P9+P46+P11+P44+P48</f>
        <v>25012217</v>
      </c>
      <c r="Q66" s="489">
        <f>(O66-P66)/P66</f>
        <v>3.0224429925583968E-3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August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N33" sqref="N3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43313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229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[3]American!$FU$22</f>
        <v>84458</v>
      </c>
      <c r="C4" s="21">
        <f>[3]Delta!$FU$22+[3]Delta!$FU$32</f>
        <v>1005547</v>
      </c>
      <c r="D4" s="21">
        <f>[3]United!$FU$22</f>
        <v>51005</v>
      </c>
      <c r="E4" s="21">
        <f>[3]Spirit!$FU$22</f>
        <v>56593</v>
      </c>
      <c r="F4" s="21">
        <f>[3]Condor!$FU$22+[3]Condor!$FU$32</f>
        <v>4458</v>
      </c>
      <c r="G4" s="21">
        <f>'[3]Air France'!$FU$22+'[3]Air France'!$FU$32</f>
        <v>7850</v>
      </c>
      <c r="H4" s="21">
        <f>'[3]Jet Blue'!$FU$22</f>
        <v>10274</v>
      </c>
      <c r="I4" s="21">
        <f>[3]KLM!$FU$22+[3]KLM!$FU$32</f>
        <v>4403</v>
      </c>
      <c r="J4" s="21">
        <f>'Other Major Airline Stats'!J5</f>
        <v>233319</v>
      </c>
      <c r="K4" s="281">
        <f>SUM(B4:J4)</f>
        <v>1457907</v>
      </c>
    </row>
    <row r="5" spans="1:20" x14ac:dyDescent="0.2">
      <c r="A5" s="62" t="s">
        <v>31</v>
      </c>
      <c r="B5" s="14">
        <f>[3]American!$FU$23</f>
        <v>81128</v>
      </c>
      <c r="C5" s="14">
        <f>[3]Delta!$FU$23+[3]Delta!$FU$33</f>
        <v>999848</v>
      </c>
      <c r="D5" s="14">
        <f>[3]United!$FU$23</f>
        <v>50476</v>
      </c>
      <c r="E5" s="14">
        <f>[3]Spirit!$FU$23</f>
        <v>56085</v>
      </c>
      <c r="F5" s="14">
        <f>[3]Condor!$FU$23+[3]Condor!$FU$33</f>
        <v>4529</v>
      </c>
      <c r="G5" s="14">
        <f>'[3]Air France'!$FU$23+'[3]Air France'!$FU$33</f>
        <v>7190</v>
      </c>
      <c r="H5" s="14">
        <f>'[3]Jet Blue'!$FU$23</f>
        <v>10129</v>
      </c>
      <c r="I5" s="14">
        <f>[3]KLM!$FU$23+[3]KLM!$FU$33</f>
        <v>4249</v>
      </c>
      <c r="J5" s="14">
        <f>'Other Major Airline Stats'!J6</f>
        <v>230079</v>
      </c>
      <c r="K5" s="282">
        <f>SUM(B5:J5)</f>
        <v>1443713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165586</v>
      </c>
      <c r="C6" s="34">
        <f t="shared" si="0"/>
        <v>2005395</v>
      </c>
      <c r="D6" s="34">
        <f t="shared" si="0"/>
        <v>101481</v>
      </c>
      <c r="E6" s="34">
        <f t="shared" si="0"/>
        <v>112678</v>
      </c>
      <c r="F6" s="34">
        <f t="shared" ref="F6:I6" si="1">SUM(F4:F5)</f>
        <v>8987</v>
      </c>
      <c r="G6" s="34">
        <f t="shared" si="1"/>
        <v>15040</v>
      </c>
      <c r="H6" s="34">
        <f t="shared" si="1"/>
        <v>20403</v>
      </c>
      <c r="I6" s="34">
        <f t="shared" si="1"/>
        <v>8652</v>
      </c>
      <c r="J6" s="34">
        <f t="shared" si="0"/>
        <v>463398</v>
      </c>
      <c r="K6" s="283">
        <f>SUM(B6:J6)</f>
        <v>2901620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[3]American!$FU$27</f>
        <v>3788</v>
      </c>
      <c r="C9" s="21">
        <f>[3]Delta!$FU$27+[3]Delta!$FU$37</f>
        <v>35306</v>
      </c>
      <c r="D9" s="21">
        <f>[3]United!$FU$27</f>
        <v>1599</v>
      </c>
      <c r="E9" s="21">
        <f>[3]Spirit!$FU$27</f>
        <v>318</v>
      </c>
      <c r="F9" s="21">
        <f>[3]Condor!$FU$27+[3]Condor!$FU$37</f>
        <v>6</v>
      </c>
      <c r="G9" s="21">
        <f>'[3]Air France'!$FU$27+'[3]Air France'!$FU$37</f>
        <v>24</v>
      </c>
      <c r="H9" s="21">
        <f>'[3]Jet Blue'!$FU$27</f>
        <v>236</v>
      </c>
      <c r="I9" s="21">
        <f>[3]KLM!$FU$27+[3]KLM!$FU$37</f>
        <v>23</v>
      </c>
      <c r="J9" s="21">
        <f>'Other Major Airline Stats'!J10</f>
        <v>5251</v>
      </c>
      <c r="K9" s="281">
        <f>SUM(B9:J9)</f>
        <v>46551</v>
      </c>
    </row>
    <row r="10" spans="1:20" x14ac:dyDescent="0.2">
      <c r="A10" s="62" t="s">
        <v>33</v>
      </c>
      <c r="B10" s="14">
        <f>[3]American!$FU$28</f>
        <v>4016</v>
      </c>
      <c r="C10" s="14">
        <f>[3]Delta!$FU$28+[3]Delta!$FU$38</f>
        <v>35333</v>
      </c>
      <c r="D10" s="14">
        <f>[3]United!$FU$28</f>
        <v>1423</v>
      </c>
      <c r="E10" s="14">
        <f>[3]Spirit!$FU$28</f>
        <v>326</v>
      </c>
      <c r="F10" s="14">
        <f>[3]Condor!$FU$28+[3]Condor!$FU$38</f>
        <v>6</v>
      </c>
      <c r="G10" s="14">
        <f>'[3]Air France'!$FU$28+'[3]Air France'!$FU$38</f>
        <v>13</v>
      </c>
      <c r="H10" s="14">
        <f>'[3]Jet Blue'!$FU$28</f>
        <v>258</v>
      </c>
      <c r="I10" s="14">
        <f>[3]KLM!$FU$28+[3]KLM!$FU$38</f>
        <v>29</v>
      </c>
      <c r="J10" s="14">
        <f>'Other Major Airline Stats'!J11</f>
        <v>5067</v>
      </c>
      <c r="K10" s="282">
        <f>SUM(B10:J10)</f>
        <v>46471</v>
      </c>
    </row>
    <row r="11" spans="1:20" ht="15.75" thickBot="1" x14ac:dyDescent="0.3">
      <c r="A11" s="63" t="s">
        <v>34</v>
      </c>
      <c r="B11" s="284">
        <f t="shared" ref="B11:J11" si="2">SUM(B9:B10)</f>
        <v>7804</v>
      </c>
      <c r="C11" s="284">
        <f t="shared" si="2"/>
        <v>70639</v>
      </c>
      <c r="D11" s="284">
        <f t="shared" si="2"/>
        <v>3022</v>
      </c>
      <c r="E11" s="284">
        <f t="shared" si="2"/>
        <v>644</v>
      </c>
      <c r="F11" s="284">
        <f t="shared" ref="F11:I11" si="3">SUM(F9:F10)</f>
        <v>12</v>
      </c>
      <c r="G11" s="284">
        <f t="shared" si="3"/>
        <v>37</v>
      </c>
      <c r="H11" s="284">
        <f t="shared" si="3"/>
        <v>494</v>
      </c>
      <c r="I11" s="284">
        <f t="shared" si="3"/>
        <v>52</v>
      </c>
      <c r="J11" s="284">
        <f t="shared" si="2"/>
        <v>10318</v>
      </c>
      <c r="K11" s="285">
        <f>SUM(B11:J11)</f>
        <v>93022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[3]American!$FU$4</f>
        <v>661</v>
      </c>
      <c r="C15" s="21">
        <f>[3]Delta!$FU$4+[3]Delta!$FU$15</f>
        <v>7125</v>
      </c>
      <c r="D15" s="21">
        <f>[3]United!$FU$4</f>
        <v>411</v>
      </c>
      <c r="E15" s="21">
        <f>[3]Spirit!$FU$4</f>
        <v>372</v>
      </c>
      <c r="F15" s="21">
        <f>[3]Condor!$FU$4+[3]Condor!$FU$15</f>
        <v>18</v>
      </c>
      <c r="G15" s="21">
        <f>'[3]Air France'!$FU$4+'[3]Air France'!$FU$15</f>
        <v>31</v>
      </c>
      <c r="H15" s="21">
        <f>'[3]Jet Blue'!$FU$4</f>
        <v>93</v>
      </c>
      <c r="I15" s="21">
        <f>[3]KLM!$FU$4+[3]KLM!$FU$15</f>
        <v>17</v>
      </c>
      <c r="J15" s="21">
        <f>'Other Major Airline Stats'!J16</f>
        <v>1897</v>
      </c>
      <c r="K15" s="27">
        <f>SUM(B15:J15)</f>
        <v>10625</v>
      </c>
    </row>
    <row r="16" spans="1:20" x14ac:dyDescent="0.2">
      <c r="A16" s="62" t="s">
        <v>23</v>
      </c>
      <c r="B16" s="14">
        <f>[3]American!$FU$5</f>
        <v>661</v>
      </c>
      <c r="C16" s="14">
        <f>[3]Delta!$FU$5+[3]Delta!$FU$16</f>
        <v>7107</v>
      </c>
      <c r="D16" s="14">
        <f>[3]United!$FU$5</f>
        <v>411</v>
      </c>
      <c r="E16" s="14">
        <f>[3]Spirit!$FU$5</f>
        <v>372</v>
      </c>
      <c r="F16" s="14">
        <f>[3]Condor!$FU$5+[3]Condor!$FU$16</f>
        <v>18</v>
      </c>
      <c r="G16" s="14">
        <f>'[3]Air France'!$FU$5+'[3]Air France'!$FU$16</f>
        <v>31</v>
      </c>
      <c r="H16" s="14">
        <f>'[3]Jet Blue'!$FU$5</f>
        <v>92</v>
      </c>
      <c r="I16" s="14">
        <f>[3]KLM!$FU$5+[3]KLM!$FU$16</f>
        <v>17</v>
      </c>
      <c r="J16" s="14">
        <f>'Other Major Airline Stats'!J17</f>
        <v>1894</v>
      </c>
      <c r="K16" s="33">
        <f>SUM(B16:J16)</f>
        <v>10603</v>
      </c>
    </row>
    <row r="17" spans="1:11" x14ac:dyDescent="0.2">
      <c r="A17" s="62" t="s">
        <v>24</v>
      </c>
      <c r="B17" s="288">
        <f t="shared" ref="B17:J17" si="4">SUM(B15:B16)</f>
        <v>1322</v>
      </c>
      <c r="C17" s="286">
        <f t="shared" si="4"/>
        <v>14232</v>
      </c>
      <c r="D17" s="286">
        <f t="shared" si="4"/>
        <v>822</v>
      </c>
      <c r="E17" s="286">
        <f t="shared" si="4"/>
        <v>744</v>
      </c>
      <c r="F17" s="286">
        <f t="shared" ref="F17:I17" si="5">SUM(F15:F16)</f>
        <v>36</v>
      </c>
      <c r="G17" s="286">
        <f t="shared" si="5"/>
        <v>62</v>
      </c>
      <c r="H17" s="286">
        <f t="shared" si="5"/>
        <v>185</v>
      </c>
      <c r="I17" s="286">
        <f t="shared" si="5"/>
        <v>34</v>
      </c>
      <c r="J17" s="286">
        <f t="shared" si="4"/>
        <v>3791</v>
      </c>
      <c r="K17" s="287">
        <f>SUM(B17:J17)</f>
        <v>21228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[3]American!$FU$8</f>
        <v>0</v>
      </c>
      <c r="C19" s="21">
        <f>[3]Delta!$FU$8</f>
        <v>7</v>
      </c>
      <c r="D19" s="21">
        <f>[3]United!$FU$8</f>
        <v>0</v>
      </c>
      <c r="E19" s="21">
        <f>[3]Spirit!$FU$8</f>
        <v>0</v>
      </c>
      <c r="F19" s="21">
        <f>[3]Condor!$FU$8</f>
        <v>0</v>
      </c>
      <c r="G19" s="21">
        <f>'[3]Air France'!$FU$8</f>
        <v>0</v>
      </c>
      <c r="H19" s="21">
        <f>'[3]Jet Blue'!$FU$8</f>
        <v>0</v>
      </c>
      <c r="I19" s="21">
        <f>[3]KLM!$FU$8</f>
        <v>0</v>
      </c>
      <c r="J19" s="21">
        <f>'Other Major Airline Stats'!J20</f>
        <v>81</v>
      </c>
      <c r="K19" s="27">
        <f>SUM(B19:J19)</f>
        <v>88</v>
      </c>
    </row>
    <row r="20" spans="1:11" x14ac:dyDescent="0.2">
      <c r="A20" s="62" t="s">
        <v>26</v>
      </c>
      <c r="B20" s="14">
        <f>[3]American!$FU$9</f>
        <v>0</v>
      </c>
      <c r="C20" s="14">
        <f>[3]Delta!$FU$9</f>
        <v>22</v>
      </c>
      <c r="D20" s="14">
        <f>[3]United!$FU$9</f>
        <v>0</v>
      </c>
      <c r="E20" s="14">
        <f>[3]Spirit!$FU$9</f>
        <v>0</v>
      </c>
      <c r="F20" s="14">
        <f>[3]Condor!$FU$9</f>
        <v>0</v>
      </c>
      <c r="G20" s="14">
        <f>'[3]Air France'!$FU$9</f>
        <v>0</v>
      </c>
      <c r="H20" s="14">
        <f>'[3]Jet Blue'!$FU$9</f>
        <v>0</v>
      </c>
      <c r="I20" s="14">
        <f>[3]KLM!$FU$9</f>
        <v>0</v>
      </c>
      <c r="J20" s="14">
        <f>'Other Major Airline Stats'!J21</f>
        <v>88</v>
      </c>
      <c r="K20" s="33">
        <f>SUM(B20:J20)</f>
        <v>110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29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169</v>
      </c>
      <c r="K21" s="176">
        <f>SUM(B21:J21)</f>
        <v>198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1322</v>
      </c>
      <c r="C23" s="28">
        <f t="shared" si="8"/>
        <v>14261</v>
      </c>
      <c r="D23" s="28">
        <f t="shared" si="8"/>
        <v>822</v>
      </c>
      <c r="E23" s="28">
        <f>E17+E21</f>
        <v>744</v>
      </c>
      <c r="F23" s="28">
        <f t="shared" ref="F23:I23" si="9">F17+F21</f>
        <v>36</v>
      </c>
      <c r="G23" s="28">
        <f t="shared" si="9"/>
        <v>62</v>
      </c>
      <c r="H23" s="28">
        <f t="shared" si="9"/>
        <v>185</v>
      </c>
      <c r="I23" s="28">
        <f t="shared" si="9"/>
        <v>34</v>
      </c>
      <c r="J23" s="28">
        <f t="shared" si="8"/>
        <v>3960</v>
      </c>
      <c r="K23" s="29">
        <f>SUM(B23:J23)</f>
        <v>21426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[3]American!$FU$47</f>
        <v>45575</v>
      </c>
      <c r="C28" s="21">
        <f>[3]Delta!$FU$47</f>
        <v>4536732</v>
      </c>
      <c r="D28" s="21">
        <f>[3]United!$FU$47</f>
        <v>79294</v>
      </c>
      <c r="E28" s="21">
        <f>[3]Spirit!$FU$47</f>
        <v>0</v>
      </c>
      <c r="F28" s="21">
        <f>[3]Condor!$FU$47</f>
        <v>187243</v>
      </c>
      <c r="G28" s="21">
        <f>'[3]Air France'!$FU$47</f>
        <v>436262</v>
      </c>
      <c r="H28" s="21">
        <f>'[3]Jet Blue'!$FU$47</f>
        <v>0</v>
      </c>
      <c r="I28" s="21">
        <f>[3]KLM!$FU$47</f>
        <v>428857</v>
      </c>
      <c r="J28" s="21">
        <f>'Other Major Airline Stats'!J28</f>
        <v>510416</v>
      </c>
      <c r="K28" s="27">
        <f>SUM(B28:J28)</f>
        <v>6224379</v>
      </c>
    </row>
    <row r="29" spans="1:11" x14ac:dyDescent="0.2">
      <c r="A29" s="62" t="s">
        <v>38</v>
      </c>
      <c r="B29" s="14">
        <f>[3]American!$FU$48</f>
        <v>17657</v>
      </c>
      <c r="C29" s="14">
        <f>[3]Delta!$FU$48</f>
        <v>1619560</v>
      </c>
      <c r="D29" s="14">
        <f>[3]United!$FU$48</f>
        <v>36443</v>
      </c>
      <c r="E29" s="14">
        <f>[3]Spirit!$FU$48</f>
        <v>0</v>
      </c>
      <c r="F29" s="14">
        <f>[3]Condor!$FU$48</f>
        <v>0</v>
      </c>
      <c r="G29" s="14">
        <f>'[3]Air France'!$FU$48</f>
        <v>0</v>
      </c>
      <c r="H29" s="14">
        <f>'[3]Jet Blue'!$FU$48</f>
        <v>0</v>
      </c>
      <c r="I29" s="14">
        <f>[3]KLM!$FU$48</f>
        <v>0</v>
      </c>
      <c r="J29" s="14">
        <f>'Other Major Airline Stats'!J29</f>
        <v>295206</v>
      </c>
      <c r="K29" s="33">
        <f>SUM(B29:J29)</f>
        <v>1968866</v>
      </c>
    </row>
    <row r="30" spans="1:11" x14ac:dyDescent="0.2">
      <c r="A30" s="66" t="s">
        <v>39</v>
      </c>
      <c r="B30" s="288">
        <f t="shared" ref="B30:J30" si="10">SUM(B28:B29)</f>
        <v>63232</v>
      </c>
      <c r="C30" s="288">
        <f t="shared" si="10"/>
        <v>6156292</v>
      </c>
      <c r="D30" s="288">
        <f t="shared" si="10"/>
        <v>115737</v>
      </c>
      <c r="E30" s="288">
        <f t="shared" si="10"/>
        <v>0</v>
      </c>
      <c r="F30" s="288">
        <f t="shared" ref="F30:I30" si="11">SUM(F28:F29)</f>
        <v>187243</v>
      </c>
      <c r="G30" s="288">
        <f t="shared" si="11"/>
        <v>436262</v>
      </c>
      <c r="H30" s="288">
        <f t="shared" si="11"/>
        <v>0</v>
      </c>
      <c r="I30" s="288">
        <f t="shared" si="11"/>
        <v>428857</v>
      </c>
      <c r="J30" s="288">
        <f t="shared" si="10"/>
        <v>805622</v>
      </c>
      <c r="K30" s="27">
        <f>SUM(B30:J30)</f>
        <v>8193245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[3]American!$FU$52</f>
        <v>13187</v>
      </c>
      <c r="C33" s="21">
        <f>[3]Delta!$FU$52</f>
        <v>2582642</v>
      </c>
      <c r="D33" s="21">
        <f>[3]United!$FU$52</f>
        <v>45028</v>
      </c>
      <c r="E33" s="21">
        <f>[3]Spirit!$FU$52</f>
        <v>0</v>
      </c>
      <c r="F33" s="21">
        <f>[3]Condor!$FU$52</f>
        <v>46484</v>
      </c>
      <c r="G33" s="21">
        <f>'[3]Air France'!$FU$52</f>
        <v>258590</v>
      </c>
      <c r="H33" s="21">
        <f>'[3]Jet Blue'!$FU$52</f>
        <v>0</v>
      </c>
      <c r="I33" s="21">
        <f>[3]KLM!$FU$52</f>
        <v>173806</v>
      </c>
      <c r="J33" s="21">
        <f>'Other Major Airline Stats'!J33</f>
        <v>217345</v>
      </c>
      <c r="K33" s="27">
        <f t="shared" si="12"/>
        <v>3337082</v>
      </c>
    </row>
    <row r="34" spans="1:11" x14ac:dyDescent="0.2">
      <c r="A34" s="62" t="s">
        <v>38</v>
      </c>
      <c r="B34" s="14">
        <f>[3]American!$FU$53</f>
        <v>73015</v>
      </c>
      <c r="C34" s="14">
        <f>[3]Delta!$FU$53</f>
        <v>1915805</v>
      </c>
      <c r="D34" s="14">
        <f>[3]United!$FU$53</f>
        <v>50932</v>
      </c>
      <c r="E34" s="14">
        <f>[3]Spirit!$FU$53</f>
        <v>0</v>
      </c>
      <c r="F34" s="14">
        <f>[3]Condor!$FU$53</f>
        <v>0</v>
      </c>
      <c r="G34" s="14">
        <f>'[3]Air France'!$FU$53</f>
        <v>0</v>
      </c>
      <c r="H34" s="14">
        <f>'[3]Jet Blue'!$FU$53</f>
        <v>0</v>
      </c>
      <c r="I34" s="14">
        <f>[3]KLM!$FU$53</f>
        <v>0</v>
      </c>
      <c r="J34" s="14">
        <f>'Other Major Airline Stats'!J34</f>
        <v>159314</v>
      </c>
      <c r="K34" s="33">
        <f t="shared" si="12"/>
        <v>2199066</v>
      </c>
    </row>
    <row r="35" spans="1:11" x14ac:dyDescent="0.2">
      <c r="A35" s="66" t="s">
        <v>41</v>
      </c>
      <c r="B35" s="288">
        <f t="shared" ref="B35:J35" si="13">SUM(B33:B34)</f>
        <v>86202</v>
      </c>
      <c r="C35" s="288">
        <f t="shared" si="13"/>
        <v>4498447</v>
      </c>
      <c r="D35" s="288">
        <f t="shared" si="13"/>
        <v>95960</v>
      </c>
      <c r="E35" s="288">
        <f t="shared" si="13"/>
        <v>0</v>
      </c>
      <c r="F35" s="288">
        <f t="shared" ref="F35:I35" si="14">SUM(F33:F34)</f>
        <v>46484</v>
      </c>
      <c r="G35" s="288">
        <f t="shared" si="14"/>
        <v>258590</v>
      </c>
      <c r="H35" s="288">
        <f t="shared" si="14"/>
        <v>0</v>
      </c>
      <c r="I35" s="288">
        <f t="shared" si="14"/>
        <v>173806</v>
      </c>
      <c r="J35" s="288">
        <f t="shared" si="13"/>
        <v>376659</v>
      </c>
      <c r="K35" s="27">
        <f t="shared" si="12"/>
        <v>5536148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[3]American!$FU$57</f>
        <v>0</v>
      </c>
      <c r="C38" s="21">
        <f>[3]Delta!$FU$57</f>
        <v>0</v>
      </c>
      <c r="D38" s="21">
        <f>[3]United!$FU$57</f>
        <v>0</v>
      </c>
      <c r="E38" s="21">
        <f>[3]Spirit!$FU$57</f>
        <v>0</v>
      </c>
      <c r="F38" s="21">
        <f>[3]Condor!$FU$57</f>
        <v>0</v>
      </c>
      <c r="G38" s="21">
        <f>'[3]Air France'!$FU$57</f>
        <v>0</v>
      </c>
      <c r="H38" s="21">
        <f>'[3]Jet Blue'!$FU$57</f>
        <v>0</v>
      </c>
      <c r="I38" s="21">
        <f>[3]KLM!$FU$57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[3]American!$FU$58</f>
        <v>0</v>
      </c>
      <c r="C39" s="14">
        <f>[3]Delta!$FU$58</f>
        <v>0</v>
      </c>
      <c r="D39" s="14">
        <f>[3]United!$FU$58</f>
        <v>0</v>
      </c>
      <c r="E39" s="14">
        <f>[3]Spirit!$FU$58</f>
        <v>0</v>
      </c>
      <c r="F39" s="14">
        <f>[3]Condor!$FU$58</f>
        <v>0</v>
      </c>
      <c r="G39" s="14">
        <f>'[3]Air France'!$FU$58</f>
        <v>0</v>
      </c>
      <c r="H39" s="14">
        <f>'[3]Jet Blue'!$FU$58</f>
        <v>0</v>
      </c>
      <c r="I39" s="14">
        <f>[3]KLM!$FU$58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58762</v>
      </c>
      <c r="C43" s="21">
        <f t="shared" si="17"/>
        <v>7119374</v>
      </c>
      <c r="D43" s="21">
        <f t="shared" si="17"/>
        <v>124322</v>
      </c>
      <c r="E43" s="21">
        <f>E28+E33+E38</f>
        <v>0</v>
      </c>
      <c r="F43" s="21">
        <f t="shared" ref="F43:I43" si="18">F28+F33+F38</f>
        <v>233727</v>
      </c>
      <c r="G43" s="21">
        <f t="shared" si="18"/>
        <v>694852</v>
      </c>
      <c r="H43" s="21">
        <f t="shared" si="18"/>
        <v>0</v>
      </c>
      <c r="I43" s="21">
        <f t="shared" si="18"/>
        <v>602663</v>
      </c>
      <c r="J43" s="21">
        <f t="shared" si="17"/>
        <v>727761</v>
      </c>
      <c r="K43" s="27">
        <f>SUM(B43:J43)</f>
        <v>9561461</v>
      </c>
    </row>
    <row r="44" spans="1:11" x14ac:dyDescent="0.2">
      <c r="A44" s="62" t="s">
        <v>38</v>
      </c>
      <c r="B44" s="14">
        <f t="shared" si="17"/>
        <v>90672</v>
      </c>
      <c r="C44" s="14">
        <f t="shared" si="17"/>
        <v>3535365</v>
      </c>
      <c r="D44" s="14">
        <f t="shared" si="17"/>
        <v>87375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454520</v>
      </c>
      <c r="K44" s="27">
        <f>SUM(B44:J44)</f>
        <v>4167932</v>
      </c>
    </row>
    <row r="45" spans="1:11" ht="15.75" thickBot="1" x14ac:dyDescent="0.3">
      <c r="A45" s="63" t="s">
        <v>46</v>
      </c>
      <c r="B45" s="289">
        <f t="shared" ref="B45:J45" si="20">SUM(B43:B44)</f>
        <v>149434</v>
      </c>
      <c r="C45" s="289">
        <f t="shared" si="20"/>
        <v>10654739</v>
      </c>
      <c r="D45" s="289">
        <f t="shared" si="20"/>
        <v>211697</v>
      </c>
      <c r="E45" s="289">
        <f t="shared" si="20"/>
        <v>0</v>
      </c>
      <c r="F45" s="289">
        <f t="shared" ref="F45:I45" si="21">SUM(F43:F44)</f>
        <v>233727</v>
      </c>
      <c r="G45" s="289">
        <f t="shared" si="21"/>
        <v>694852</v>
      </c>
      <c r="H45" s="289">
        <f t="shared" si="21"/>
        <v>0</v>
      </c>
      <c r="I45" s="289">
        <f t="shared" si="21"/>
        <v>602663</v>
      </c>
      <c r="J45" s="289">
        <f t="shared" si="20"/>
        <v>1182281</v>
      </c>
      <c r="K45" s="290">
        <f>SUM(B45:J45)</f>
        <v>13729393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[3]Delta!$FU$70+[3]Delta!$FU$73</f>
        <v>488926</v>
      </c>
      <c r="D47" s="306"/>
      <c r="E47" s="306"/>
      <c r="F47" s="306"/>
      <c r="G47" s="306"/>
      <c r="H47" s="306"/>
      <c r="I47" s="306"/>
      <c r="J47" s="306"/>
      <c r="K47" s="307">
        <f>SUM(B47:J47)</f>
        <v>488926</v>
      </c>
    </row>
    <row r="48" spans="1:11" hidden="1" x14ac:dyDescent="0.2">
      <c r="A48" s="376" t="s">
        <v>125</v>
      </c>
      <c r="C48" s="319">
        <f>[3]Delta!$FU$71+[3]Delta!$FU$74</f>
        <v>510922</v>
      </c>
      <c r="D48" s="306"/>
      <c r="E48" s="306"/>
      <c r="F48" s="306"/>
      <c r="G48" s="306"/>
      <c r="H48" s="306"/>
      <c r="I48" s="306"/>
      <c r="J48" s="306"/>
      <c r="K48" s="307">
        <f>SUM(B48:J48)</f>
        <v>510922</v>
      </c>
    </row>
    <row r="49" spans="1:11" hidden="1" x14ac:dyDescent="0.2">
      <c r="A49" s="377" t="s">
        <v>126</v>
      </c>
      <c r="C49" s="320">
        <f>SUM(C47:C48)</f>
        <v>999848</v>
      </c>
      <c r="K49" s="307">
        <f>SUM(B49:J49)</f>
        <v>999848</v>
      </c>
    </row>
    <row r="50" spans="1:11" x14ac:dyDescent="0.2">
      <c r="A50" s="375" t="s">
        <v>124</v>
      </c>
      <c r="B50" s="387"/>
      <c r="C50" s="322">
        <f>[3]Delta!$FU$70+[3]Delta!$FU$73</f>
        <v>488926</v>
      </c>
      <c r="D50" s="387"/>
      <c r="E50" s="322">
        <f>[3]Spirit!$FU$70+[3]Spirit!$FU$73</f>
        <v>0</v>
      </c>
      <c r="F50" s="387"/>
      <c r="G50" s="387"/>
      <c r="H50" s="387"/>
      <c r="I50" s="387"/>
      <c r="J50" s="321">
        <f>'Other Major Airline Stats'!J48</f>
        <v>181166</v>
      </c>
      <c r="K50" s="310">
        <f>SUM(B50:J50)</f>
        <v>670092</v>
      </c>
    </row>
    <row r="51" spans="1:11" x14ac:dyDescent="0.2">
      <c r="A51" s="389" t="s">
        <v>125</v>
      </c>
      <c r="B51" s="387"/>
      <c r="C51" s="322">
        <f>[3]Delta!$FU$71+[3]Delta!$FU$74</f>
        <v>510922</v>
      </c>
      <c r="D51" s="387"/>
      <c r="E51" s="322">
        <f>[3]Spirit!$FU$71+[3]Spirit!$FU$74</f>
        <v>0</v>
      </c>
      <c r="F51" s="387"/>
      <c r="G51" s="387"/>
      <c r="H51" s="387"/>
      <c r="I51" s="387"/>
      <c r="J51" s="321">
        <f>+'Other Major Airline Stats'!J49</f>
        <v>6152</v>
      </c>
      <c r="K51" s="310">
        <f>SUM(B51:J51)</f>
        <v>517074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M15" sqref="M1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43313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[3]Frontier!$FU$22</f>
        <v>23643</v>
      </c>
      <c r="C5" s="146">
        <f>'[3]Great Lakes'!$FU$22</f>
        <v>0</v>
      </c>
      <c r="D5" s="118">
        <f>'[3]Air Choice One'!$FU$22</f>
        <v>437</v>
      </c>
      <c r="E5" s="118">
        <f>'[3]Boutique Air'!$FU$22</f>
        <v>435</v>
      </c>
      <c r="F5" s="146">
        <f>[3]Icelandair!$FU$32</f>
        <v>7211</v>
      </c>
      <c r="G5" s="118">
        <f>[3]Southwest!$FU$22</f>
        <v>92814</v>
      </c>
      <c r="H5" s="118">
        <f>'[3]Sun Country'!$FU$22+'[3]Sun Country'!$FU$32</f>
        <v>98536</v>
      </c>
      <c r="I5" s="118">
        <f>[3]Alaska!$FU$22</f>
        <v>10243</v>
      </c>
      <c r="J5" s="147">
        <f>SUM(B5:I5)</f>
        <v>233319</v>
      </c>
      <c r="M5" s="130"/>
    </row>
    <row r="6" spans="1:13" x14ac:dyDescent="0.2">
      <c r="A6" s="62" t="s">
        <v>31</v>
      </c>
      <c r="B6" s="146">
        <f>[3]Frontier!$FU$23</f>
        <v>24400</v>
      </c>
      <c r="C6" s="146">
        <f>'[3]Great Lakes'!$FU$23</f>
        <v>0</v>
      </c>
      <c r="D6" s="118">
        <f>'[3]Air Choice One'!$FU$23</f>
        <v>485</v>
      </c>
      <c r="E6" s="118">
        <f>'[3]Boutique Air'!$FU$23</f>
        <v>450</v>
      </c>
      <c r="F6" s="146">
        <f>[3]Icelandair!$FU$33</f>
        <v>7240</v>
      </c>
      <c r="G6" s="118">
        <f>[3]Southwest!$FU$23</f>
        <v>91706</v>
      </c>
      <c r="H6" s="118">
        <f>'[3]Sun Country'!$FU$23+'[3]Sun Country'!$FU$33</f>
        <v>95612</v>
      </c>
      <c r="I6" s="118">
        <f>[3]Alaska!$FU$23</f>
        <v>10186</v>
      </c>
      <c r="J6" s="147">
        <f>SUM(B6:I6)</f>
        <v>230079</v>
      </c>
    </row>
    <row r="7" spans="1:13" ht="15" x14ac:dyDescent="0.25">
      <c r="A7" s="60" t="s">
        <v>7</v>
      </c>
      <c r="B7" s="155">
        <f t="shared" ref="B7:I7" si="0">SUM(B5:B6)</f>
        <v>48043</v>
      </c>
      <c r="C7" s="155">
        <f t="shared" si="0"/>
        <v>0</v>
      </c>
      <c r="D7" s="155">
        <f t="shared" ref="D7:E7" si="1">SUM(D5:D6)</f>
        <v>922</v>
      </c>
      <c r="E7" s="155">
        <f t="shared" si="1"/>
        <v>885</v>
      </c>
      <c r="F7" s="155">
        <f t="shared" si="0"/>
        <v>14451</v>
      </c>
      <c r="G7" s="155">
        <f t="shared" si="0"/>
        <v>184520</v>
      </c>
      <c r="H7" s="155">
        <f>SUM(H5:H6)</f>
        <v>194148</v>
      </c>
      <c r="I7" s="155">
        <f t="shared" si="0"/>
        <v>20429</v>
      </c>
      <c r="J7" s="156">
        <f>SUM(B7:I7)</f>
        <v>463398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[3]Frontier!$FU$27</f>
        <v>173</v>
      </c>
      <c r="C10" s="154">
        <f>'[3]Great Lakes'!$FU$27</f>
        <v>0</v>
      </c>
      <c r="D10" s="154">
        <f>'[3]Air Choice One'!$FU$27</f>
        <v>0</v>
      </c>
      <c r="E10" s="154">
        <f>'[3]Boutique Air'!$FU$27</f>
        <v>0</v>
      </c>
      <c r="F10" s="154">
        <f>[3]Icelandair!$FU$37</f>
        <v>91</v>
      </c>
      <c r="G10" s="154">
        <f>[3]Southwest!$FU$27</f>
        <v>2210</v>
      </c>
      <c r="H10" s="154">
        <f>'[3]Sun Country'!$FU$27+'[3]Sun Country'!$FU$37</f>
        <v>2341</v>
      </c>
      <c r="I10" s="154">
        <f>[3]Alaska!$FU$27</f>
        <v>436</v>
      </c>
      <c r="J10" s="147">
        <f>SUM(B10:I10)</f>
        <v>5251</v>
      </c>
    </row>
    <row r="11" spans="1:13" x14ac:dyDescent="0.2">
      <c r="A11" s="62" t="s">
        <v>33</v>
      </c>
      <c r="B11" s="157">
        <f>[3]Frontier!$FU$28</f>
        <v>162</v>
      </c>
      <c r="C11" s="157">
        <f>'[3]Great Lakes'!$FU$28</f>
        <v>0</v>
      </c>
      <c r="D11" s="157">
        <f>'[3]Air Choice One'!$FU$28</f>
        <v>0</v>
      </c>
      <c r="E11" s="157">
        <f>'[3]Boutique Air'!$FU$28</f>
        <v>0</v>
      </c>
      <c r="F11" s="157">
        <f>[3]Icelandair!$FU$38</f>
        <v>141</v>
      </c>
      <c r="G11" s="157">
        <f>[3]Southwest!$FU$28</f>
        <v>2227</v>
      </c>
      <c r="H11" s="157">
        <f>'[3]Sun Country'!$FU$28+'[3]Sun Country'!$FU$38</f>
        <v>2079</v>
      </c>
      <c r="I11" s="157">
        <f>[3]Alaska!$FU$28</f>
        <v>458</v>
      </c>
      <c r="J11" s="147">
        <f>SUM(B11:I11)</f>
        <v>5067</v>
      </c>
    </row>
    <row r="12" spans="1:13" ht="15.75" thickBot="1" x14ac:dyDescent="0.3">
      <c r="A12" s="63" t="s">
        <v>34</v>
      </c>
      <c r="B12" s="150">
        <f t="shared" ref="B12:I12" si="2">SUM(B10:B11)</f>
        <v>335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232</v>
      </c>
      <c r="G12" s="150">
        <f t="shared" si="2"/>
        <v>4437</v>
      </c>
      <c r="H12" s="150">
        <f>SUM(H10:H11)</f>
        <v>4420</v>
      </c>
      <c r="I12" s="150">
        <f t="shared" si="2"/>
        <v>894</v>
      </c>
      <c r="J12" s="158">
        <f>SUM(B12:I12)</f>
        <v>10318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[3]Frontier!$FU$4</f>
        <v>158</v>
      </c>
      <c r="C16" s="146">
        <f>'[3]Great Lakes'!$FU$4</f>
        <v>0</v>
      </c>
      <c r="D16" s="106">
        <f>'[3]Air Choice One'!$FU$4</f>
        <v>100</v>
      </c>
      <c r="E16" s="106">
        <f>'[3]Boutique Air'!$FU$4</f>
        <v>78</v>
      </c>
      <c r="F16" s="146">
        <f>[3]Icelandair!$FU$15</f>
        <v>49</v>
      </c>
      <c r="G16" s="106">
        <f>[3]Southwest!$FU$4</f>
        <v>746</v>
      </c>
      <c r="H16" s="118">
        <f>'[3]Sun Country'!$FU$4+'[3]Sun Country'!$FU$15</f>
        <v>704</v>
      </c>
      <c r="I16" s="118">
        <f>[3]Alaska!$FU$4</f>
        <v>62</v>
      </c>
      <c r="J16" s="147">
        <f>SUM(B16:I16)</f>
        <v>1897</v>
      </c>
    </row>
    <row r="17" spans="1:257" x14ac:dyDescent="0.2">
      <c r="A17" s="62" t="s">
        <v>23</v>
      </c>
      <c r="B17" s="146">
        <f>[3]Frontier!$FU$5</f>
        <v>158</v>
      </c>
      <c r="C17" s="146">
        <f>'[3]Great Lakes'!$FU$5</f>
        <v>0</v>
      </c>
      <c r="D17" s="106">
        <f>'[3]Air Choice One'!$FU$5</f>
        <v>100</v>
      </c>
      <c r="E17" s="106">
        <f>'[3]Boutique Air'!$FU$5</f>
        <v>78</v>
      </c>
      <c r="F17" s="146">
        <f>[3]Icelandair!$FU$16</f>
        <v>49</v>
      </c>
      <c r="G17" s="106">
        <f>[3]Southwest!$FU$5</f>
        <v>745</v>
      </c>
      <c r="H17" s="118">
        <f>'[3]Sun Country'!$FU$5+'[3]Sun Country'!$FU$16</f>
        <v>702</v>
      </c>
      <c r="I17" s="118">
        <f>[3]Alaska!$FU$5</f>
        <v>62</v>
      </c>
      <c r="J17" s="147">
        <f>SUM(B17:I17)</f>
        <v>1894</v>
      </c>
    </row>
    <row r="18" spans="1:257" x14ac:dyDescent="0.2">
      <c r="A18" s="66" t="s">
        <v>24</v>
      </c>
      <c r="B18" s="148">
        <f t="shared" ref="B18:I18" si="4">SUM(B16:B17)</f>
        <v>316</v>
      </c>
      <c r="C18" s="148">
        <f t="shared" si="4"/>
        <v>0</v>
      </c>
      <c r="D18" s="148">
        <f t="shared" ref="D18:E18" si="5">SUM(D16:D17)</f>
        <v>200</v>
      </c>
      <c r="E18" s="148">
        <f t="shared" si="5"/>
        <v>156</v>
      </c>
      <c r="F18" s="148">
        <f t="shared" si="4"/>
        <v>98</v>
      </c>
      <c r="G18" s="148">
        <f t="shared" si="4"/>
        <v>1491</v>
      </c>
      <c r="H18" s="148">
        <f t="shared" si="4"/>
        <v>1406</v>
      </c>
      <c r="I18" s="148">
        <f t="shared" si="4"/>
        <v>124</v>
      </c>
      <c r="J18" s="149">
        <f>SUM(B18:I18)</f>
        <v>3791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[3]Frontier!$FU$8</f>
        <v>0</v>
      </c>
      <c r="C20" s="146">
        <f>'[3]Great Lakes'!$FU$8</f>
        <v>0</v>
      </c>
      <c r="D20" s="118">
        <f>'[3]Air Choice One'!$FU$8</f>
        <v>0</v>
      </c>
      <c r="E20" s="118">
        <f>'[3]Boutique Air'!$FU$8</f>
        <v>0</v>
      </c>
      <c r="F20" s="146">
        <f>[3]Icelandair!$FU$8</f>
        <v>0</v>
      </c>
      <c r="G20" s="118">
        <f>[3]Southwest!$FU$8</f>
        <v>0</v>
      </c>
      <c r="H20" s="118">
        <f>'[3]Sun Country'!$FU$8</f>
        <v>81</v>
      </c>
      <c r="I20" s="118">
        <f>[3]Alaska!$FU$8</f>
        <v>0</v>
      </c>
      <c r="J20" s="147">
        <f>SUM(B20:I20)</f>
        <v>81</v>
      </c>
    </row>
    <row r="21" spans="1:257" x14ac:dyDescent="0.2">
      <c r="A21" s="62" t="s">
        <v>26</v>
      </c>
      <c r="B21" s="146">
        <f>[3]Frontier!$FU$9</f>
        <v>0</v>
      </c>
      <c r="C21" s="146">
        <f>'[3]Great Lakes'!$FU$9</f>
        <v>0</v>
      </c>
      <c r="D21" s="118">
        <f>'[3]Air Choice One'!$FU$9</f>
        <v>0</v>
      </c>
      <c r="E21" s="118">
        <f>'[3]Boutique Air'!$FU$9</f>
        <v>0</v>
      </c>
      <c r="F21" s="146">
        <f>[3]Icelandair!$FU$9</f>
        <v>0</v>
      </c>
      <c r="G21" s="118">
        <f>[3]Southwest!$FU$9</f>
        <v>0</v>
      </c>
      <c r="H21" s="118">
        <f>'[3]Sun Country'!$FU$9</f>
        <v>88</v>
      </c>
      <c r="I21" s="118">
        <f>[3]Alaska!$FU$9</f>
        <v>0</v>
      </c>
      <c r="J21" s="147">
        <f>SUM(B21:I21)</f>
        <v>88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169</v>
      </c>
      <c r="I22" s="148">
        <f t="shared" si="6"/>
        <v>0</v>
      </c>
      <c r="J22" s="149">
        <f>SUM(B22:I22)</f>
        <v>169</v>
      </c>
    </row>
    <row r="23" spans="1:257" ht="15.75" thickBot="1" x14ac:dyDescent="0.3">
      <c r="A23" s="63" t="s">
        <v>28</v>
      </c>
      <c r="B23" s="150">
        <f t="shared" ref="B23:I23" si="8">B22+B18</f>
        <v>316</v>
      </c>
      <c r="C23" s="150">
        <f t="shared" si="8"/>
        <v>0</v>
      </c>
      <c r="D23" s="150">
        <f t="shared" ref="D23:E23" si="9">D22+D18</f>
        <v>200</v>
      </c>
      <c r="E23" s="150">
        <f t="shared" si="9"/>
        <v>156</v>
      </c>
      <c r="F23" s="150">
        <f t="shared" si="8"/>
        <v>98</v>
      </c>
      <c r="G23" s="150">
        <f t="shared" si="8"/>
        <v>1491</v>
      </c>
      <c r="H23" s="150">
        <f t="shared" si="8"/>
        <v>1575</v>
      </c>
      <c r="I23" s="150">
        <f t="shared" si="8"/>
        <v>124</v>
      </c>
      <c r="J23" s="151">
        <f>SUM(B23:I23)</f>
        <v>3960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[3]Frontier!$FU$47</f>
        <v>0</v>
      </c>
      <c r="C28" s="146">
        <f>'[3]Great Lakes'!$FU$47</f>
        <v>0</v>
      </c>
      <c r="D28" s="118">
        <f>'[3]Air Choice One'!$FU$47</f>
        <v>0</v>
      </c>
      <c r="E28" s="118">
        <f>'[3]Boutique Air'!$FU$47</f>
        <v>0</v>
      </c>
      <c r="F28" s="146">
        <f>[3]Icelandair!$FU$47</f>
        <v>52097</v>
      </c>
      <c r="G28" s="118">
        <f>[3]Southwest!$FU$47</f>
        <v>201233</v>
      </c>
      <c r="H28" s="118">
        <f>'[3]Sun Country'!$FU$47</f>
        <v>226335</v>
      </c>
      <c r="I28" s="118">
        <f>[3]Alaska!$FU$47</f>
        <v>30751</v>
      </c>
      <c r="J28" s="147">
        <f>SUM(B28:I28)</f>
        <v>510416</v>
      </c>
    </row>
    <row r="29" spans="1:257" x14ac:dyDescent="0.2">
      <c r="A29" s="62" t="s">
        <v>38</v>
      </c>
      <c r="B29" s="146">
        <f>[3]Frontier!$FU$48</f>
        <v>0</v>
      </c>
      <c r="C29" s="146">
        <f>'[3]Great Lakes'!$FU$48</f>
        <v>0</v>
      </c>
      <c r="D29" s="118">
        <f>'[3]Air Choice One'!$FU$48</f>
        <v>0</v>
      </c>
      <c r="E29" s="118">
        <f>'[3]Boutique Air'!$FU$48</f>
        <v>0</v>
      </c>
      <c r="F29" s="146">
        <f>[3]Icelandair!$FU$48</f>
        <v>0</v>
      </c>
      <c r="G29" s="118">
        <f>[3]Southwest!$FU$48</f>
        <v>0</v>
      </c>
      <c r="H29" s="118">
        <f>'[3]Sun Country'!$FU$48</f>
        <v>287546</v>
      </c>
      <c r="I29" s="118">
        <f>[3]Alaska!$FU$48</f>
        <v>7660</v>
      </c>
      <c r="J29" s="147">
        <f>SUM(B29:I29)</f>
        <v>295206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52097</v>
      </c>
      <c r="G30" s="162">
        <f t="shared" si="10"/>
        <v>201233</v>
      </c>
      <c r="H30" s="162">
        <f t="shared" si="10"/>
        <v>513881</v>
      </c>
      <c r="I30" s="162">
        <f t="shared" si="10"/>
        <v>38411</v>
      </c>
      <c r="J30" s="165">
        <f>SUM(B30:I30)</f>
        <v>805622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[3]Frontier!$FU$52</f>
        <v>0</v>
      </c>
      <c r="C33" s="146">
        <f>'[3]Great Lakes'!$FU$52</f>
        <v>0</v>
      </c>
      <c r="D33" s="118">
        <f>'[3]Air Choice One'!$FU$52</f>
        <v>0</v>
      </c>
      <c r="E33" s="118">
        <f>'[3]Boutique Air'!$FU$52</f>
        <v>0</v>
      </c>
      <c r="F33" s="146">
        <f>[3]Icelandair!$FU$52</f>
        <v>30</v>
      </c>
      <c r="G33" s="118">
        <f>[3]Southwest!$FU$52</f>
        <v>97453</v>
      </c>
      <c r="H33" s="118">
        <f>'[3]Sun Country'!$FU$52</f>
        <v>112936</v>
      </c>
      <c r="I33" s="118">
        <f>[3]Alaska!$FU$52</f>
        <v>6926</v>
      </c>
      <c r="J33" s="147">
        <f>SUM(B33:I33)</f>
        <v>217345</v>
      </c>
    </row>
    <row r="34" spans="1:10" x14ac:dyDescent="0.2">
      <c r="A34" s="62" t="s">
        <v>38</v>
      </c>
      <c r="B34" s="146">
        <f>[3]Frontier!$FU$53</f>
        <v>0</v>
      </c>
      <c r="C34" s="146">
        <f>'[3]Great Lakes'!$FU$53</f>
        <v>0</v>
      </c>
      <c r="D34" s="118">
        <f>'[3]Air Choice One'!$FU$53</f>
        <v>0</v>
      </c>
      <c r="E34" s="118">
        <f>'[3]Boutique Air'!$FU$53</f>
        <v>0</v>
      </c>
      <c r="F34" s="146">
        <f>[3]Icelandair!$FU$53</f>
        <v>0</v>
      </c>
      <c r="G34" s="118">
        <f>[3]Southwest!$FU$53</f>
        <v>0</v>
      </c>
      <c r="H34" s="118">
        <f>'[3]Sun Country'!$FU$53</f>
        <v>157293</v>
      </c>
      <c r="I34" s="118">
        <f>[3]Alaska!$FU$53</f>
        <v>2021</v>
      </c>
      <c r="J34" s="163">
        <f>SUM(B34:I34)</f>
        <v>159314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30</v>
      </c>
      <c r="G35" s="164">
        <f t="shared" si="12"/>
        <v>97453</v>
      </c>
      <c r="H35" s="164">
        <f t="shared" si="12"/>
        <v>270229</v>
      </c>
      <c r="I35" s="164">
        <f t="shared" si="12"/>
        <v>8947</v>
      </c>
      <c r="J35" s="165">
        <f>SUM(B35:I35)</f>
        <v>376659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[3]Frontier!$FU$57</f>
        <v>0</v>
      </c>
      <c r="C38" s="154">
        <f>'[3]Great Lakes'!$FU$57</f>
        <v>0</v>
      </c>
      <c r="D38" s="154">
        <f>'[3]Air Choice One'!$FU$57</f>
        <v>0</v>
      </c>
      <c r="E38" s="154">
        <f>'[3]Boutique Air'!$FU$57</f>
        <v>0</v>
      </c>
      <c r="F38" s="154">
        <f>[3]Icelandair!$FU$57</f>
        <v>0</v>
      </c>
      <c r="G38" s="154">
        <f>[3]Southwest!$FU$57</f>
        <v>0</v>
      </c>
      <c r="H38" s="154">
        <f>'[3]Sun Country'!$FU$57</f>
        <v>0</v>
      </c>
      <c r="I38" s="154">
        <f>[3]Alaska!$FU$57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[3]Frontier!$FU$58</f>
        <v>0</v>
      </c>
      <c r="C39" s="157">
        <f>'[3]Great Lakes'!$FU$58</f>
        <v>0</v>
      </c>
      <c r="D39" s="157">
        <f>'[3]Air Choice One'!$FU$58</f>
        <v>0</v>
      </c>
      <c r="E39" s="157">
        <f>'[3]Boutique Air'!$FU$58</f>
        <v>0</v>
      </c>
      <c r="F39" s="157">
        <f>[3]Icelandair!$FU$58</f>
        <v>0</v>
      </c>
      <c r="G39" s="157">
        <f>[3]Southwest!$FU$58</f>
        <v>0</v>
      </c>
      <c r="H39" s="157">
        <f>'[3]Sun Country'!$FU$58</f>
        <v>0</v>
      </c>
      <c r="I39" s="157">
        <f>[3]Alaska!$FU$58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52127</v>
      </c>
      <c r="G43" s="154">
        <f t="shared" si="16"/>
        <v>298686</v>
      </c>
      <c r="H43" s="154">
        <f t="shared" si="16"/>
        <v>339271</v>
      </c>
      <c r="I43" s="154">
        <f t="shared" si="16"/>
        <v>37677</v>
      </c>
      <c r="J43" s="147">
        <f>SUM(B43:I43)</f>
        <v>727761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444839</v>
      </c>
      <c r="I44" s="157">
        <f t="shared" si="18"/>
        <v>9681</v>
      </c>
      <c r="J44" s="147">
        <f>SUM(B44:I44)</f>
        <v>454520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52127</v>
      </c>
      <c r="G45" s="167">
        <f t="shared" si="20"/>
        <v>298686</v>
      </c>
      <c r="H45" s="167">
        <f t="shared" si="20"/>
        <v>784110</v>
      </c>
      <c r="I45" s="167">
        <f t="shared" si="20"/>
        <v>47358</v>
      </c>
      <c r="J45" s="168">
        <f>SUM(B45:I45)</f>
        <v>1182281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[3]Southwest!$FU$70+[3]Southwest!$FU$73</f>
        <v>91531</v>
      </c>
      <c r="H48" s="322">
        <f>'[3]Sun Country'!$FU$70+'[3]Sun Country'!$FU$73</f>
        <v>89635</v>
      </c>
      <c r="I48" s="387"/>
      <c r="J48" s="310">
        <f>SUM(B48:I48)</f>
        <v>181166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[3]Southwest!$FU$71+[3]Southwest!$FU$74</f>
        <v>175</v>
      </c>
      <c r="H49" s="322">
        <f>'[3]Sun Country'!$FU$71+'[3]Sun Country'!$FU$74</f>
        <v>5977</v>
      </c>
      <c r="I49" s="387"/>
      <c r="J49" s="310">
        <f>SUM(B49:I49)</f>
        <v>6152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August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workbookViewId="0">
      <selection activeCell="G30" sqref="G3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43313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[3]Pinnacle!$FU$22+[3]Pinnacle!$FU$32</f>
        <v>70616</v>
      </c>
      <c r="C5" s="132">
        <f>[3]MESA_UA!$FU$22</f>
        <v>9900</v>
      </c>
      <c r="D5" s="130">
        <f>'[3]Sky West'!$FU$22+'[3]Sky West'!$FU$32</f>
        <v>216734</v>
      </c>
      <c r="E5" s="130">
        <f>'[3]Sky West_UA'!$FU$22</f>
        <v>3560</v>
      </c>
      <c r="F5" s="130">
        <f>'[3]Sky West_AS'!$FU$22</f>
        <v>1785</v>
      </c>
      <c r="G5" s="130">
        <f>'[3]Sky West_AA'!$FU$22</f>
        <v>1959</v>
      </c>
      <c r="H5" s="130">
        <f>[3]Republic!$FU$22</f>
        <v>13097</v>
      </c>
      <c r="I5" s="130">
        <f>[3]Republic_UA!$FU$22</f>
        <v>15852</v>
      </c>
      <c r="J5" s="130">
        <f>'[3]Sky Regional'!$FU$32</f>
        <v>5892</v>
      </c>
      <c r="K5" s="130">
        <f>'[3]American Eagle'!$FU$22</f>
        <v>242</v>
      </c>
      <c r="L5" s="130">
        <f>'Other Regional'!M5</f>
        <v>18843</v>
      </c>
      <c r="M5" s="110">
        <f>SUM(B5:L5)</f>
        <v>358480</v>
      </c>
    </row>
    <row r="6" spans="1:13" s="10" customFormat="1" x14ac:dyDescent="0.2">
      <c r="A6" s="62" t="s">
        <v>31</v>
      </c>
      <c r="B6" s="131">
        <f>[3]Pinnacle!$FU$23+[3]Pinnacle!$FU$33</f>
        <v>71414</v>
      </c>
      <c r="C6" s="132">
        <f>[3]MESA_UA!$FU$23</f>
        <v>10100</v>
      </c>
      <c r="D6" s="130">
        <f>'[3]Sky West'!$FU$23+'[3]Sky West'!$FU$33</f>
        <v>218288</v>
      </c>
      <c r="E6" s="130">
        <f>'[3]Sky West_UA'!$FU$23</f>
        <v>3347</v>
      </c>
      <c r="F6" s="130">
        <f>'[3]Sky West_AS'!$FU$23</f>
        <v>1758</v>
      </c>
      <c r="G6" s="130">
        <f>'[3]Sky West_AA'!$FU$23</f>
        <v>1746</v>
      </c>
      <c r="H6" s="130">
        <f>[3]Republic!$FU$23</f>
        <v>13085</v>
      </c>
      <c r="I6" s="130">
        <f>[3]Republic_UA!$FU$23</f>
        <v>15694</v>
      </c>
      <c r="J6" s="130">
        <f>'[3]Sky Regional'!$FU$33</f>
        <v>6057</v>
      </c>
      <c r="K6" s="130">
        <f>'[3]American Eagle'!$FU$23</f>
        <v>170</v>
      </c>
      <c r="L6" s="130">
        <f>'Other Regional'!M6</f>
        <v>18503</v>
      </c>
      <c r="M6" s="115">
        <f>SUM(B6:L6)</f>
        <v>360162</v>
      </c>
    </row>
    <row r="7" spans="1:13" ht="15" thickBot="1" x14ac:dyDescent="0.25">
      <c r="A7" s="73" t="s">
        <v>7</v>
      </c>
      <c r="B7" s="133">
        <f>SUM(B5:B6)</f>
        <v>142030</v>
      </c>
      <c r="C7" s="133">
        <f t="shared" ref="C7:L7" si="0">SUM(C5:C6)</f>
        <v>20000</v>
      </c>
      <c r="D7" s="133">
        <f t="shared" si="0"/>
        <v>435022</v>
      </c>
      <c r="E7" s="133">
        <f t="shared" si="0"/>
        <v>6907</v>
      </c>
      <c r="F7" s="133">
        <f t="shared" ref="F7:G7" si="1">SUM(F5:F6)</f>
        <v>3543</v>
      </c>
      <c r="G7" s="133">
        <f t="shared" si="1"/>
        <v>3705</v>
      </c>
      <c r="H7" s="133">
        <f t="shared" si="0"/>
        <v>26182</v>
      </c>
      <c r="I7" s="133">
        <f t="shared" si="0"/>
        <v>31546</v>
      </c>
      <c r="J7" s="133">
        <f t="shared" si="0"/>
        <v>11949</v>
      </c>
      <c r="K7" s="133">
        <f t="shared" si="0"/>
        <v>412</v>
      </c>
      <c r="L7" s="133">
        <f t="shared" si="0"/>
        <v>37346</v>
      </c>
      <c r="M7" s="134">
        <f>SUM(B7:L7)</f>
        <v>718642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[3]Pinnacle!$FU$27+[3]Pinnacle!$FU$37</f>
        <v>2593</v>
      </c>
      <c r="C10" s="132">
        <f>[3]MESA_UA!$FU$27</f>
        <v>326</v>
      </c>
      <c r="D10" s="130">
        <f>'[3]Sky West'!$FU$27+'[3]Sky West'!$FU$37</f>
        <v>7986</v>
      </c>
      <c r="E10" s="130">
        <f>'[3]Sky West_UA'!$FU$27</f>
        <v>120</v>
      </c>
      <c r="F10" s="130">
        <f>'[3]Sky West_AS'!$FU$27</f>
        <v>65</v>
      </c>
      <c r="G10" s="130">
        <f>'[3]Sky West_AA'!$FU$27</f>
        <v>56</v>
      </c>
      <c r="H10" s="130">
        <f>[3]Republic!$FU$27</f>
        <v>589</v>
      </c>
      <c r="I10" s="130">
        <f>[3]Republic_UA!$FU$27</f>
        <v>511</v>
      </c>
      <c r="J10" s="130">
        <f>'[3]Sky Regional'!$FU$37</f>
        <v>93</v>
      </c>
      <c r="K10" s="130">
        <f>'[3]American Eagle'!$FU$27</f>
        <v>14</v>
      </c>
      <c r="L10" s="130">
        <f>'Other Regional'!M10</f>
        <v>557</v>
      </c>
      <c r="M10" s="110">
        <f>SUM(B10:L10)</f>
        <v>12910</v>
      </c>
    </row>
    <row r="11" spans="1:13" x14ac:dyDescent="0.2">
      <c r="A11" s="62" t="s">
        <v>33</v>
      </c>
      <c r="B11" s="131">
        <f>[3]Pinnacle!$FU$28+[3]Pinnacle!$FU$38</f>
        <v>2613</v>
      </c>
      <c r="C11" s="132">
        <f>[3]MESA_UA!$FU$28</f>
        <v>218</v>
      </c>
      <c r="D11" s="130">
        <f>'[3]Sky West'!$FU$28+'[3]Sky West'!$FU$38</f>
        <v>7562</v>
      </c>
      <c r="E11" s="130">
        <f>'[3]Sky West_UA'!$FU$28</f>
        <v>110</v>
      </c>
      <c r="F11" s="130">
        <f>'[3]Sky West_AS'!$FU$28</f>
        <v>70</v>
      </c>
      <c r="G11" s="130">
        <f>'[3]Sky West_AA'!$FU$28</f>
        <v>105</v>
      </c>
      <c r="H11" s="130">
        <f>[3]Republic!$FU$28</f>
        <v>659</v>
      </c>
      <c r="I11" s="130">
        <f>[3]Republic_UA!$FU$28</f>
        <v>516</v>
      </c>
      <c r="J11" s="130">
        <f>'[3]Sky Regional'!$FU$38</f>
        <v>89</v>
      </c>
      <c r="K11" s="130">
        <f>'[3]American Eagle'!$FU$28</f>
        <v>14</v>
      </c>
      <c r="L11" s="130">
        <f>'Other Regional'!M11</f>
        <v>637</v>
      </c>
      <c r="M11" s="115">
        <f>SUM(B11:L11)</f>
        <v>12593</v>
      </c>
    </row>
    <row r="12" spans="1:13" ht="15" thickBot="1" x14ac:dyDescent="0.25">
      <c r="A12" s="74" t="s">
        <v>34</v>
      </c>
      <c r="B12" s="136">
        <f t="shared" ref="B12:L12" si="2">SUM(B10:B11)</f>
        <v>5206</v>
      </c>
      <c r="C12" s="136">
        <f t="shared" si="2"/>
        <v>544</v>
      </c>
      <c r="D12" s="136">
        <f t="shared" si="2"/>
        <v>15548</v>
      </c>
      <c r="E12" s="136">
        <f t="shared" si="2"/>
        <v>230</v>
      </c>
      <c r="F12" s="136">
        <f t="shared" ref="F12:G12" si="3">SUM(F10:F11)</f>
        <v>135</v>
      </c>
      <c r="G12" s="136">
        <f t="shared" si="3"/>
        <v>161</v>
      </c>
      <c r="H12" s="136">
        <f t="shared" si="2"/>
        <v>1248</v>
      </c>
      <c r="I12" s="136">
        <f t="shared" si="2"/>
        <v>1027</v>
      </c>
      <c r="J12" s="136">
        <f t="shared" si="2"/>
        <v>182</v>
      </c>
      <c r="K12" s="136">
        <f t="shared" si="2"/>
        <v>28</v>
      </c>
      <c r="L12" s="136">
        <f t="shared" si="2"/>
        <v>1194</v>
      </c>
      <c r="M12" s="137">
        <f>SUM(B12:L12)</f>
        <v>25503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[3]Pinnacle!$FU$4+[3]Pinnacle!$FU$15</f>
        <v>1146</v>
      </c>
      <c r="C15" s="108">
        <f>[3]MESA_UA!$FU$4</f>
        <v>141</v>
      </c>
      <c r="D15" s="106">
        <f>'[3]Sky West'!$FU$4+'[3]Sky West'!$FU$15</f>
        <v>4430</v>
      </c>
      <c r="E15" s="106">
        <f>'[3]Sky West_UA'!$FU$4</f>
        <v>53</v>
      </c>
      <c r="F15" s="106">
        <f>'[3]Sky West_AS'!$FU$4</f>
        <v>25</v>
      </c>
      <c r="G15" s="106">
        <f>'[3]Sky West_AA'!$FU$4</f>
        <v>31</v>
      </c>
      <c r="H15" s="109">
        <f>[3]Republic!$FU$4</f>
        <v>219</v>
      </c>
      <c r="I15" s="455">
        <f>[3]Republic_UA!$FU$4</f>
        <v>249</v>
      </c>
      <c r="J15" s="455">
        <f>'[3]Sky Regional'!$FU$15</f>
        <v>91</v>
      </c>
      <c r="K15" s="109">
        <f>'[3]American Eagle'!$FU$4</f>
        <v>7</v>
      </c>
      <c r="L15" s="107">
        <f>'Other Regional'!M15</f>
        <v>301</v>
      </c>
      <c r="M15" s="110">
        <f t="shared" ref="M15:M21" si="5">SUM(B15:L15)</f>
        <v>6693</v>
      </c>
    </row>
    <row r="16" spans="1:13" x14ac:dyDescent="0.2">
      <c r="A16" s="62" t="s">
        <v>54</v>
      </c>
      <c r="B16" s="14">
        <f>[3]Pinnacle!$FU$5+[3]Pinnacle!$FU$16</f>
        <v>1145</v>
      </c>
      <c r="C16" s="113">
        <f>[3]MESA_UA!$FU$5</f>
        <v>141</v>
      </c>
      <c r="D16" s="111">
        <f>'[3]Sky West'!$FU$5+'[3]Sky West'!$FU$16</f>
        <v>4416</v>
      </c>
      <c r="E16" s="111">
        <f>'[3]Sky West_UA'!$FU$5</f>
        <v>53</v>
      </c>
      <c r="F16" s="111">
        <f>'[3]Sky West_AS'!$FU$5</f>
        <v>25</v>
      </c>
      <c r="G16" s="111">
        <f>'[3]Sky West_AA'!$FU$5</f>
        <v>31</v>
      </c>
      <c r="H16" s="114">
        <f>[3]Republic!$FU$5</f>
        <v>219</v>
      </c>
      <c r="I16" s="297">
        <f>[3]Republic_UA!$FU$5</f>
        <v>249</v>
      </c>
      <c r="J16" s="297">
        <f>'[3]Sky Regional'!$FU$16</f>
        <v>91</v>
      </c>
      <c r="K16" s="114">
        <f>'[3]American Eagle'!$FU$5</f>
        <v>7</v>
      </c>
      <c r="L16" s="112">
        <f>'Other Regional'!M16</f>
        <v>299</v>
      </c>
      <c r="M16" s="115">
        <f t="shared" si="5"/>
        <v>6676</v>
      </c>
    </row>
    <row r="17" spans="1:13" x14ac:dyDescent="0.2">
      <c r="A17" s="71" t="s">
        <v>55</v>
      </c>
      <c r="B17" s="116">
        <f t="shared" ref="B17:K17" si="6">SUM(B15:B16)</f>
        <v>2291</v>
      </c>
      <c r="C17" s="116">
        <f t="shared" si="6"/>
        <v>282</v>
      </c>
      <c r="D17" s="116">
        <f t="shared" si="6"/>
        <v>8846</v>
      </c>
      <c r="E17" s="116">
        <f t="shared" si="6"/>
        <v>106</v>
      </c>
      <c r="F17" s="116">
        <f t="shared" ref="F17:G17" si="7">SUM(F15:F16)</f>
        <v>50</v>
      </c>
      <c r="G17" s="116">
        <f t="shared" si="7"/>
        <v>62</v>
      </c>
      <c r="H17" s="116">
        <f t="shared" si="6"/>
        <v>438</v>
      </c>
      <c r="I17" s="116">
        <f t="shared" ref="I17:J17" si="8">SUM(I15:I16)</f>
        <v>498</v>
      </c>
      <c r="J17" s="116">
        <f t="shared" si="8"/>
        <v>182</v>
      </c>
      <c r="K17" s="116">
        <f t="shared" si="6"/>
        <v>14</v>
      </c>
      <c r="L17" s="116">
        <f>SUM(L15:L16)</f>
        <v>600</v>
      </c>
      <c r="M17" s="117">
        <f t="shared" si="5"/>
        <v>13369</v>
      </c>
    </row>
    <row r="18" spans="1:13" x14ac:dyDescent="0.2">
      <c r="A18" s="62" t="s">
        <v>56</v>
      </c>
      <c r="B18" s="118">
        <f>[3]Pinnacle!$FU$8</f>
        <v>0</v>
      </c>
      <c r="C18" s="119">
        <f>[3]MESA_UA!$FU$8</f>
        <v>0</v>
      </c>
      <c r="D18" s="118">
        <f>'[3]Sky West'!$FU$8</f>
        <v>0</v>
      </c>
      <c r="E18" s="118">
        <f>'[3]Sky West_UA'!$FU$8</f>
        <v>0</v>
      </c>
      <c r="F18" s="118">
        <f>'[3]Sky West_AS'!$FU$8</f>
        <v>0</v>
      </c>
      <c r="G18" s="118">
        <f>'[3]Sky West_AA'!$FU$8</f>
        <v>0</v>
      </c>
      <c r="H18" s="118">
        <f>[3]Republic!$FU$8</f>
        <v>0</v>
      </c>
      <c r="I18" s="118">
        <f>[3]Republic_UA!$FU$8</f>
        <v>0</v>
      </c>
      <c r="J18" s="118">
        <f>'[3]Sky Regional'!$FU$8</f>
        <v>0</v>
      </c>
      <c r="K18" s="118">
        <f>'[3]American Eagle'!$FU$8</f>
        <v>0</v>
      </c>
      <c r="L18" s="118">
        <f>'Other Regional'!M18</f>
        <v>0</v>
      </c>
      <c r="M18" s="110">
        <f t="shared" si="5"/>
        <v>0</v>
      </c>
    </row>
    <row r="19" spans="1:13" x14ac:dyDescent="0.2">
      <c r="A19" s="62" t="s">
        <v>57</v>
      </c>
      <c r="B19" s="120">
        <f>[3]Pinnacle!$FU$9</f>
        <v>1</v>
      </c>
      <c r="C19" s="121">
        <f>[3]MESA_UA!$FU$9</f>
        <v>0</v>
      </c>
      <c r="D19" s="120">
        <f>'[3]Sky West'!$FU$9</f>
        <v>10</v>
      </c>
      <c r="E19" s="120">
        <f>'[3]Sky West_UA'!$FU$9</f>
        <v>0</v>
      </c>
      <c r="F19" s="120">
        <f>'[3]Sky West_AS'!$FU$9</f>
        <v>0</v>
      </c>
      <c r="G19" s="120">
        <f>'[3]Sky West_AA'!$FU$9</f>
        <v>0</v>
      </c>
      <c r="H19" s="120">
        <f>[3]Republic!$FU$9</f>
        <v>0</v>
      </c>
      <c r="I19" s="120">
        <f>[3]Republic_UA!$FU$9</f>
        <v>0</v>
      </c>
      <c r="J19" s="120">
        <f>'[3]Sky Regional'!$FU$9</f>
        <v>0</v>
      </c>
      <c r="K19" s="120">
        <f>'[3]American Eagle'!$FU$9</f>
        <v>0</v>
      </c>
      <c r="L19" s="120">
        <f>'Other Regional'!M19</f>
        <v>1</v>
      </c>
      <c r="M19" s="115">
        <f t="shared" si="5"/>
        <v>12</v>
      </c>
    </row>
    <row r="20" spans="1:13" x14ac:dyDescent="0.2">
      <c r="A20" s="71" t="s">
        <v>58</v>
      </c>
      <c r="B20" s="116">
        <f t="shared" ref="B20:L20" si="9">SUM(B18:B19)</f>
        <v>1</v>
      </c>
      <c r="C20" s="116">
        <f t="shared" si="9"/>
        <v>0</v>
      </c>
      <c r="D20" s="116">
        <f t="shared" si="9"/>
        <v>10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1</v>
      </c>
      <c r="M20" s="117">
        <f t="shared" si="5"/>
        <v>12</v>
      </c>
    </row>
    <row r="21" spans="1:13" ht="15.75" thickBot="1" x14ac:dyDescent="0.3">
      <c r="A21" s="72" t="s">
        <v>28</v>
      </c>
      <c r="B21" s="122">
        <f t="shared" ref="B21:K21" si="11">SUM(B20,B17)</f>
        <v>2292</v>
      </c>
      <c r="C21" s="122">
        <f t="shared" si="11"/>
        <v>282</v>
      </c>
      <c r="D21" s="122">
        <f t="shared" si="11"/>
        <v>8856</v>
      </c>
      <c r="E21" s="122">
        <f t="shared" si="11"/>
        <v>106</v>
      </c>
      <c r="F21" s="122">
        <f t="shared" ref="F21:G21" si="12">SUM(F20,F17)</f>
        <v>50</v>
      </c>
      <c r="G21" s="122">
        <f t="shared" si="12"/>
        <v>62</v>
      </c>
      <c r="H21" s="122">
        <f t="shared" si="11"/>
        <v>438</v>
      </c>
      <c r="I21" s="122">
        <f t="shared" si="11"/>
        <v>498</v>
      </c>
      <c r="J21" s="122">
        <f t="shared" si="11"/>
        <v>182</v>
      </c>
      <c r="K21" s="122">
        <f t="shared" si="11"/>
        <v>14</v>
      </c>
      <c r="L21" s="122">
        <f>SUM(L20,L17)</f>
        <v>601</v>
      </c>
      <c r="M21" s="123">
        <f t="shared" si="5"/>
        <v>13381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[3]Pinnacle!$FU$47</f>
        <v>0</v>
      </c>
      <c r="C25" s="132">
        <f>[3]MESA_UA!$FU$47</f>
        <v>0</v>
      </c>
      <c r="D25" s="130">
        <f>'[3]Sky West'!$FU$47</f>
        <v>0</v>
      </c>
      <c r="E25" s="130">
        <f>'[3]Sky West_UA'!$FU$47</f>
        <v>0</v>
      </c>
      <c r="F25" s="130">
        <f>'[3]Sky West_AS'!$FU$47</f>
        <v>519</v>
      </c>
      <c r="G25" s="130">
        <f>'[3]Sky West_AA'!$FU$47</f>
        <v>628</v>
      </c>
      <c r="H25" s="130">
        <f>[3]Republic!$FU$47</f>
        <v>0</v>
      </c>
      <c r="I25" s="130">
        <f>[3]Republic_UA!$FU$47</f>
        <v>0</v>
      </c>
      <c r="J25" s="130">
        <f>'[3]Sky Regional'!$FU$47</f>
        <v>2118</v>
      </c>
      <c r="K25" s="130">
        <f>'[3]American Eagle'!$FU$47</f>
        <v>0</v>
      </c>
      <c r="L25" s="130">
        <f>'Other Regional'!M25</f>
        <v>8017</v>
      </c>
      <c r="M25" s="110">
        <f>SUM(B25:L25)</f>
        <v>11282</v>
      </c>
    </row>
    <row r="26" spans="1:13" x14ac:dyDescent="0.2">
      <c r="A26" s="75" t="s">
        <v>38</v>
      </c>
      <c r="B26" s="130">
        <f>[3]Pinnacle!$FU$48</f>
        <v>0</v>
      </c>
      <c r="C26" s="132">
        <f>[3]MESA_UA!$FU$48</f>
        <v>0</v>
      </c>
      <c r="D26" s="130">
        <f>'[3]Sky West'!$FU$48</f>
        <v>0</v>
      </c>
      <c r="E26" s="130">
        <f>'[3]Sky West_UA'!$FU$48</f>
        <v>0</v>
      </c>
      <c r="F26" s="130">
        <f>'[3]Sky West_AS'!$FU$48</f>
        <v>0</v>
      </c>
      <c r="G26" s="130">
        <f>'[3]Sky West_AA'!$FU$48</f>
        <v>0</v>
      </c>
      <c r="H26" s="130">
        <f>[3]Republic!$FU$48</f>
        <v>0</v>
      </c>
      <c r="I26" s="130">
        <f>[3]Republic_UA!$FU$48</f>
        <v>0</v>
      </c>
      <c r="J26" s="130">
        <f>'[3]Sky Regional'!$FU$48</f>
        <v>0</v>
      </c>
      <c r="K26" s="130">
        <f>'[3]American Eagle'!$FU$48</f>
        <v>0</v>
      </c>
      <c r="L26" s="130">
        <f>'Other Regional'!M26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519</v>
      </c>
      <c r="G27" s="133">
        <f t="shared" si="14"/>
        <v>628</v>
      </c>
      <c r="H27" s="133">
        <f t="shared" si="13"/>
        <v>0</v>
      </c>
      <c r="I27" s="133">
        <f t="shared" si="13"/>
        <v>0</v>
      </c>
      <c r="J27" s="133">
        <f t="shared" si="13"/>
        <v>2118</v>
      </c>
      <c r="K27" s="133">
        <f t="shared" si="13"/>
        <v>0</v>
      </c>
      <c r="L27" s="133">
        <f t="shared" si="13"/>
        <v>8017</v>
      </c>
      <c r="M27" s="134">
        <f>SUM(B27:L27)</f>
        <v>11282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[3]Pinnacle!$FU$52</f>
        <v>0</v>
      </c>
      <c r="C30" s="132">
        <f>[3]MESA_UA!$FU$52</f>
        <v>0</v>
      </c>
      <c r="D30" s="130">
        <f>'[3]Sky West'!$FU$52</f>
        <v>0</v>
      </c>
      <c r="E30" s="130">
        <f>'[3]Sky West_UA'!$FU$52</f>
        <v>0</v>
      </c>
      <c r="F30" s="130">
        <f>'[3]Sky West_AS'!$FU$52</f>
        <v>0</v>
      </c>
      <c r="G30" s="130">
        <f>'[3]Sky West_AA'!$FU$52</f>
        <v>0</v>
      </c>
      <c r="H30" s="130">
        <f>[3]Republic!$FU$52</f>
        <v>0</v>
      </c>
      <c r="I30" s="130">
        <f>[3]Republic_UA!$FU$52</f>
        <v>0</v>
      </c>
      <c r="J30" s="130">
        <f>'[3]Sky Regional'!$FU$52</f>
        <v>2634</v>
      </c>
      <c r="K30" s="130">
        <f>'[3]American Eagle'!$FU$52</f>
        <v>0</v>
      </c>
      <c r="L30" s="130">
        <f>'Other Regional'!M30</f>
        <v>506</v>
      </c>
      <c r="M30" s="110">
        <f t="shared" ref="M30:M37" si="15">SUM(B30:L30)</f>
        <v>3140</v>
      </c>
    </row>
    <row r="31" spans="1:13" x14ac:dyDescent="0.2">
      <c r="A31" s="75" t="s">
        <v>60</v>
      </c>
      <c r="B31" s="130">
        <f>[3]Pinnacle!$FU$53</f>
        <v>0</v>
      </c>
      <c r="C31" s="132">
        <f>[3]MESA_UA!$FU$53</f>
        <v>0</v>
      </c>
      <c r="D31" s="130">
        <f>'[3]Sky West'!$FU$53</f>
        <v>0</v>
      </c>
      <c r="E31" s="130">
        <f>'[3]Sky West_UA'!$FU$53</f>
        <v>0</v>
      </c>
      <c r="F31" s="130">
        <f>'[3]Sky West_AS'!$FU$53</f>
        <v>0</v>
      </c>
      <c r="G31" s="130">
        <f>'[3]Sky West_AA'!$FU$53</f>
        <v>0</v>
      </c>
      <c r="H31" s="130">
        <f>[3]Republic!$FU$53</f>
        <v>0</v>
      </c>
      <c r="I31" s="130">
        <f>[3]Republic_UA!$FU$53</f>
        <v>0</v>
      </c>
      <c r="J31" s="130">
        <f>'[3]Sky Regional'!$FU$53</f>
        <v>0</v>
      </c>
      <c r="K31" s="130">
        <f>'[3]American Eagle'!$FU$53</f>
        <v>0</v>
      </c>
      <c r="L31" s="130">
        <f>'Other Regional'!M31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2634</v>
      </c>
      <c r="K32" s="133">
        <f t="shared" si="16"/>
        <v>0</v>
      </c>
      <c r="L32" s="133">
        <f>SUM(L30:L31)</f>
        <v>506</v>
      </c>
      <c r="M32" s="134">
        <f t="shared" si="15"/>
        <v>3140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[3]Pinnacle!$FU$57</f>
        <v>0</v>
      </c>
      <c r="C35" s="132">
        <f>[3]MESA_UA!$FU$57</f>
        <v>0</v>
      </c>
      <c r="D35" s="130">
        <f>'[3]Sky West'!$FU$57</f>
        <v>0</v>
      </c>
      <c r="E35" s="130">
        <f>'[3]Sky West_UA'!$FU$57</f>
        <v>0</v>
      </c>
      <c r="F35" s="130">
        <f>'[3]Sky West_AS'!$FU$57</f>
        <v>0</v>
      </c>
      <c r="G35" s="130">
        <f>'[3]Sky West_AA'!$FU$57</f>
        <v>0</v>
      </c>
      <c r="H35" s="130">
        <f>[3]Republic!$FU$57</f>
        <v>0</v>
      </c>
      <c r="I35" s="130">
        <f>[3]Republic!$FU$57</f>
        <v>0</v>
      </c>
      <c r="J35" s="130">
        <f>[3]Republic!$FU$57</f>
        <v>0</v>
      </c>
      <c r="K35" s="130">
        <f>'[3]American Eagle'!$FU$57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[3]Pinnacle!$FU$58</f>
        <v>0</v>
      </c>
      <c r="C36" s="132">
        <f>[3]MESA_UA!$FU$58</f>
        <v>0</v>
      </c>
      <c r="D36" s="130">
        <f>'[3]Sky West'!$FU$58</f>
        <v>0</v>
      </c>
      <c r="E36" s="130">
        <f>'[3]Sky West_UA'!$FU$58</f>
        <v>0</v>
      </c>
      <c r="F36" s="130">
        <f>'[3]Sky West_AS'!$FU$58</f>
        <v>0</v>
      </c>
      <c r="G36" s="130">
        <f>'[3]Sky West_AA'!$FU$58</f>
        <v>0</v>
      </c>
      <c r="H36" s="130">
        <f>[3]Republic!$FU$58</f>
        <v>0</v>
      </c>
      <c r="I36" s="130">
        <f>[3]Republic!$FU$58</f>
        <v>0</v>
      </c>
      <c r="J36" s="130">
        <f>[3]Republic!$FU$58</f>
        <v>0</v>
      </c>
      <c r="K36" s="130">
        <f>'[3]American Eagle'!$FU$58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519</v>
      </c>
      <c r="G40" s="130">
        <f t="shared" ref="G40" si="22">SUM(G35,G30,G25)</f>
        <v>628</v>
      </c>
      <c r="H40" s="130">
        <f t="shared" si="20"/>
        <v>0</v>
      </c>
      <c r="I40" s="130">
        <f t="shared" si="20"/>
        <v>0</v>
      </c>
      <c r="J40" s="130">
        <f t="shared" si="20"/>
        <v>4752</v>
      </c>
      <c r="K40" s="130">
        <f>SUM(K35,K30,K25)</f>
        <v>0</v>
      </c>
      <c r="L40" s="130">
        <f>L35+L30+L25</f>
        <v>8523</v>
      </c>
      <c r="M40" s="110">
        <f>SUM(B40:L40)</f>
        <v>14422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0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519</v>
      </c>
      <c r="G42" s="136">
        <f t="shared" ref="G42" si="24">SUM(G37,G32,G27)</f>
        <v>628</v>
      </c>
      <c r="H42" s="136">
        <f t="shared" si="20"/>
        <v>0</v>
      </c>
      <c r="I42" s="136">
        <f t="shared" si="20"/>
        <v>0</v>
      </c>
      <c r="J42" s="136">
        <f t="shared" si="20"/>
        <v>4752</v>
      </c>
      <c r="K42" s="136">
        <f>SUM(K37,K32,K27)</f>
        <v>0</v>
      </c>
      <c r="L42" s="136">
        <f>SUM(L37,L32,L27)</f>
        <v>8523</v>
      </c>
      <c r="M42" s="137">
        <f>SUM(B42:L42)</f>
        <v>14422</v>
      </c>
    </row>
    <row r="44" spans="1:13" x14ac:dyDescent="0.2">
      <c r="A44" s="375" t="s">
        <v>124</v>
      </c>
      <c r="B44" s="321">
        <f>[3]Pinnacle!$FU$70+[3]Pinnacle!$FU$73</f>
        <v>28423</v>
      </c>
      <c r="D44" s="322">
        <f>'[3]Sky West'!$FU$70+'[3]Sky West'!$FU$73</f>
        <v>63522</v>
      </c>
      <c r="E44" s="5"/>
      <c r="F44" s="5"/>
      <c r="G44" s="5"/>
      <c r="L44" s="322">
        <f>+'Other Regional'!M46</f>
        <v>6405</v>
      </c>
      <c r="M44" s="310">
        <f>SUM(B44:L44)</f>
        <v>98350</v>
      </c>
    </row>
    <row r="45" spans="1:13" x14ac:dyDescent="0.2">
      <c r="A45" s="389" t="s">
        <v>125</v>
      </c>
      <c r="B45" s="321">
        <f>[3]Pinnacle!$FU$71+[3]Pinnacle!$FU$74</f>
        <v>42991</v>
      </c>
      <c r="D45" s="322">
        <f>'[3]Sky West'!$FU$71+'[3]Sky West'!$FU$74</f>
        <v>154766</v>
      </c>
      <c r="E45" s="5"/>
      <c r="F45" s="5"/>
      <c r="G45" s="5"/>
      <c r="L45" s="322">
        <f>+'Other Regional'!M47</f>
        <v>8114</v>
      </c>
      <c r="M45" s="310">
        <f>SUM(B45:L45)</f>
        <v>205871</v>
      </c>
    </row>
    <row r="46" spans="1:13" x14ac:dyDescent="0.2">
      <c r="A46" s="312" t="s">
        <v>126</v>
      </c>
      <c r="B46" s="313">
        <f>SUM(B44:B45)</f>
        <v>71414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August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topLeftCell="A6" zoomScaleNormal="100" zoomScaleSheetLayoutView="100" workbookViewId="0">
      <selection activeCell="B4" sqref="B4:M4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43313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America'!$FU$22</f>
        <v>0</v>
      </c>
      <c r="C5" s="131">
        <f>'[3]Shuttle America_Delta'!$FU$22</f>
        <v>52</v>
      </c>
      <c r="D5" s="456">
        <f>[3]Horizon_AS!$FU$22</f>
        <v>4115</v>
      </c>
      <c r="E5" s="456">
        <f>[3]PSA!$FU$22</f>
        <v>0</v>
      </c>
      <c r="F5" s="21">
        <f>[3]Compass!$FU$22+[3]Compass!$FU$32</f>
        <v>0</v>
      </c>
      <c r="G5" s="131">
        <f>'[3]Atlantic Southeast'!$FU$22+'[3]Atlantic Southeast'!$FU$32</f>
        <v>0</v>
      </c>
      <c r="H5" s="131">
        <f>'[3]Continental Express'!$FU$22</f>
        <v>44</v>
      </c>
      <c r="I5" s="130">
        <f>'[3]Go Jet_UA'!$FU$22</f>
        <v>61</v>
      </c>
      <c r="J5" s="21">
        <f>'[3]Go Jet'!$FU$22+'[3]Go Jet'!$FU$32</f>
        <v>14571</v>
      </c>
      <c r="K5" s="132">
        <f>'[3]Air Wisconsin'!$FU$22</f>
        <v>0</v>
      </c>
      <c r="L5" s="130">
        <f>[3]MESA!$FU$22</f>
        <v>0</v>
      </c>
      <c r="M5" s="110">
        <f>SUM(B5:L5)</f>
        <v>18843</v>
      </c>
    </row>
    <row r="6" spans="1:13" s="10" customFormat="1" x14ac:dyDescent="0.2">
      <c r="A6" s="62" t="s">
        <v>31</v>
      </c>
      <c r="B6" s="131">
        <f>'[3]Shuttle America'!$FU$23</f>
        <v>0</v>
      </c>
      <c r="C6" s="131">
        <f>'[3]Shuttle America_Delta'!$FU$23</f>
        <v>32</v>
      </c>
      <c r="D6" s="456">
        <f>[3]Horizon_AS!$FU$23</f>
        <v>3935</v>
      </c>
      <c r="E6" s="456">
        <f>[3]PSA!$FU$23</f>
        <v>0</v>
      </c>
      <c r="F6" s="14">
        <f>[3]Compass!$FU$23+[3]Compass!$FU$33</f>
        <v>0</v>
      </c>
      <c r="G6" s="131">
        <f>'[3]Atlantic Southeast'!$FU$23+'[3]Atlantic Southeast'!$FU$33</f>
        <v>0</v>
      </c>
      <c r="H6" s="131">
        <f>'[3]Continental Express'!$FU$23</f>
        <v>49</v>
      </c>
      <c r="I6" s="130">
        <f>'[3]Go Jet_UA'!$FU$23</f>
        <v>0</v>
      </c>
      <c r="J6" s="14">
        <f>'[3]Go Jet'!$FU$23+'[3]Go Jet'!$FU$33</f>
        <v>14487</v>
      </c>
      <c r="K6" s="132">
        <f>'[3]Air Wisconsin'!$FU$23</f>
        <v>0</v>
      </c>
      <c r="L6" s="130">
        <f>[3]MESA!$FU$23</f>
        <v>0</v>
      </c>
      <c r="M6" s="115">
        <f>SUM(B6:L6)</f>
        <v>18503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84</v>
      </c>
      <c r="D7" s="133">
        <f t="shared" ref="D7" si="1">SUM(D5:D6)</f>
        <v>8050</v>
      </c>
      <c r="E7" s="133">
        <f t="shared" si="0"/>
        <v>0</v>
      </c>
      <c r="F7" s="133">
        <f>SUM(F5:F6)</f>
        <v>0</v>
      </c>
      <c r="G7" s="133">
        <f t="shared" si="0"/>
        <v>0</v>
      </c>
      <c r="H7" s="133">
        <f t="shared" si="0"/>
        <v>93</v>
      </c>
      <c r="I7" s="133">
        <f t="shared" si="0"/>
        <v>61</v>
      </c>
      <c r="J7" s="133">
        <f>SUM(J5:J6)</f>
        <v>29058</v>
      </c>
      <c r="K7" s="133">
        <f t="shared" si="0"/>
        <v>0</v>
      </c>
      <c r="L7" s="133">
        <f t="shared" si="0"/>
        <v>0</v>
      </c>
      <c r="M7" s="134">
        <f>SUM(B7:L7)</f>
        <v>37346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America'!$FU$27</f>
        <v>0</v>
      </c>
      <c r="C10" s="131">
        <f>'[3]Shuttle America_Delta'!$FU$27</f>
        <v>0</v>
      </c>
      <c r="D10" s="456">
        <f>[3]Horizon_AS!$FU$27</f>
        <v>153</v>
      </c>
      <c r="E10" s="456">
        <f>[3]PSA!$FU$27</f>
        <v>0</v>
      </c>
      <c r="F10" s="21">
        <f>[3]Compass!$FU$27+[3]Compass!$FU$37</f>
        <v>0</v>
      </c>
      <c r="G10" s="21">
        <f>'[3]Atlantic Southeast'!$FU$27+'[3]Atlantic Southeast'!$FU$37</f>
        <v>0</v>
      </c>
      <c r="H10" s="131">
        <f>'[3]Continental Express'!$FU$27</f>
        <v>0</v>
      </c>
      <c r="I10" s="130">
        <f>'[3]Go Jet_UA'!$FU$27</f>
        <v>0</v>
      </c>
      <c r="J10" s="21">
        <f>'[3]Go Jet'!$FU$27+'[3]Go Jet'!$FU$37</f>
        <v>404</v>
      </c>
      <c r="K10" s="132">
        <f>'[3]Air Wisconsin'!$FU$27</f>
        <v>0</v>
      </c>
      <c r="L10" s="130">
        <f>[3]MESA!$FU$27</f>
        <v>0</v>
      </c>
      <c r="M10" s="110">
        <f>SUM(B10:L10)</f>
        <v>557</v>
      </c>
    </row>
    <row r="11" spans="1:13" x14ac:dyDescent="0.2">
      <c r="A11" s="62" t="s">
        <v>33</v>
      </c>
      <c r="B11" s="131">
        <f>'[3]Shuttle America'!$FU$28</f>
        <v>0</v>
      </c>
      <c r="C11" s="131">
        <f>'[3]Shuttle America_Delta'!$FU$28</f>
        <v>0</v>
      </c>
      <c r="D11" s="456">
        <f>[3]Horizon_AS!$FU$28</f>
        <v>151</v>
      </c>
      <c r="E11" s="456">
        <f>[3]PSA!$FU$28</f>
        <v>0</v>
      </c>
      <c r="F11" s="14">
        <f>[3]Compass!$FU$28+[3]Compass!$FU$38</f>
        <v>0</v>
      </c>
      <c r="G11" s="14">
        <f>'[3]Atlantic Southeast'!$FU$28+'[3]Atlantic Southeast'!$FU$38</f>
        <v>0</v>
      </c>
      <c r="H11" s="131">
        <f>'[3]Continental Express'!$FU$28</f>
        <v>0</v>
      </c>
      <c r="I11" s="130">
        <f>'[3]Go Jet_UA'!$FU$28</f>
        <v>0</v>
      </c>
      <c r="J11" s="14">
        <f>'[3]Go Jet'!$FU$28+'[3]Go Jet'!$FU$38</f>
        <v>486</v>
      </c>
      <c r="K11" s="132">
        <f>'[3]Air Wisconsin'!$FU$28</f>
        <v>0</v>
      </c>
      <c r="L11" s="130">
        <f>[3]MESA!$FU$28</f>
        <v>0</v>
      </c>
      <c r="M11" s="115">
        <f>SUM(B11:L11)</f>
        <v>637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304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0</v>
      </c>
      <c r="H12" s="136">
        <f t="shared" si="3"/>
        <v>0</v>
      </c>
      <c r="I12" s="136">
        <f t="shared" si="3"/>
        <v>0</v>
      </c>
      <c r="J12" s="136">
        <f t="shared" ref="J12" si="4">SUM(J10:J11)</f>
        <v>890</v>
      </c>
      <c r="K12" s="136">
        <f t="shared" si="3"/>
        <v>0</v>
      </c>
      <c r="L12" s="136">
        <f t="shared" si="3"/>
        <v>0</v>
      </c>
      <c r="M12" s="137">
        <f>SUM(B12:L12)</f>
        <v>1194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America'!$FU$4</f>
        <v>0</v>
      </c>
      <c r="C15" s="106">
        <f>'[3]Shuttle America_Delta'!$FU$4</f>
        <v>1</v>
      </c>
      <c r="D15" s="457">
        <f>[3]Horizon_AS!$FU$4</f>
        <v>62</v>
      </c>
      <c r="E15" s="457">
        <f>[3]PSA!$FU$4</f>
        <v>0</v>
      </c>
      <c r="F15" s="21">
        <f>[3]Compass!$FU$4+[3]Compass!$FU$15</f>
        <v>0</v>
      </c>
      <c r="G15" s="107">
        <f>'[3]Atlantic Southeast'!$FU$4+'[3]Atlantic Southeast'!$FU$15</f>
        <v>0</v>
      </c>
      <c r="H15" s="107">
        <f>'[3]Continental Express'!$FU$4</f>
        <v>1</v>
      </c>
      <c r="I15" s="106">
        <f>'[3]Go Jet_UA'!$FU$4</f>
        <v>1</v>
      </c>
      <c r="J15" s="21">
        <f>'[3]Go Jet'!$FU$4+'[3]Go Jet'!$FU$15</f>
        <v>236</v>
      </c>
      <c r="K15" s="108">
        <f>'[3]Air Wisconsin'!$FU$4</f>
        <v>0</v>
      </c>
      <c r="L15" s="106">
        <f>[3]MESA!$FU$4</f>
        <v>0</v>
      </c>
      <c r="M15" s="110">
        <f t="shared" ref="M15:M21" si="5">SUM(B15:L15)</f>
        <v>301</v>
      </c>
    </row>
    <row r="16" spans="1:13" x14ac:dyDescent="0.2">
      <c r="A16" s="62" t="s">
        <v>54</v>
      </c>
      <c r="B16" s="111">
        <f>'[3]Shuttle America'!$FU$5</f>
        <v>0</v>
      </c>
      <c r="C16" s="111">
        <f>'[3]Shuttle America_Delta'!$FU$5</f>
        <v>1</v>
      </c>
      <c r="D16" s="458">
        <f>[3]Horizon_AS!$FU$5</f>
        <v>62</v>
      </c>
      <c r="E16" s="458">
        <f>[3]PSA!$FU$5</f>
        <v>0</v>
      </c>
      <c r="F16" s="14">
        <f>[3]Compass!$FU$5+[3]Compass!$FU$16</f>
        <v>0</v>
      </c>
      <c r="G16" s="112">
        <f>'[3]Atlantic Southeast'!$FU$5+'[3]Atlantic Southeast'!$FU$16</f>
        <v>0</v>
      </c>
      <c r="H16" s="112">
        <f>'[3]Continental Express'!$FU$5</f>
        <v>1</v>
      </c>
      <c r="I16" s="111">
        <f>'[3]Go Jet_UA'!$FU$5</f>
        <v>0</v>
      </c>
      <c r="J16" s="14">
        <f>'[3]Go Jet'!$FU$5+'[3]Go Jet'!$FU$16</f>
        <v>235</v>
      </c>
      <c r="K16" s="113">
        <f>'[3]Air Wisconsin'!$FU$5</f>
        <v>0</v>
      </c>
      <c r="L16" s="111">
        <f>[3]MESA!$FU$5</f>
        <v>0</v>
      </c>
      <c r="M16" s="115">
        <f t="shared" si="5"/>
        <v>299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2</v>
      </c>
      <c r="D17" s="116">
        <f t="shared" ref="D17:E17" si="6">SUM(D15:D16)</f>
        <v>124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0</v>
      </c>
      <c r="H17" s="116">
        <f t="shared" si="7"/>
        <v>2</v>
      </c>
      <c r="I17" s="116">
        <f t="shared" si="7"/>
        <v>1</v>
      </c>
      <c r="J17" s="286">
        <f>SUM(J15:J16)</f>
        <v>471</v>
      </c>
      <c r="K17" s="116">
        <f t="shared" si="7"/>
        <v>0</v>
      </c>
      <c r="L17" s="116">
        <f t="shared" si="7"/>
        <v>0</v>
      </c>
      <c r="M17" s="117">
        <f t="shared" si="5"/>
        <v>600</v>
      </c>
    </row>
    <row r="18" spans="1:13" x14ac:dyDescent="0.2">
      <c r="A18" s="62" t="s">
        <v>56</v>
      </c>
      <c r="B18" s="118">
        <f>'[3]Shuttle America'!$FU$8</f>
        <v>0</v>
      </c>
      <c r="C18" s="118">
        <f>'[3]Shuttle America_Delta'!$FU$8</f>
        <v>0</v>
      </c>
      <c r="D18" s="118">
        <f>[3]Horizon_AS!$FU$8</f>
        <v>0</v>
      </c>
      <c r="E18" s="118">
        <f>[3]PSA!$FU$8</f>
        <v>0</v>
      </c>
      <c r="F18" s="21">
        <f>[3]Compass!$FU$8</f>
        <v>0</v>
      </c>
      <c r="G18" s="109">
        <f>'[3]Atlantic Southeast'!$FU$8</f>
        <v>0</v>
      </c>
      <c r="H18" s="109">
        <f>'[3]Continental Express'!$FU$8</f>
        <v>0</v>
      </c>
      <c r="I18" s="118">
        <f>'[3]Go Jet_UA'!$FU$8</f>
        <v>0</v>
      </c>
      <c r="J18" s="21">
        <f>'[3]Go Jet'!$FU$8</f>
        <v>0</v>
      </c>
      <c r="K18" s="119">
        <f>'[3]Air Wisconsin'!$FU$8</f>
        <v>0</v>
      </c>
      <c r="L18" s="118">
        <f>[3]MESA!$FU$8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America'!$FU$9</f>
        <v>0</v>
      </c>
      <c r="C19" s="120">
        <f>'[3]Shuttle America_Delta'!$FU$9</f>
        <v>0</v>
      </c>
      <c r="D19" s="120">
        <f>[3]Horizon_AS!$FU$9</f>
        <v>0</v>
      </c>
      <c r="E19" s="120">
        <f>[3]PSA!$FU$9</f>
        <v>0</v>
      </c>
      <c r="F19" s="14">
        <f>[3]Compass!$FU$9</f>
        <v>0</v>
      </c>
      <c r="G19" s="114">
        <f>'[3]Atlantic Southeast'!$FU$9</f>
        <v>0</v>
      </c>
      <c r="H19" s="114">
        <f>'[3]Continental Express'!$FU$9</f>
        <v>0</v>
      </c>
      <c r="I19" s="120">
        <f>'[3]Go Jet_UA'!$FU$9</f>
        <v>0</v>
      </c>
      <c r="J19" s="14">
        <f>'[3]Go Jet'!$FU$9</f>
        <v>1</v>
      </c>
      <c r="K19" s="121">
        <f>'[3]Air Wisconsin'!$FU$9</f>
        <v>0</v>
      </c>
      <c r="L19" s="120">
        <f>[3]MESA!$FU$9</f>
        <v>0</v>
      </c>
      <c r="M19" s="115">
        <f t="shared" si="5"/>
        <v>1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1</v>
      </c>
      <c r="K20" s="116">
        <f t="shared" si="9"/>
        <v>0</v>
      </c>
      <c r="L20" s="116">
        <f t="shared" si="9"/>
        <v>0</v>
      </c>
      <c r="M20" s="117">
        <f t="shared" si="5"/>
        <v>1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2</v>
      </c>
      <c r="D21" s="122">
        <f t="shared" ref="D21:E21" si="10">SUM(D20,D17)</f>
        <v>124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0</v>
      </c>
      <c r="H21" s="122">
        <f t="shared" si="11"/>
        <v>2</v>
      </c>
      <c r="I21" s="122">
        <f t="shared" si="11"/>
        <v>1</v>
      </c>
      <c r="J21" s="122">
        <f t="shared" ref="J21" si="12">SUM(J20,J17)</f>
        <v>472</v>
      </c>
      <c r="K21" s="122">
        <f t="shared" si="11"/>
        <v>0</v>
      </c>
      <c r="L21" s="122">
        <f t="shared" si="11"/>
        <v>0</v>
      </c>
      <c r="M21" s="123">
        <f t="shared" si="5"/>
        <v>601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America'!$FU$47</f>
        <v>0</v>
      </c>
      <c r="C25" s="130">
        <f>'[3]Shuttle America_Delta'!$FU$47</f>
        <v>0</v>
      </c>
      <c r="D25" s="130">
        <f>[3]Horizon_AS!$FU$47</f>
        <v>7344</v>
      </c>
      <c r="E25" s="130">
        <f>[3]PSA!$FU$47</f>
        <v>0</v>
      </c>
      <c r="F25" s="130">
        <f>[3]Compass!$FU$47</f>
        <v>0</v>
      </c>
      <c r="G25" s="131">
        <f>'[3]Atlantic Southeast'!$FU$47</f>
        <v>0</v>
      </c>
      <c r="H25" s="131">
        <f>'[3]Continental Express'!$FU$47</f>
        <v>0</v>
      </c>
      <c r="I25" s="130">
        <f>'[3]Go Jet_UA'!$FU$47</f>
        <v>0</v>
      </c>
      <c r="J25" s="130">
        <f>'[3]Go Jet'!$FU$47</f>
        <v>673</v>
      </c>
      <c r="K25" s="132">
        <f>'[3]Air Wisconsin'!$FU$47</f>
        <v>0</v>
      </c>
      <c r="L25" s="130">
        <f>[3]MESA!$FU$47</f>
        <v>0</v>
      </c>
      <c r="M25" s="110">
        <f>SUM(B25:L25)</f>
        <v>8017</v>
      </c>
    </row>
    <row r="26" spans="1:13" x14ac:dyDescent="0.2">
      <c r="A26" s="75" t="s">
        <v>38</v>
      </c>
      <c r="B26" s="130">
        <f>'[3]Shuttle America'!$FU$48</f>
        <v>0</v>
      </c>
      <c r="C26" s="130">
        <f>'[3]Shuttle America_Delta'!$FU$48</f>
        <v>0</v>
      </c>
      <c r="D26" s="130">
        <f>[3]Horizon_AS!$FU$48</f>
        <v>0</v>
      </c>
      <c r="E26" s="130">
        <f>[3]PSA!$FU$48</f>
        <v>0</v>
      </c>
      <c r="F26" s="130">
        <f>[3]Compass!$FU$48</f>
        <v>0</v>
      </c>
      <c r="G26" s="131">
        <f>'[3]Atlantic Southeast'!$FU$48</f>
        <v>0</v>
      </c>
      <c r="H26" s="131">
        <f>'[3]Continental Express'!$FU$48</f>
        <v>0</v>
      </c>
      <c r="I26" s="130">
        <f>'[3]Go Jet_UA'!$FU$48</f>
        <v>0</v>
      </c>
      <c r="J26" s="130">
        <f>'[3]Go Jet'!$FU$48</f>
        <v>0</v>
      </c>
      <c r="K26" s="132">
        <f>'[3]Air Wisconsin'!$FU$48</f>
        <v>0</v>
      </c>
      <c r="L26" s="130">
        <f>[3]MESA!$FU$48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7344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673</v>
      </c>
      <c r="K27" s="133">
        <f t="shared" si="14"/>
        <v>0</v>
      </c>
      <c r="L27" s="133">
        <f t="shared" si="14"/>
        <v>0</v>
      </c>
      <c r="M27" s="134">
        <f>SUM(B27:L27)</f>
        <v>8017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America'!$FU$52</f>
        <v>0</v>
      </c>
      <c r="C30" s="130">
        <f>'[3]Shuttle America_Delta'!$FU$52</f>
        <v>0</v>
      </c>
      <c r="D30" s="130">
        <f>[3]Horizon_AS!$FU$52</f>
        <v>506</v>
      </c>
      <c r="E30" s="130">
        <f>[3]PSA!$FU$52</f>
        <v>0</v>
      </c>
      <c r="F30" s="130">
        <f>[3]Compass!$FU$52</f>
        <v>0</v>
      </c>
      <c r="G30" s="131">
        <f>'[3]Atlantic Southeast'!$FU$52</f>
        <v>0</v>
      </c>
      <c r="H30" s="131">
        <f>'[3]Continental Express'!$FU$52</f>
        <v>0</v>
      </c>
      <c r="I30" s="130">
        <f>'[3]Go Jet_UA'!$FU$52</f>
        <v>0</v>
      </c>
      <c r="J30" s="130">
        <f>'[3]Go Jet'!$FU$52</f>
        <v>0</v>
      </c>
      <c r="K30" s="132">
        <f>'[3]Air Wisconsin'!BH$52</f>
        <v>0</v>
      </c>
      <c r="L30" s="130">
        <f>[3]MESA!$FU$52</f>
        <v>0</v>
      </c>
      <c r="M30" s="110">
        <f>SUM(B30:L30)</f>
        <v>506</v>
      </c>
    </row>
    <row r="31" spans="1:13" x14ac:dyDescent="0.2">
      <c r="A31" s="75" t="s">
        <v>60</v>
      </c>
      <c r="B31" s="130">
        <f>'[3]Shuttle America'!$FU$53</f>
        <v>0</v>
      </c>
      <c r="C31" s="130">
        <f>'[3]Shuttle America_Delta'!$FU$53</f>
        <v>0</v>
      </c>
      <c r="D31" s="130">
        <f>[3]Horizon_AS!$FU$53</f>
        <v>0</v>
      </c>
      <c r="E31" s="130">
        <f>[3]PSA!$FU$53</f>
        <v>0</v>
      </c>
      <c r="F31" s="130">
        <f>[3]Compass!$FU$53</f>
        <v>0</v>
      </c>
      <c r="G31" s="131">
        <f>'[3]Atlantic Southeast'!$FU$53</f>
        <v>0</v>
      </c>
      <c r="H31" s="131">
        <f>'[3]Continental Express'!$FU$53</f>
        <v>0</v>
      </c>
      <c r="I31" s="130">
        <f>'[3]Go Jet_UA'!$FU$53</f>
        <v>0</v>
      </c>
      <c r="J31" s="130">
        <f>'[3]Go Jet'!$FU$53</f>
        <v>0</v>
      </c>
      <c r="K31" s="132">
        <f>'[3]Air Wisconsin'!$FU$53</f>
        <v>0</v>
      </c>
      <c r="L31" s="130">
        <f>[3]MESA!$FU$53</f>
        <v>0</v>
      </c>
      <c r="M31" s="110">
        <f>SUM(B31:L31)</f>
        <v>0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506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506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America'!$FU$57</f>
        <v>0</v>
      </c>
      <c r="C35" s="130">
        <f>'[3]Shuttle America_Delta'!$FU$57</f>
        <v>0</v>
      </c>
      <c r="D35" s="130">
        <f>[3]Horizon_AS!$FU$57</f>
        <v>0</v>
      </c>
      <c r="E35" s="130">
        <f>[3]PSA!$FU$57</f>
        <v>0</v>
      </c>
      <c r="F35" s="130">
        <f>[3]Compass!$FU$57</f>
        <v>0</v>
      </c>
      <c r="G35" s="131">
        <f>'[3]Atlantic Southeast'!$FU$57</f>
        <v>0</v>
      </c>
      <c r="H35" s="131">
        <f>'[3]Continental Express'!$FU$57</f>
        <v>0</v>
      </c>
      <c r="I35" s="130">
        <f>'[3]Go Jet_UA'!$AJ$57</f>
        <v>0</v>
      </c>
      <c r="J35" s="130">
        <f>'[3]Go Jet'!$FU$57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7850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673</v>
      </c>
      <c r="K40" s="130">
        <f t="shared" si="20"/>
        <v>0</v>
      </c>
      <c r="L40" s="130">
        <f t="shared" si="20"/>
        <v>0</v>
      </c>
      <c r="M40" s="110">
        <f>SUM(B40:L40)</f>
        <v>8523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0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0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7850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673</v>
      </c>
      <c r="K42" s="136">
        <f t="shared" si="26"/>
        <v>0</v>
      </c>
      <c r="L42" s="136">
        <f t="shared" si="26"/>
        <v>0</v>
      </c>
      <c r="M42" s="137">
        <f>SUM(B42:L42)</f>
        <v>8523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America_Delta'!$FU$70+'[3]Shuttle America_Delta'!$FU$73</f>
        <v>31</v>
      </c>
      <c r="D46" s="5"/>
      <c r="F46" s="322">
        <f>[3]Compass!$FU$70+[3]Compass!$FU$73</f>
        <v>0</v>
      </c>
      <c r="G46" s="322">
        <f>'[3]Atlantic Southeast'!$FU$70+'[3]Atlantic Southeast'!$FU$73</f>
        <v>0</v>
      </c>
      <c r="J46" s="322">
        <f>'[3]Go Jet'!$FU$70+'[3]Go Jet'!$FU$73</f>
        <v>6374</v>
      </c>
      <c r="M46" s="388">
        <f>SUM(B46:L46)</f>
        <v>6405</v>
      </c>
    </row>
    <row r="47" spans="1:13" x14ac:dyDescent="0.2">
      <c r="A47" s="389" t="s">
        <v>125</v>
      </c>
      <c r="C47" s="322">
        <f>'[3]Shuttle America_Delta'!$FU$71+'[3]Shuttle America_Delta'!$FU$74</f>
        <v>1</v>
      </c>
      <c r="D47" s="5"/>
      <c r="F47" s="322">
        <f>[3]Compass!$FU$71+[3]Compass!$FU$74</f>
        <v>0</v>
      </c>
      <c r="G47" s="322">
        <f>'[3]Atlantic Southeast'!$FU$71+'[3]Atlantic Southeast'!$FU$74</f>
        <v>0</v>
      </c>
      <c r="J47" s="322">
        <f>'[3]Go Jet'!$FU$71+'[3]Go Jet'!$FU$74</f>
        <v>8113</v>
      </c>
      <c r="M47" s="388">
        <f>SUM(B47:L47)</f>
        <v>8114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August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0" zoomScale="115" zoomScaleNormal="115" workbookViewId="0">
      <selection activeCell="M28" sqref="M2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43313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Misc'!$FU$22</f>
        <v>159</v>
      </c>
      <c r="C5" s="184">
        <f>[3]Ryan!$FU$22</f>
        <v>0</v>
      </c>
      <c r="D5" s="184">
        <f>'[3]Charter Misc'!$FU$32</f>
        <v>0</v>
      </c>
      <c r="E5" s="184">
        <f>[3]Omni!$FU$32</f>
        <v>0</v>
      </c>
      <c r="F5" s="184">
        <f>[3]Xtra!$FU$32+[3]Xtra!$FU$22</f>
        <v>0</v>
      </c>
      <c r="G5" s="339">
        <f>SUM(B5:F5)</f>
        <v>159</v>
      </c>
    </row>
    <row r="6" spans="1:17" x14ac:dyDescent="0.2">
      <c r="A6" s="62" t="s">
        <v>31</v>
      </c>
      <c r="B6" s="418">
        <f>'[3]Charter Misc'!$FU$23</f>
        <v>159</v>
      </c>
      <c r="C6" s="187">
        <f>[3]Ryan!$FU$23</f>
        <v>0</v>
      </c>
      <c r="D6" s="187">
        <f>'[3]Charter Misc'!$FU$33</f>
        <v>0</v>
      </c>
      <c r="E6" s="187">
        <f>[3]Omni!$FU$33</f>
        <v>0</v>
      </c>
      <c r="F6" s="187">
        <f>[3]Xtra!$FU$33+[3]Xtra!$FU$23</f>
        <v>0</v>
      </c>
      <c r="G6" s="338">
        <f>SUM(B6:F6)</f>
        <v>159</v>
      </c>
    </row>
    <row r="7" spans="1:17" ht="15.75" thickBot="1" x14ac:dyDescent="0.3">
      <c r="A7" s="183" t="s">
        <v>7</v>
      </c>
      <c r="B7" s="419">
        <f>SUM(B5:B6)</f>
        <v>318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318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Misc'!$FU$4</f>
        <v>1</v>
      </c>
      <c r="C10" s="184">
        <f>[3]Ryan!$FU$4</f>
        <v>0</v>
      </c>
      <c r="D10" s="184">
        <f>'[3]Charter Misc'!$FU$15</f>
        <v>0</v>
      </c>
      <c r="E10" s="184">
        <f>[3]Omni!$FU$15</f>
        <v>0</v>
      </c>
      <c r="F10" s="184">
        <f>[3]Xtra!$FU$15+[3]Xtra!$FU$4</f>
        <v>0</v>
      </c>
      <c r="G10" s="338">
        <f>SUM(B10:F10)</f>
        <v>1</v>
      </c>
    </row>
    <row r="11" spans="1:17" x14ac:dyDescent="0.2">
      <c r="A11" s="182" t="s">
        <v>81</v>
      </c>
      <c r="B11" s="417">
        <f>'[3]Charter Misc'!$FU$5</f>
        <v>1</v>
      </c>
      <c r="C11" s="184">
        <f>[3]Ryan!$FU$5</f>
        <v>0</v>
      </c>
      <c r="D11" s="184">
        <f>'[3]Charter Misc'!$FU$16</f>
        <v>0</v>
      </c>
      <c r="E11" s="184">
        <f>[3]Omni!$FU$16</f>
        <v>0</v>
      </c>
      <c r="F11" s="184">
        <f>[3]Xtra!$FU$16+[3]Xtra!$FU$5</f>
        <v>0</v>
      </c>
      <c r="G11" s="338">
        <f>SUM(B11:F11)</f>
        <v>1</v>
      </c>
    </row>
    <row r="12" spans="1:17" ht="15.75" thickBot="1" x14ac:dyDescent="0.3">
      <c r="A12" s="277" t="s">
        <v>28</v>
      </c>
      <c r="B12" s="421">
        <f>SUM(B10:B11)</f>
        <v>2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32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6">
        <f t="shared" ref="G22:G23" si="6">L22-B22</f>
        <v>1192631</v>
      </c>
      <c r="H22" s="507">
        <f t="shared" ref="H22:H23" si="7">M22-C22</f>
        <v>1233627</v>
      </c>
      <c r="I22" s="507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6">
        <f t="shared" si="6"/>
        <v>1511202</v>
      </c>
      <c r="H23" s="507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6">
        <f t="shared" ref="G24:H26" si="11">L24-B24</f>
        <v>1413434</v>
      </c>
      <c r="H24" s="507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+[12]Charter!$B25</f>
        <v>128052</v>
      </c>
      <c r="C25" s="333">
        <f>+[12]Charter!$C25</f>
        <v>118282</v>
      </c>
      <c r="D25" s="332">
        <f t="shared" ref="D25" si="13">SUM(B25:C25)</f>
        <v>246334</v>
      </c>
      <c r="E25" s="336">
        <f>[13]Charter!D25</f>
        <v>225442</v>
      </c>
      <c r="F25" s="238">
        <f t="shared" si="1"/>
        <v>9.2671285740900097E-2</v>
      </c>
      <c r="G25" s="506">
        <f t="shared" si="11"/>
        <v>1504357</v>
      </c>
      <c r="H25" s="507">
        <f t="shared" si="11"/>
        <v>1476799</v>
      </c>
      <c r="I25" s="332">
        <f t="shared" si="2"/>
        <v>2981156</v>
      </c>
      <c r="J25" s="336">
        <f>[13]Charter!I25</f>
        <v>2980236</v>
      </c>
      <c r="K25" s="244">
        <f t="shared" si="3"/>
        <v>3.0870038480174052E-4</v>
      </c>
      <c r="L25" s="331">
        <f>+[12]Charter!$L25</f>
        <v>1632409</v>
      </c>
      <c r="M25" s="333">
        <f>+[12]Charter!$M25</f>
        <v>1595081</v>
      </c>
      <c r="N25" s="332">
        <f t="shared" ref="N25" si="14">SUM(L25:M25)</f>
        <v>3227490</v>
      </c>
      <c r="O25" s="336">
        <f>[13]Charter!N25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331">
        <f>+[14]Charter!$B26</f>
        <v>128004</v>
      </c>
      <c r="C26" s="333">
        <f>+[14]Charter!$C26</f>
        <v>132185</v>
      </c>
      <c r="D26" s="332">
        <f t="shared" ref="D26" si="15">SUM(B26:C26)</f>
        <v>260189</v>
      </c>
      <c r="E26" s="336">
        <f>[15]Charter!D26</f>
        <v>248451</v>
      </c>
      <c r="F26" s="249">
        <f t="shared" si="1"/>
        <v>4.7244728336774656E-2</v>
      </c>
      <c r="G26" s="506">
        <f t="shared" si="11"/>
        <v>1634622</v>
      </c>
      <c r="H26" s="507">
        <f t="shared" si="11"/>
        <v>1620854</v>
      </c>
      <c r="I26" s="332">
        <f t="shared" si="2"/>
        <v>3255476</v>
      </c>
      <c r="J26" s="336">
        <f>[15]Charter!I26</f>
        <v>3247151</v>
      </c>
      <c r="K26" s="250">
        <f t="shared" si="3"/>
        <v>2.5637859157150375E-3</v>
      </c>
      <c r="L26" s="331">
        <f>+[14]Charter!$L26</f>
        <v>1762626</v>
      </c>
      <c r="M26" s="333">
        <f>+[14]Charter!$M26</f>
        <v>1753039</v>
      </c>
      <c r="N26" s="332">
        <f t="shared" ref="N26" si="16">SUM(L26:M26)</f>
        <v>3515665</v>
      </c>
      <c r="O26" s="336">
        <f>[15]Charter!N26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331">
        <f>+[2]Charter!$B27</f>
        <v>139361</v>
      </c>
      <c r="C27" s="333">
        <f>+[2]Charter!$C27</f>
        <v>126713</v>
      </c>
      <c r="D27" s="332">
        <f t="shared" ref="D27" si="17">SUM(B27:C27)</f>
        <v>266074</v>
      </c>
      <c r="E27" s="336">
        <f>[16]Charter!D27</f>
        <v>263710</v>
      </c>
      <c r="F27" s="238">
        <f t="shared" si="1"/>
        <v>8.9643927041067831E-3</v>
      </c>
      <c r="G27" s="506">
        <f t="shared" ref="G27" si="18">L27-B27</f>
        <v>1694875</v>
      </c>
      <c r="H27" s="507">
        <f t="shared" ref="H27" si="19">M27-C27</f>
        <v>1704059</v>
      </c>
      <c r="I27" s="332">
        <f t="shared" ref="I27" si="20">SUM(G27:H27)</f>
        <v>3398934</v>
      </c>
      <c r="J27" s="336">
        <f>[16]Charter!I27</f>
        <v>3397860</v>
      </c>
      <c r="K27" s="244">
        <f t="shared" si="3"/>
        <v>3.1608129822888523E-4</v>
      </c>
      <c r="L27" s="331">
        <f>+[2]Charter!$L27</f>
        <v>1834236</v>
      </c>
      <c r="M27" s="333">
        <f>+[2]Charter!$M27</f>
        <v>1830772</v>
      </c>
      <c r="N27" s="332">
        <f t="shared" ref="N27" si="21">SUM(L27:M27)</f>
        <v>3665008</v>
      </c>
      <c r="O27" s="336">
        <f>[16]Charter!N27</f>
        <v>3661570</v>
      </c>
      <c r="P27" s="238">
        <f t="shared" si="9"/>
        <v>9.3894149231067551E-4</v>
      </c>
    </row>
    <row r="28" spans="1:16" ht="14.1" customHeight="1" x14ac:dyDescent="0.2">
      <c r="A28" s="248" t="s">
        <v>111</v>
      </c>
      <c r="B28" s="506">
        <f>'Intl Detail'!$P$4+'Intl Detail'!$P$9</f>
        <v>139687</v>
      </c>
      <c r="C28" s="507">
        <f>'Intl Detail'!$P$5+'Intl Detail'!$P$10</f>
        <v>136180</v>
      </c>
      <c r="D28" s="332">
        <f t="shared" ref="D28" si="22">SUM(B28:C28)</f>
        <v>275867</v>
      </c>
      <c r="E28" s="336">
        <f>[1]Charter!D28</f>
        <v>267158</v>
      </c>
      <c r="F28" s="249">
        <f t="shared" si="1"/>
        <v>3.2598686919351097E-2</v>
      </c>
      <c r="G28" s="506">
        <f t="shared" ref="G28" si="23">L28-B28</f>
        <v>1736320</v>
      </c>
      <c r="H28" s="507">
        <f t="shared" ref="H28" si="24">M28-C28</f>
        <v>1726918</v>
      </c>
      <c r="I28" s="332">
        <f t="shared" ref="I28" si="25">SUM(G28:H28)</f>
        <v>3463238</v>
      </c>
      <c r="J28" s="336">
        <f>[1]Charter!I28</f>
        <v>3401041</v>
      </c>
      <c r="K28" s="250">
        <f t="shared" si="3"/>
        <v>1.8287636050256378E-2</v>
      </c>
      <c r="L28" s="506">
        <f>'Monthly Summary'!$B$11</f>
        <v>1876007</v>
      </c>
      <c r="M28" s="507">
        <f>'Monthly Summary'!$C$11</f>
        <v>1863098</v>
      </c>
      <c r="N28" s="332">
        <f t="shared" ref="N28" si="26">SUM(L28:M28)</f>
        <v>3739105</v>
      </c>
      <c r="O28" s="336">
        <f>[1]Charter!N28</f>
        <v>3668199</v>
      </c>
      <c r="P28" s="249">
        <f t="shared" si="9"/>
        <v>1.932992184993235E-2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6"/>
      <c r="F29" s="238" t="e">
        <f t="shared" si="1"/>
        <v>#DIV/0!</v>
      </c>
      <c r="G29" s="331"/>
      <c r="H29" s="333"/>
      <c r="I29" s="332">
        <f t="shared" ref="I29:I32" si="27">SUM(G29:H29)</f>
        <v>0</v>
      </c>
      <c r="J29" s="336"/>
      <c r="K29" s="244" t="e">
        <f t="shared" si="3"/>
        <v>#DIV/0!</v>
      </c>
      <c r="L29" s="331"/>
      <c r="M29" s="333"/>
      <c r="N29" s="332">
        <f t="shared" si="4"/>
        <v>0</v>
      </c>
      <c r="O29" s="336"/>
      <c r="P29" s="238" t="e">
        <f t="shared" si="9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3"/>
        <v>#DIV/0!</v>
      </c>
      <c r="L30" s="331"/>
      <c r="M30" s="333"/>
      <c r="N30" s="332">
        <f>SUM(L30:M30)</f>
        <v>0</v>
      </c>
      <c r="O30" s="336"/>
      <c r="P30" s="249" t="e">
        <f t="shared" si="9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si="27"/>
        <v>0</v>
      </c>
      <c r="J31" s="336"/>
      <c r="K31" s="244" t="e">
        <f t="shared" si="3"/>
        <v>#DIV/0!</v>
      </c>
      <c r="L31" s="331"/>
      <c r="M31" s="333"/>
      <c r="N31" s="332">
        <f>SUM(L31:M31)</f>
        <v>0</v>
      </c>
      <c r="O31" s="336"/>
      <c r="P31" s="238" t="e">
        <f t="shared" si="9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27"/>
        <v>0</v>
      </c>
      <c r="J32" s="336"/>
      <c r="K32" s="252" t="e">
        <f t="shared" si="3"/>
        <v>#DIV/0!</v>
      </c>
      <c r="L32" s="331"/>
      <c r="M32" s="333"/>
      <c r="N32" s="161">
        <f t="shared" si="4"/>
        <v>0</v>
      </c>
      <c r="O32" s="336"/>
      <c r="P32" s="252" t="e">
        <f t="shared" si="9"/>
        <v>#DIV/0!</v>
      </c>
    </row>
    <row r="33" spans="1:16" ht="13.5" thickBot="1" x14ac:dyDescent="0.25">
      <c r="A33" s="245" t="s">
        <v>77</v>
      </c>
      <c r="B33" s="255">
        <f>SUM(B21:B32)</f>
        <v>1127930</v>
      </c>
      <c r="C33" s="256">
        <f>SUM(C21:C32)</f>
        <v>1084732</v>
      </c>
      <c r="D33" s="256">
        <f>SUM(D21:D32)</f>
        <v>2212662</v>
      </c>
      <c r="E33" s="257">
        <f>SUM(E21:E32)</f>
        <v>2133813</v>
      </c>
      <c r="F33" s="240">
        <f>(D33-E33)/E33</f>
        <v>3.6952160287710312E-2</v>
      </c>
      <c r="G33" s="258">
        <f>SUM(G21:G32)</f>
        <v>11890132</v>
      </c>
      <c r="H33" s="256">
        <f>SUM(H21:H32)</f>
        <v>11844786</v>
      </c>
      <c r="I33" s="256">
        <f>SUM(I21:I32)</f>
        <v>23734918</v>
      </c>
      <c r="J33" s="259">
        <f>SUM(J21:J32)</f>
        <v>23726829</v>
      </c>
      <c r="K33" s="241">
        <f>(I33-J33)/J33</f>
        <v>3.4092208444710416E-4</v>
      </c>
      <c r="L33" s="258">
        <f>SUM(L21:L32)</f>
        <v>13018062</v>
      </c>
      <c r="M33" s="256">
        <f>SUM(M21:M32)</f>
        <v>12929518</v>
      </c>
      <c r="N33" s="256">
        <f>SUM(N21:N32)</f>
        <v>25947580</v>
      </c>
      <c r="O33" s="257">
        <f>SUM(O21:O32)</f>
        <v>25860642</v>
      </c>
      <c r="P33" s="239">
        <f>(N33-O33)/O33</f>
        <v>3.3617881566900001E-3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August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3"/>
  <sheetViews>
    <sheetView zoomScaleNormal="100" workbookViewId="0">
      <selection activeCell="C4" sqref="C4:C3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8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43313</v>
      </c>
      <c r="B2" s="437" t="s">
        <v>186</v>
      </c>
      <c r="C2" s="516" t="s">
        <v>231</v>
      </c>
      <c r="D2" s="8" t="s">
        <v>82</v>
      </c>
      <c r="E2" s="8" t="s">
        <v>83</v>
      </c>
      <c r="F2" s="199"/>
      <c r="G2" s="180" t="s">
        <v>84</v>
      </c>
      <c r="H2" s="180" t="s">
        <v>187</v>
      </c>
      <c r="I2" s="180" t="s">
        <v>167</v>
      </c>
      <c r="J2" s="102" t="s">
        <v>85</v>
      </c>
      <c r="K2" s="8" t="s">
        <v>86</v>
      </c>
      <c r="L2" s="180" t="s">
        <v>87</v>
      </c>
      <c r="M2" s="180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[3]DHL!$FU$4</f>
        <v>23</v>
      </c>
      <c r="C4" s="161">
        <f>'[3]Atlas Air'!$FU$4</f>
        <v>33</v>
      </c>
      <c r="D4" s="161">
        <f>[3]FedEx!$FU$4+[3]FedEx!$FU$15</f>
        <v>136</v>
      </c>
      <c r="E4" s="161">
        <f>[3]UPS!$FU$4+[3]UPS!$FU$15</f>
        <v>139</v>
      </c>
      <c r="F4" s="192"/>
      <c r="G4" s="118">
        <f>[3]ATI_BAX!$FU$4</f>
        <v>0</v>
      </c>
      <c r="H4" s="161">
        <f>[3]IFL!$FU$4+[3]IFL!$FU$15</f>
        <v>24</v>
      </c>
      <c r="I4" s="118">
        <f>'[3]Suburban Air Freight'!$FU$15</f>
        <v>0</v>
      </c>
      <c r="J4" s="118">
        <f>[3]Bemidji!$FU$4</f>
        <v>295</v>
      </c>
      <c r="K4" s="118">
        <f>'[3]CSA Air'!$FU$4</f>
        <v>0</v>
      </c>
      <c r="L4" s="118">
        <f>'[3]Mountain Cargo'!$FU$4</f>
        <v>23</v>
      </c>
      <c r="M4" s="118">
        <f>'[3]Misc Cargo'!$FU$4</f>
        <v>50</v>
      </c>
      <c r="N4" s="204">
        <f>SUM(B4:M4)</f>
        <v>723</v>
      </c>
    </row>
    <row r="5" spans="1:21" x14ac:dyDescent="0.2">
      <c r="A5" s="53" t="s">
        <v>54</v>
      </c>
      <c r="B5" s="198">
        <f>[3]DHL!$FU$5</f>
        <v>23</v>
      </c>
      <c r="C5" s="198">
        <f>'[3]Atlas Air'!$FU$5</f>
        <v>33</v>
      </c>
      <c r="D5" s="198">
        <f>[3]FedEx!$FU$5</f>
        <v>136</v>
      </c>
      <c r="E5" s="198">
        <f>[3]UPS!$FU$5+[3]UPS!$FU$16</f>
        <v>139</v>
      </c>
      <c r="F5" s="192"/>
      <c r="G5" s="120">
        <f>[3]ATI_BAX!$FU$5</f>
        <v>0</v>
      </c>
      <c r="H5" s="198">
        <f>[3]IFL!$FU$5</f>
        <v>24</v>
      </c>
      <c r="I5" s="120">
        <f>'[3]Suburban Air Freight'!$FU$16</f>
        <v>0</v>
      </c>
      <c r="J5" s="120">
        <f>[3]Bemidji!$FU$5</f>
        <v>295</v>
      </c>
      <c r="K5" s="120">
        <f>'[3]CSA Air'!$FU$5</f>
        <v>0</v>
      </c>
      <c r="L5" s="120">
        <f>'[3]Mountain Cargo'!$FU$5</f>
        <v>23</v>
      </c>
      <c r="M5" s="120">
        <f>'[3]Misc Cargo'!$FU$5</f>
        <v>49</v>
      </c>
      <c r="N5" s="208">
        <f>SUM(B5:M5)</f>
        <v>722</v>
      </c>
    </row>
    <row r="6" spans="1:21" s="189" customFormat="1" x14ac:dyDescent="0.2">
      <c r="A6" s="205" t="s">
        <v>55</v>
      </c>
      <c r="B6" s="206">
        <f>SUM(B4:B5)</f>
        <v>46</v>
      </c>
      <c r="C6" s="206">
        <f>SUM(C4:C5)</f>
        <v>66</v>
      </c>
      <c r="D6" s="206">
        <f>SUM(D4:D5)</f>
        <v>272</v>
      </c>
      <c r="E6" s="206">
        <f>SUM(E4:E5)</f>
        <v>278</v>
      </c>
      <c r="F6" s="193"/>
      <c r="G6" s="188">
        <f t="shared" ref="G6:M6" si="0">SUM(G4:G5)</f>
        <v>0</v>
      </c>
      <c r="H6" s="206">
        <f>SUM(H4:H5)</f>
        <v>48</v>
      </c>
      <c r="I6" s="188">
        <f t="shared" si="0"/>
        <v>0</v>
      </c>
      <c r="J6" s="188">
        <f t="shared" si="0"/>
        <v>590</v>
      </c>
      <c r="K6" s="188">
        <f t="shared" si="0"/>
        <v>0</v>
      </c>
      <c r="L6" s="188">
        <f t="shared" si="0"/>
        <v>46</v>
      </c>
      <c r="M6" s="188">
        <f t="shared" si="0"/>
        <v>99</v>
      </c>
      <c r="N6" s="207">
        <f>SUM(B6:M6)</f>
        <v>1445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/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Cargo'!$FU$8</f>
        <v>0</v>
      </c>
      <c r="N8" s="204">
        <f>SUM(B8:M8)</f>
        <v>0</v>
      </c>
    </row>
    <row r="9" spans="1:21" ht="15" x14ac:dyDescent="0.25">
      <c r="A9" s="53" t="s">
        <v>57</v>
      </c>
      <c r="B9" s="198"/>
      <c r="C9" s="198"/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Cargo'!$FU$9</f>
        <v>0</v>
      </c>
      <c r="N9" s="208">
        <f>SUM(B9:M9)</f>
        <v>0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0</v>
      </c>
      <c r="N10" s="207">
        <f>SUM(B10:M10)</f>
        <v>0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46</v>
      </c>
      <c r="C12" s="210">
        <f>C6+C10</f>
        <v>66</v>
      </c>
      <c r="D12" s="210">
        <f>D6+D10</f>
        <v>272</v>
      </c>
      <c r="E12" s="210">
        <f>E6+E10</f>
        <v>278</v>
      </c>
      <c r="F12" s="211"/>
      <c r="G12" s="212">
        <f t="shared" ref="G12:M12" si="2">G6+G10</f>
        <v>0</v>
      </c>
      <c r="H12" s="210">
        <f>H6+H10</f>
        <v>48</v>
      </c>
      <c r="I12" s="212">
        <f t="shared" si="2"/>
        <v>0</v>
      </c>
      <c r="J12" s="212">
        <f t="shared" si="2"/>
        <v>590</v>
      </c>
      <c r="K12" s="212">
        <f t="shared" si="2"/>
        <v>0</v>
      </c>
      <c r="L12" s="212">
        <f t="shared" si="2"/>
        <v>46</v>
      </c>
      <c r="M12" s="212">
        <f t="shared" si="2"/>
        <v>99</v>
      </c>
      <c r="N12" s="213">
        <f>SUM(B12:M12)</f>
        <v>1445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[3]DHL!$FU$47</f>
        <v>797089</v>
      </c>
      <c r="C16" s="161">
        <f>'[3]Atlas Air'!$FU$47</f>
        <v>959391</v>
      </c>
      <c r="D16" s="161">
        <f>[3]FedEx!$FU$47</f>
        <v>9262805</v>
      </c>
      <c r="E16" s="161">
        <f>[3]UPS!$FU$47</f>
        <v>6808297</v>
      </c>
      <c r="F16" s="192"/>
      <c r="G16" s="118">
        <f>[3]ATI_BAX!$FU$47</f>
        <v>0</v>
      </c>
      <c r="H16" s="161">
        <f>[3]IFL!$FU$47</f>
        <v>25461</v>
      </c>
      <c r="I16" s="118">
        <f>'[3]Suburban Air Freight'!$FU$47</f>
        <v>0</v>
      </c>
      <c r="J16" s="534" t="s">
        <v>88</v>
      </c>
      <c r="K16" s="118">
        <f>'[3]CSA Air'!$FU$47</f>
        <v>0</v>
      </c>
      <c r="L16" s="118">
        <f>'[3]Mountain Cargo'!$FU$47</f>
        <v>175755</v>
      </c>
      <c r="M16" s="118">
        <f>'[3]Misc Cargo'!$FU$47</f>
        <v>78268</v>
      </c>
      <c r="N16" s="204">
        <f>SUM(B16:I16)+SUM(K16:M16)</f>
        <v>18107066</v>
      </c>
    </row>
    <row r="17" spans="1:15" x14ac:dyDescent="0.2">
      <c r="A17" s="53" t="s">
        <v>38</v>
      </c>
      <c r="B17" s="161">
        <f>[3]DHL!$FU$48</f>
        <v>0</v>
      </c>
      <c r="C17" s="161">
        <f>'[3]Atlas Air'!$FU$48</f>
        <v>0</v>
      </c>
      <c r="D17" s="161">
        <f>[3]FedEx!$FU$48</f>
        <v>0</v>
      </c>
      <c r="E17" s="161">
        <f>[3]UPS!$FU$48</f>
        <v>156</v>
      </c>
      <c r="F17" s="192"/>
      <c r="G17" s="118">
        <f>[3]ATI_BAX!$FU$48</f>
        <v>0</v>
      </c>
      <c r="H17" s="161">
        <f>[3]IFL!$FU$48</f>
        <v>0</v>
      </c>
      <c r="I17" s="118">
        <f>'[3]Suburban Air Freight'!$FU$48</f>
        <v>0</v>
      </c>
      <c r="J17" s="535"/>
      <c r="K17" s="118">
        <f>'[3]CSA Air'!$FU$48</f>
        <v>0</v>
      </c>
      <c r="L17" s="118">
        <f>'[3]Mountain Cargo'!$FU$48</f>
        <v>0</v>
      </c>
      <c r="M17" s="118">
        <f>'[3]Misc Cargo'!$FU$48</f>
        <v>0</v>
      </c>
      <c r="N17" s="204">
        <f>SUM(B17:I17)+SUM(K17:M17)</f>
        <v>156</v>
      </c>
    </row>
    <row r="18" spans="1:15" ht="18" customHeight="1" x14ac:dyDescent="0.2">
      <c r="A18" s="219" t="s">
        <v>39</v>
      </c>
      <c r="B18" s="302">
        <f>SUM(B16:B17)</f>
        <v>797089</v>
      </c>
      <c r="C18" s="302">
        <f>SUM(C16:C17)</f>
        <v>959391</v>
      </c>
      <c r="D18" s="302">
        <f>SUM(D16:D17)</f>
        <v>9262805</v>
      </c>
      <c r="E18" s="302">
        <f>SUM(E16:E17)</f>
        <v>6808453</v>
      </c>
      <c r="F18" s="197"/>
      <c r="G18" s="303">
        <f>SUM(G16:G17)</f>
        <v>0</v>
      </c>
      <c r="H18" s="302">
        <f>SUM(H16:H17)</f>
        <v>25461</v>
      </c>
      <c r="I18" s="303">
        <f>SUM(I16:I17)</f>
        <v>0</v>
      </c>
      <c r="J18" s="535"/>
      <c r="K18" s="303">
        <f>SUM(K16:K17)</f>
        <v>0</v>
      </c>
      <c r="L18" s="303">
        <f>SUM(L16:L17)</f>
        <v>175755</v>
      </c>
      <c r="M18" s="303">
        <f>SUM(M16:M17)</f>
        <v>78268</v>
      </c>
      <c r="N18" s="220">
        <f>SUM(B18:I18)+SUM(K18:M18)</f>
        <v>18107222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[3]DHL!$FU$52</f>
        <v>585995</v>
      </c>
      <c r="C21" s="161">
        <f>'[3]Atlas Air'!$FU$52</f>
        <v>1212283</v>
      </c>
      <c r="D21" s="161">
        <f>[3]FedEx!$FU$52</f>
        <v>8429186</v>
      </c>
      <c r="E21" s="161">
        <f>[3]UPS!$FU$52</f>
        <v>5598978</v>
      </c>
      <c r="F21" s="192"/>
      <c r="G21" s="118">
        <f>[3]ATI_BAX!$FU$52</f>
        <v>0</v>
      </c>
      <c r="H21" s="161">
        <f>[3]IFL!$FU$52</f>
        <v>0</v>
      </c>
      <c r="I21" s="118">
        <f>'[3]Suburban Air Freight'!$FU$52</f>
        <v>0</v>
      </c>
      <c r="J21" s="535"/>
      <c r="K21" s="118">
        <f>'[3]CSA Air'!$FU$52</f>
        <v>0</v>
      </c>
      <c r="L21" s="118">
        <f>'[3]Mountain Cargo'!$FU$52</f>
        <v>59535</v>
      </c>
      <c r="M21" s="118">
        <f>'[3]Misc Cargo'!$FU$52</f>
        <v>42425</v>
      </c>
      <c r="N21" s="204">
        <f>SUM(B21:I21)+SUM(K21:M21)</f>
        <v>15928402</v>
      </c>
    </row>
    <row r="22" spans="1:15" x14ac:dyDescent="0.2">
      <c r="A22" s="53" t="s">
        <v>60</v>
      </c>
      <c r="B22" s="161">
        <f>[3]DHL!$FU$53</f>
        <v>0</v>
      </c>
      <c r="C22" s="161">
        <f>'[3]Atlas Air'!$FU$53</f>
        <v>0</v>
      </c>
      <c r="D22" s="161">
        <f>[3]FedEx!$FU$53</f>
        <v>0</v>
      </c>
      <c r="E22" s="161">
        <f>[3]UPS!$FU$53</f>
        <v>566092</v>
      </c>
      <c r="F22" s="192"/>
      <c r="G22" s="118">
        <f>[3]ATI_BAX!$FU$53</f>
        <v>0</v>
      </c>
      <c r="H22" s="161">
        <f>[3]IFL!$FU$53</f>
        <v>0</v>
      </c>
      <c r="I22" s="118">
        <f>'[3]Suburban Air Freight'!$FU$53</f>
        <v>0</v>
      </c>
      <c r="J22" s="535"/>
      <c r="K22" s="118">
        <f>'[3]CSA Air'!$FU$53</f>
        <v>0</v>
      </c>
      <c r="L22" s="118">
        <f>'[3]Mountain Cargo'!$FU$53</f>
        <v>0</v>
      </c>
      <c r="M22" s="118">
        <f>'[3]Misc Cargo'!$FU$53</f>
        <v>0</v>
      </c>
      <c r="N22" s="204">
        <f>SUM(B22:I22)+SUM(K22:M22)</f>
        <v>566092</v>
      </c>
    </row>
    <row r="23" spans="1:15" ht="18" customHeight="1" x14ac:dyDescent="0.2">
      <c r="A23" s="219" t="s">
        <v>41</v>
      </c>
      <c r="B23" s="302">
        <f>SUM(B21:B22)</f>
        <v>585995</v>
      </c>
      <c r="C23" s="302">
        <f>SUM(C21:C22)</f>
        <v>1212283</v>
      </c>
      <c r="D23" s="302">
        <f>SUM(D21:D22)</f>
        <v>8429186</v>
      </c>
      <c r="E23" s="302">
        <f>SUM(E21:E22)</f>
        <v>6165070</v>
      </c>
      <c r="F23" s="197"/>
      <c r="G23" s="303">
        <f>SUM(G21:G22)</f>
        <v>0</v>
      </c>
      <c r="H23" s="302">
        <f>SUM(H21:H22)</f>
        <v>0</v>
      </c>
      <c r="I23" s="303">
        <f>SUM(I21:I22)</f>
        <v>0</v>
      </c>
      <c r="J23" s="535"/>
      <c r="K23" s="303">
        <f>SUM(K21:K22)</f>
        <v>0</v>
      </c>
      <c r="L23" s="303">
        <f>SUM(L21:L22)</f>
        <v>59535</v>
      </c>
      <c r="M23" s="303">
        <f>SUM(M21:M22)</f>
        <v>42425</v>
      </c>
      <c r="N23" s="220">
        <f>SUM(B23:I23)+SUM(K23:M23)</f>
        <v>16494494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[3]DHL!$FU$57</f>
        <v>0</v>
      </c>
      <c r="C26" s="161">
        <f>'[3]Atlas Air'!$FU$57</f>
        <v>0</v>
      </c>
      <c r="D26" s="161">
        <f>[3]FedEx!$FU$57</f>
        <v>0</v>
      </c>
      <c r="E26" s="161">
        <f>[3]UPS!$FU$57</f>
        <v>0</v>
      </c>
      <c r="F26" s="192"/>
      <c r="G26" s="118">
        <f>[3]ATI_BAX!$FU$57</f>
        <v>0</v>
      </c>
      <c r="H26" s="161">
        <f>[3]IFL!$FU$57</f>
        <v>0</v>
      </c>
      <c r="I26" s="118">
        <f>'[3]Suburban Air Freight'!$FU$57</f>
        <v>0</v>
      </c>
      <c r="J26" s="535"/>
      <c r="K26" s="118">
        <f>'[3]CSA Air'!$FU$57</f>
        <v>0</v>
      </c>
      <c r="L26" s="118">
        <f>'[3]Mountain Cargo'!$FU$57</f>
        <v>0</v>
      </c>
      <c r="M26" s="118">
        <f>'[3]Misc Cargo'!$FU$57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[3]DHL!$FU$58</f>
        <v>0</v>
      </c>
      <c r="C27" s="161">
        <f>'[3]Atlas Air'!$FU$58</f>
        <v>0</v>
      </c>
      <c r="D27" s="161">
        <f>[3]FedEx!$FU$58</f>
        <v>0</v>
      </c>
      <c r="E27" s="161">
        <f>[3]UPS!$FU$58</f>
        <v>0</v>
      </c>
      <c r="F27" s="192"/>
      <c r="G27" s="118">
        <f>[3]ATI_BAX!$FU$58</f>
        <v>0</v>
      </c>
      <c r="H27" s="161">
        <f>[3]IFL!$FU$58</f>
        <v>0</v>
      </c>
      <c r="I27" s="118">
        <f>'[3]Suburban Air Freight'!$FU$58</f>
        <v>0</v>
      </c>
      <c r="J27" s="535"/>
      <c r="K27" s="118">
        <f>'[3]CSA Air'!$FU$58</f>
        <v>0</v>
      </c>
      <c r="L27" s="118">
        <f>'[3]Mountain Cargo'!$FU$58</f>
        <v>0</v>
      </c>
      <c r="M27" s="118">
        <f>'[3]Misc Cargo'!$FU$58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1383084</v>
      </c>
      <c r="C31" s="161">
        <f t="shared" ref="C31" si="4">C26+C21+C16</f>
        <v>2171674</v>
      </c>
      <c r="D31" s="161">
        <f t="shared" si="3"/>
        <v>17691991</v>
      </c>
      <c r="E31" s="161">
        <f t="shared" si="3"/>
        <v>12407275</v>
      </c>
      <c r="F31" s="192"/>
      <c r="G31" s="118">
        <f t="shared" ref="G31:I33" si="5">G26+G21+G16</f>
        <v>0</v>
      </c>
      <c r="H31" s="161">
        <f t="shared" si="5"/>
        <v>25461</v>
      </c>
      <c r="I31" s="118">
        <f t="shared" si="5"/>
        <v>0</v>
      </c>
      <c r="J31" s="535"/>
      <c r="K31" s="118">
        <f t="shared" ref="K31:M33" si="6">K26+K21+K16</f>
        <v>0</v>
      </c>
      <c r="L31" s="118">
        <f t="shared" si="6"/>
        <v>235290</v>
      </c>
      <c r="M31" s="118">
        <f>M26+M21+M16</f>
        <v>120693</v>
      </c>
      <c r="N31" s="204">
        <f>SUM(B31:I31)+SUM(K31:M31)</f>
        <v>34035468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0</v>
      </c>
      <c r="E32" s="161">
        <f t="shared" si="3"/>
        <v>566248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566248</v>
      </c>
    </row>
    <row r="33" spans="1:14" ht="18" customHeight="1" thickBot="1" x14ac:dyDescent="0.25">
      <c r="A33" s="209" t="s">
        <v>46</v>
      </c>
      <c r="B33" s="210">
        <f t="shared" si="3"/>
        <v>1383084</v>
      </c>
      <c r="C33" s="210">
        <f t="shared" ref="C33" si="8">C28+C23+C18</f>
        <v>2171674</v>
      </c>
      <c r="D33" s="210">
        <f t="shared" si="3"/>
        <v>17691991</v>
      </c>
      <c r="E33" s="210">
        <f t="shared" si="3"/>
        <v>12973523</v>
      </c>
      <c r="F33" s="223"/>
      <c r="G33" s="212">
        <f t="shared" si="5"/>
        <v>0</v>
      </c>
      <c r="H33" s="210">
        <f t="shared" si="5"/>
        <v>25461</v>
      </c>
      <c r="I33" s="212">
        <f t="shared" si="5"/>
        <v>0</v>
      </c>
      <c r="J33" s="304">
        <f>J28+J23+J18</f>
        <v>0</v>
      </c>
      <c r="K33" s="212">
        <f t="shared" si="6"/>
        <v>0</v>
      </c>
      <c r="L33" s="212">
        <f t="shared" si="6"/>
        <v>235290</v>
      </c>
      <c r="M33" s="212">
        <f t="shared" si="6"/>
        <v>120693</v>
      </c>
      <c r="N33" s="213">
        <f>SUM(B33:I33)+SUM(K33:M33)</f>
        <v>34601716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August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Q16" sqref="Q1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43313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6224379</v>
      </c>
      <c r="C5" s="118">
        <f>'Regional Major'!M25</f>
        <v>11282</v>
      </c>
      <c r="D5" s="118">
        <f>Cargo!N16</f>
        <v>18107066</v>
      </c>
      <c r="E5" s="118">
        <f>SUM(B5:D5)</f>
        <v>24342727</v>
      </c>
      <c r="F5" s="118">
        <f>E5*0.00045359237</f>
        <v>11041.675232192989</v>
      </c>
      <c r="G5" s="146">
        <f>'[1]Cargo Summary'!F5</f>
        <v>10559.328734673949</v>
      </c>
      <c r="H5" s="98">
        <f>(F5-G5)/G5</f>
        <v>4.5679655368162368E-2</v>
      </c>
      <c r="I5" s="146">
        <f>+F5+'[2]Cargo Summary'!I5</f>
        <v>78090.910114869184</v>
      </c>
      <c r="J5" s="146">
        <f>'[1]Cargo Summary'!I5</f>
        <v>74326.740266588808</v>
      </c>
      <c r="K5" s="85">
        <f>(I5-J5)/J5</f>
        <v>5.064354813327443E-2</v>
      </c>
      <c r="M5" s="35"/>
    </row>
    <row r="6" spans="1:18" x14ac:dyDescent="0.2">
      <c r="A6" s="62" t="s">
        <v>16</v>
      </c>
      <c r="B6" s="169">
        <f>'Major Airline Stats'!K29</f>
        <v>1968866</v>
      </c>
      <c r="C6" s="118">
        <f>'Regional Major'!M26</f>
        <v>0</v>
      </c>
      <c r="D6" s="118">
        <f>Cargo!N17</f>
        <v>156</v>
      </c>
      <c r="E6" s="118">
        <f>SUM(B6:D6)</f>
        <v>1969022</v>
      </c>
      <c r="F6" s="118">
        <f>E6*0.00045359237</f>
        <v>893.13335556213997</v>
      </c>
      <c r="G6" s="146">
        <f>'[1]Cargo Summary'!F6</f>
        <v>1135.56305518656</v>
      </c>
      <c r="H6" s="37">
        <f>(F6-G6)/G6</f>
        <v>-0.21348854078789273</v>
      </c>
      <c r="I6" s="146">
        <f>+F6+'[2]Cargo Summary'!I6</f>
        <v>6864.636990483581</v>
      </c>
      <c r="J6" s="146">
        <f>'[1]Cargo Summary'!I6</f>
        <v>7425.2794277654293</v>
      </c>
      <c r="K6" s="85">
        <f>(I6-J6)/J6</f>
        <v>-7.5504557469639702E-2</v>
      </c>
      <c r="M6" s="35"/>
    </row>
    <row r="7" spans="1:18" ht="18" customHeight="1" thickBot="1" x14ac:dyDescent="0.25">
      <c r="A7" s="73" t="s">
        <v>72</v>
      </c>
      <c r="B7" s="171">
        <f>SUM(B5:B6)</f>
        <v>8193245</v>
      </c>
      <c r="C7" s="133">
        <f t="shared" ref="C7:J7" si="0">SUM(C5:C6)</f>
        <v>11282</v>
      </c>
      <c r="D7" s="133">
        <f t="shared" si="0"/>
        <v>18107222</v>
      </c>
      <c r="E7" s="133">
        <f t="shared" si="0"/>
        <v>26311749</v>
      </c>
      <c r="F7" s="133">
        <f t="shared" si="0"/>
        <v>11934.808587755129</v>
      </c>
      <c r="G7" s="133">
        <f t="shared" si="0"/>
        <v>11694.891789860509</v>
      </c>
      <c r="H7" s="44">
        <f>(F7-G7)/G7</f>
        <v>2.0514665907608393E-2</v>
      </c>
      <c r="I7" s="133">
        <f t="shared" si="0"/>
        <v>84955.547105352773</v>
      </c>
      <c r="J7" s="133">
        <f t="shared" si="0"/>
        <v>81752.01969435424</v>
      </c>
      <c r="K7" s="318">
        <f>(I7-J7)/J7</f>
        <v>3.9185911528247748E-2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3337082</v>
      </c>
      <c r="C10" s="118">
        <f>'Regional Major'!M30</f>
        <v>3140</v>
      </c>
      <c r="D10" s="118">
        <f>Cargo!N21</f>
        <v>15928402</v>
      </c>
      <c r="E10" s="118">
        <f>SUM(B10:D10)</f>
        <v>19268624</v>
      </c>
      <c r="F10" s="118">
        <f>E10*0.00045359237</f>
        <v>8740.10082679888</v>
      </c>
      <c r="G10" s="146">
        <f>'[1]Cargo Summary'!F10</f>
        <v>8466.9175644884599</v>
      </c>
      <c r="H10" s="37">
        <f>(F10-G10)/G10</f>
        <v>3.2264783521241812E-2</v>
      </c>
      <c r="I10" s="146">
        <f>+F10+'[2]Cargo Summary'!I10</f>
        <v>61397.21177608634</v>
      </c>
      <c r="J10" s="146">
        <f>'[1]Cargo Summary'!I10</f>
        <v>60979.033176781719</v>
      </c>
      <c r="K10" s="85">
        <f>(I10-J10)/J10</f>
        <v>6.8577440067358513E-3</v>
      </c>
      <c r="M10" s="35"/>
    </row>
    <row r="11" spans="1:18" x14ac:dyDescent="0.2">
      <c r="A11" s="62" t="s">
        <v>16</v>
      </c>
      <c r="B11" s="169">
        <f>'Major Airline Stats'!K34</f>
        <v>2199066</v>
      </c>
      <c r="C11" s="118">
        <f>'Regional Major'!M31</f>
        <v>0</v>
      </c>
      <c r="D11" s="118">
        <f>Cargo!N22</f>
        <v>566092</v>
      </c>
      <c r="E11" s="118">
        <f>SUM(B11:D11)</f>
        <v>2765158</v>
      </c>
      <c r="F11" s="118">
        <f>E11*0.00045359237</f>
        <v>1254.25457064446</v>
      </c>
      <c r="G11" s="146">
        <f>'[1]Cargo Summary'!F11</f>
        <v>1405.5457697342599</v>
      </c>
      <c r="H11" s="35">
        <f>(F11-G11)/G11</f>
        <v>-0.10763875666489595</v>
      </c>
      <c r="I11" s="146">
        <f>+F11+'[2]Cargo Summary'!I11</f>
        <v>10119.69703063781</v>
      </c>
      <c r="J11" s="146">
        <f>'[1]Cargo Summary'!I11</f>
        <v>9752.0957949576696</v>
      </c>
      <c r="K11" s="85">
        <f>(I11-J11)/J11</f>
        <v>3.7694588261756902E-2</v>
      </c>
      <c r="M11" s="35"/>
    </row>
    <row r="12" spans="1:18" ht="18" customHeight="1" thickBot="1" x14ac:dyDescent="0.25">
      <c r="A12" s="73" t="s">
        <v>73</v>
      </c>
      <c r="B12" s="171">
        <f>SUM(B10:B11)</f>
        <v>5536148</v>
      </c>
      <c r="C12" s="133">
        <f t="shared" ref="C12:J12" si="1">SUM(C10:C11)</f>
        <v>3140</v>
      </c>
      <c r="D12" s="133">
        <f t="shared" si="1"/>
        <v>16494494</v>
      </c>
      <c r="E12" s="133">
        <f t="shared" si="1"/>
        <v>22033782</v>
      </c>
      <c r="F12" s="133">
        <f t="shared" si="1"/>
        <v>9994.3553974433398</v>
      </c>
      <c r="G12" s="133">
        <f t="shared" si="1"/>
        <v>9872.4633342227207</v>
      </c>
      <c r="H12" s="44">
        <f>(F12-G12)/G12</f>
        <v>1.2346671655703434E-2</v>
      </c>
      <c r="I12" s="133">
        <f t="shared" si="1"/>
        <v>71516.908806724154</v>
      </c>
      <c r="J12" s="133">
        <f t="shared" si="1"/>
        <v>70731.128971739381</v>
      </c>
      <c r="K12" s="318">
        <f>(I12-J12)/J12</f>
        <v>1.1109391952427777E-2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9561461</v>
      </c>
      <c r="C20" s="118">
        <f t="shared" si="3"/>
        <v>14422</v>
      </c>
      <c r="D20" s="118">
        <f t="shared" si="3"/>
        <v>34035468</v>
      </c>
      <c r="E20" s="118">
        <f>SUM(B20:D20)</f>
        <v>43611351</v>
      </c>
      <c r="F20" s="118">
        <f>E20*0.00045359237</f>
        <v>19781.776058991869</v>
      </c>
      <c r="G20" s="146">
        <f>'[1]Cargo Summary'!F20</f>
        <v>19026.246299162409</v>
      </c>
      <c r="H20" s="37">
        <f>(F20-G20)/G20</f>
        <v>3.9709869616410924E-2</v>
      </c>
      <c r="I20" s="146">
        <f>+F20+'[2]Cargo Summary'!I20</f>
        <v>139488.12189095555</v>
      </c>
      <c r="J20" s="146">
        <f>+J5+J10+J15</f>
        <v>135305.77344337053</v>
      </c>
      <c r="K20" s="85">
        <f>(I20-J20)/J20</f>
        <v>3.091034729080093E-2</v>
      </c>
      <c r="M20" s="35"/>
    </row>
    <row r="21" spans="1:13" x14ac:dyDescent="0.2">
      <c r="A21" s="62" t="s">
        <v>16</v>
      </c>
      <c r="B21" s="169">
        <f t="shared" si="3"/>
        <v>4167932</v>
      </c>
      <c r="C21" s="120">
        <f t="shared" si="3"/>
        <v>0</v>
      </c>
      <c r="D21" s="120">
        <f t="shared" si="3"/>
        <v>566248</v>
      </c>
      <c r="E21" s="118">
        <f>SUM(B21:D21)</f>
        <v>4734180</v>
      </c>
      <c r="F21" s="118">
        <f>E21*0.00045359237</f>
        <v>2147.3879262065998</v>
      </c>
      <c r="G21" s="146">
        <f>'[1]Cargo Summary'!F21</f>
        <v>2541.1088249208201</v>
      </c>
      <c r="H21" s="37">
        <f>(F21-G21)/G21</f>
        <v>-0.1549405892628343</v>
      </c>
      <c r="I21" s="146">
        <f>+F21+'[2]Cargo Summary'!I21</f>
        <v>16984.334021121387</v>
      </c>
      <c r="J21" s="146">
        <f>+J6+J11+J16</f>
        <v>17177.375222723098</v>
      </c>
      <c r="K21" s="85">
        <f>(I21-J21)/J21</f>
        <v>-1.1238108214946958E-2</v>
      </c>
      <c r="M21" s="35"/>
    </row>
    <row r="22" spans="1:13" ht="18" customHeight="1" thickBot="1" x14ac:dyDescent="0.25">
      <c r="A22" s="88" t="s">
        <v>62</v>
      </c>
      <c r="B22" s="172">
        <f>SUM(B20:B21)</f>
        <v>13729393</v>
      </c>
      <c r="C22" s="173">
        <f t="shared" ref="C22:J22" si="4">SUM(C20:C21)</f>
        <v>14422</v>
      </c>
      <c r="D22" s="173">
        <f t="shared" si="4"/>
        <v>34601716</v>
      </c>
      <c r="E22" s="173">
        <f t="shared" si="4"/>
        <v>48345531</v>
      </c>
      <c r="F22" s="173">
        <f t="shared" si="4"/>
        <v>21929.163985198469</v>
      </c>
      <c r="G22" s="173">
        <f t="shared" si="4"/>
        <v>21567.355124083228</v>
      </c>
      <c r="H22" s="324">
        <f>(F22-G22)/G22</f>
        <v>1.6775764067204841E-2</v>
      </c>
      <c r="I22" s="173">
        <f t="shared" si="4"/>
        <v>156472.45591207693</v>
      </c>
      <c r="J22" s="173">
        <f t="shared" si="4"/>
        <v>152483.14866609362</v>
      </c>
      <c r="K22" s="325">
        <f>(I22-J22)/J22</f>
        <v>2.6162282723575302E-2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August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1"/>
  <sheetViews>
    <sheetView zoomScaleNormal="100" workbookViewId="0">
      <selection activeCell="L29" sqref="L2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7" t="s">
        <v>201</v>
      </c>
      <c r="K2" s="548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9">
        <v>43313</v>
      </c>
      <c r="B3" s="550"/>
      <c r="C3" s="551" t="s">
        <v>9</v>
      </c>
      <c r="D3" s="552"/>
      <c r="E3" s="552"/>
      <c r="F3" s="552"/>
      <c r="G3" s="552"/>
      <c r="H3" s="553"/>
      <c r="I3" s="466"/>
      <c r="J3" s="549">
        <f>+A3</f>
        <v>43313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+[3]DHL!$FU$12</f>
        <v>46</v>
      </c>
      <c r="D5" s="352">
        <f>+[3]DHL!$FG$12</f>
        <v>44</v>
      </c>
      <c r="E5" s="353">
        <f>(C5-D5)/D5</f>
        <v>4.5454545454545456E-2</v>
      </c>
      <c r="F5" s="350">
        <f>+SUM([3]DHL!$FN$12:$FU$12)</f>
        <v>326</v>
      </c>
      <c r="G5" s="352">
        <f>+SUM([3]DHL!$EZ$12:$FG$12)</f>
        <v>346</v>
      </c>
      <c r="H5" s="351">
        <f>(F5-G5)/G5</f>
        <v>-5.7803468208092484E-2</v>
      </c>
      <c r="I5" s="353">
        <f>+F5/$F$24</f>
        <v>3.3912410277748883E-2</v>
      </c>
      <c r="J5" s="349" t="s">
        <v>203</v>
      </c>
      <c r="K5" s="55"/>
      <c r="L5" s="350">
        <f>+[3]DHL!$FU$64</f>
        <v>1383084</v>
      </c>
      <c r="M5" s="352">
        <f>+[3]DHL!$FG$64</f>
        <v>1392256</v>
      </c>
      <c r="N5" s="353">
        <f>(L5-M5)/M5</f>
        <v>-6.5878688976739909E-3</v>
      </c>
      <c r="O5" s="350">
        <f>+SUM([3]DHL!$FN$64:$FU$64)</f>
        <v>9969586</v>
      </c>
      <c r="P5" s="352">
        <f>+SUM([3]DHL!$EZ$64:$FG$64)</f>
        <v>10202466</v>
      </c>
      <c r="Q5" s="351">
        <f>(O5-P5)/P5</f>
        <v>-2.2825854063125522E-2</v>
      </c>
      <c r="R5" s="353">
        <f>O5/$O$24</f>
        <v>4.208087003519715E-2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+[3]FedEx!$FU$12</f>
        <v>272</v>
      </c>
      <c r="D7" s="352">
        <f>+[3]FedEx!$FG$12</f>
        <v>280</v>
      </c>
      <c r="E7" s="353">
        <f>(C7-D7)/D7</f>
        <v>-2.8571428571428571E-2</v>
      </c>
      <c r="F7" s="350">
        <f>+SUM([3]FedEx!$FN$12:$FU$12)</f>
        <v>1902</v>
      </c>
      <c r="G7" s="352">
        <f>+SUM([3]FedEx!$EZ$12:$FG$12)</f>
        <v>1467</v>
      </c>
      <c r="H7" s="351">
        <f t="shared" ref="H7" si="0">(F7-G7)/G7</f>
        <v>0.29652351738241312</v>
      </c>
      <c r="I7" s="353">
        <f>+F7/$F$24</f>
        <v>0.19785706855300114</v>
      </c>
      <c r="J7" s="349" t="s">
        <v>204</v>
      </c>
      <c r="K7" s="55"/>
      <c r="L7" s="350">
        <f>+[3]FedEx!$FU$64</f>
        <v>17691991</v>
      </c>
      <c r="M7" s="352">
        <f>+[3]FedEx!$FG$64</f>
        <v>18032563</v>
      </c>
      <c r="N7" s="353">
        <f>(L7-M7)/M7</f>
        <v>-1.8886499939026972E-2</v>
      </c>
      <c r="O7" s="350">
        <f>+SUM([3]FedEx!$FN$64:$FU$64)</f>
        <v>134882277</v>
      </c>
      <c r="P7" s="352">
        <f>+SUM([3]FedEx!$EZ$64:$FG$64)</f>
        <v>133579421</v>
      </c>
      <c r="Q7" s="351">
        <f t="shared" ref="Q7" si="1">(O7-P7)/P7</f>
        <v>9.7534185299395781E-3</v>
      </c>
      <c r="R7" s="353">
        <f>O7/$O$24</f>
        <v>0.56932791075662137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+[3]UPS!$FU$12</f>
        <v>232</v>
      </c>
      <c r="D9" s="352">
        <f>+[3]UPS!$FG$12</f>
        <v>212</v>
      </c>
      <c r="E9" s="353">
        <f>(C9-D9)/D9</f>
        <v>9.4339622641509441E-2</v>
      </c>
      <c r="F9" s="350">
        <f>+SUM([3]UPS!$FN$12:$FU$12)</f>
        <v>1652</v>
      </c>
      <c r="G9" s="352">
        <f>+SUM([3]UPS!$EZ$12:$FG$12)</f>
        <v>1524</v>
      </c>
      <c r="H9" s="351">
        <f>(F9-G9)/G9</f>
        <v>8.3989501312335957E-2</v>
      </c>
      <c r="I9" s="353">
        <f>+F9/$F$24</f>
        <v>0.17185061895350046</v>
      </c>
      <c r="J9" s="349" t="s">
        <v>83</v>
      </c>
      <c r="K9" s="55"/>
      <c r="L9" s="350">
        <f>+[3]UPS!$FU$64</f>
        <v>12973523</v>
      </c>
      <c r="M9" s="352">
        <f>+[3]UPS!$FG$64</f>
        <v>13122272</v>
      </c>
      <c r="N9" s="353">
        <f>(L9-M9)/M9</f>
        <v>-1.1335613223076003E-2</v>
      </c>
      <c r="O9" s="350">
        <f>+SUM([3]UPS!$FN$64:$FU$64)</f>
        <v>89968342</v>
      </c>
      <c r="P9" s="352">
        <f>+SUM([3]UPS!$EZ$64:$FG$64)</f>
        <v>86140653</v>
      </c>
      <c r="Q9" s="351">
        <f>(O9-P9)/P9</f>
        <v>4.4435337633207866E-2</v>
      </c>
      <c r="R9" s="353">
        <f>O9/$O$24</f>
        <v>0.37974958107429629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2"/>
      <c r="C11" s="350">
        <f>+[3]IFL!$FU$12</f>
        <v>48</v>
      </c>
      <c r="D11" s="352">
        <f>+[3]IFL!$FG$12</f>
        <v>38</v>
      </c>
      <c r="E11" s="353">
        <f>(C11-D11)/D11</f>
        <v>0.26315789473684209</v>
      </c>
      <c r="F11" s="350">
        <f>+SUM([3]IFL!$FN$12:$FU$12)</f>
        <v>350</v>
      </c>
      <c r="G11" s="352">
        <f>+SUM([3]IFL!$EZ$12:$FG$12)</f>
        <v>440</v>
      </c>
      <c r="H11" s="351">
        <f>(F11-G11)/G11</f>
        <v>-0.20454545454545456</v>
      </c>
      <c r="I11" s="353">
        <f>+F11/$F$24</f>
        <v>3.6409029439300945E-2</v>
      </c>
      <c r="J11" s="349" t="s">
        <v>187</v>
      </c>
      <c r="K11" s="55"/>
      <c r="L11" s="350">
        <f>+[3]IFL!$FU$64</f>
        <v>25461</v>
      </c>
      <c r="M11" s="352">
        <f>+[3]IFL!$FG$64</f>
        <v>21020</v>
      </c>
      <c r="N11" s="353">
        <f>(L11-M11)/M11</f>
        <v>0.21127497621313035</v>
      </c>
      <c r="O11" s="350">
        <f>+SUM([3]IFL!$FN$64:$FU$64)</f>
        <v>173457</v>
      </c>
      <c r="P11" s="352">
        <f>+SUM([3]IFL!$EZ$64:$FG$64)</f>
        <v>503946</v>
      </c>
      <c r="Q11" s="351">
        <f>(O11-P11)/P11</f>
        <v>-0.65580240740079299</v>
      </c>
      <c r="R11" s="353">
        <f>O11/$O$24</f>
        <v>7.3214890504933621E-4</v>
      </c>
      <c r="S11" s="20"/>
    </row>
    <row r="12" spans="1:19" ht="14.1" customHeight="1" x14ac:dyDescent="0.2">
      <c r="A12" s="349"/>
      <c r="B12" s="362"/>
      <c r="C12" s="350"/>
      <c r="D12" s="355"/>
      <c r="E12" s="353"/>
      <c r="F12" s="468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1"/>
      <c r="C13" s="350">
        <f>+'[3]Suburban Air Freight'!$FU$12</f>
        <v>0</v>
      </c>
      <c r="D13" s="352">
        <f>+'[3]Suburban Air Freight'!$FG$12</f>
        <v>0</v>
      </c>
      <c r="E13" s="353" t="e">
        <f>(C13-D13)/D13</f>
        <v>#DIV/0!</v>
      </c>
      <c r="F13" s="350">
        <f>+SUM('[3]Suburban Air Freight'!$FN$12:$FU$12)</f>
        <v>0</v>
      </c>
      <c r="G13" s="352">
        <f>+SUM('[3]Suburban Air Freight'!$EZ$12:$FG$12)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Freight'!$FU$64</f>
        <v>0</v>
      </c>
      <c r="M13" s="352">
        <f>+'[3]Suburban Air Freight'!$FG$64</f>
        <v>99751</v>
      </c>
      <c r="N13" s="353">
        <f>(L13-M13)/M13</f>
        <v>-1</v>
      </c>
      <c r="O13" s="350">
        <f>+SUM('[3]Suburban Air Freight'!$FN$64:$FU$64)</f>
        <v>0</v>
      </c>
      <c r="P13" s="352">
        <f>+SUM('[3]Suburban Air Freight'!$EZ$64:$FG$64)</f>
        <v>777992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+[3]Bemidji!$FU$12</f>
        <v>590</v>
      </c>
      <c r="D15" s="352">
        <f>+[3]Bemidji!$FG$12</f>
        <v>598</v>
      </c>
      <c r="E15" s="353">
        <f>(C15-D15)/D15</f>
        <v>-1.3377926421404682E-2</v>
      </c>
      <c r="F15" s="350">
        <f>+SUM([3]Bemidji!$FN$12:$FU$12)</f>
        <v>4464</v>
      </c>
      <c r="G15" s="352">
        <f>+SUM([3]Bemidji!$EZ$12:$FG$12)</f>
        <v>4340</v>
      </c>
      <c r="H15" s="351">
        <f t="shared" ref="H15" si="4">(F15-G15)/G15</f>
        <v>2.8571428571428571E-2</v>
      </c>
      <c r="I15" s="353">
        <f>+F15/$F$24</f>
        <v>0.46437116404868406</v>
      </c>
      <c r="J15" s="349" t="s">
        <v>85</v>
      </c>
      <c r="K15" s="359"/>
      <c r="L15" s="544" t="s">
        <v>207</v>
      </c>
      <c r="M15" s="545"/>
      <c r="N15" s="545"/>
      <c r="O15" s="545"/>
      <c r="P15" s="545"/>
      <c r="Q15" s="545"/>
      <c r="R15" s="546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Air'!$FU$12</f>
        <v>0</v>
      </c>
      <c r="D17" s="352">
        <f>+'[3]CSA Air'!$FG$12</f>
        <v>0</v>
      </c>
      <c r="E17" s="353" t="e">
        <f>(C17-D17)/D17</f>
        <v>#DIV/0!</v>
      </c>
      <c r="F17" s="350">
        <f>+SUM('[3]CSA Air'!$FN$12:$FU$12)</f>
        <v>7</v>
      </c>
      <c r="G17" s="352">
        <f>+SUM('[3]CSA Air'!$EZ$12:$FG$12)</f>
        <v>222</v>
      </c>
      <c r="H17" s="351">
        <f t="shared" ref="H17" si="5">(F17-G17)/G17</f>
        <v>-0.96846846846846846</v>
      </c>
      <c r="I17" s="353">
        <f>+F17/$F$24</f>
        <v>7.2818058878601889E-4</v>
      </c>
      <c r="J17" s="349" t="s">
        <v>86</v>
      </c>
      <c r="K17" s="359"/>
      <c r="L17" s="350">
        <f>+'[3]CSA Air'!$FU$64</f>
        <v>0</v>
      </c>
      <c r="M17" s="352">
        <f>+'[3]CSA Air'!$FG$64</f>
        <v>0</v>
      </c>
      <c r="N17" s="353" t="e">
        <f>(L17-M17)/M17</f>
        <v>#DIV/0!</v>
      </c>
      <c r="O17" s="350">
        <f>+SUM('[3]CSA Air'!$FN$64:$FU$64)</f>
        <v>4785</v>
      </c>
      <c r="P17" s="352">
        <f>+SUM('[3]CSA Air'!$EZ$64:$FG$64)</f>
        <v>316444</v>
      </c>
      <c r="Q17" s="351">
        <f t="shared" ref="Q17" si="6">(O17-P17)/P17</f>
        <v>-0.98487884112196789</v>
      </c>
      <c r="R17" s="353">
        <f>O17/$O$24</f>
        <v>2.0197123844301896E-5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1"/>
      <c r="C19" s="350">
        <f>+'[3]Mountain Cargo'!$FU$12</f>
        <v>46</v>
      </c>
      <c r="D19" s="352">
        <f>+'[3]Mountain Cargo'!$FG$12</f>
        <v>46</v>
      </c>
      <c r="E19" s="353">
        <f>(C19-D19)/D19</f>
        <v>0</v>
      </c>
      <c r="F19" s="350">
        <f>+SUM('[3]Mountain Cargo'!$FN$12:$FU$12)</f>
        <v>324</v>
      </c>
      <c r="G19" s="352">
        <f>+SUM('[3]Mountain Cargo'!$EZ$12:$FG$12)</f>
        <v>328</v>
      </c>
      <c r="H19" s="351">
        <f>(F19-G19)/G19</f>
        <v>-1.2195121951219513E-2</v>
      </c>
      <c r="I19" s="353">
        <f>+F19/$F$24</f>
        <v>3.3704358680952874E-2</v>
      </c>
      <c r="J19" s="349" t="s">
        <v>87</v>
      </c>
      <c r="K19" s="361"/>
      <c r="L19" s="350">
        <f>+'[3]Mountain Cargo'!$FU$64</f>
        <v>235290</v>
      </c>
      <c r="M19" s="352">
        <f>+'[3]Mountain Cargo'!$FG$64</f>
        <v>205046</v>
      </c>
      <c r="N19" s="353">
        <f>(L19-M19)/M19</f>
        <v>0.14749861006798473</v>
      </c>
      <c r="O19" s="350">
        <f>+SUM('[3]Mountain Cargo'!$FN$64:$FU$64)</f>
        <v>1081407</v>
      </c>
      <c r="P19" s="352">
        <f>+SUM('[3]Mountain Cargo'!$EZ$64:$FG$64)</f>
        <v>1459077</v>
      </c>
      <c r="Q19" s="351">
        <f t="shared" ref="Q19" si="7">(O19-P19)/P19</f>
        <v>-0.25884171979957193</v>
      </c>
      <c r="R19" s="353">
        <f>O19/$O$24</f>
        <v>4.5645373260386583E-3</v>
      </c>
      <c r="S19" s="414"/>
    </row>
    <row r="20" spans="1:19" ht="14.1" customHeight="1" x14ac:dyDescent="0.2">
      <c r="A20" s="53"/>
      <c r="B20" s="426"/>
      <c r="C20" s="350"/>
      <c r="D20" s="9"/>
      <c r="E20" s="86"/>
      <c r="F20" s="354"/>
      <c r="G20" s="9"/>
      <c r="H20" s="39"/>
      <c r="I20" s="86"/>
      <c r="J20" s="53"/>
      <c r="K20" s="426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2"/>
      <c r="C21" s="350">
        <f>+'[3]Misc Cargo'!$FU$12</f>
        <v>99</v>
      </c>
      <c r="D21" s="352">
        <f>+'[3]Misc Cargo'!$FG$12</f>
        <v>50</v>
      </c>
      <c r="E21" s="353">
        <f>(C21-D21)/D21</f>
        <v>0.98</v>
      </c>
      <c r="F21" s="350">
        <f>+SUM('[3]Misc Cargo'!$FN$12:$FU$12)</f>
        <v>588</v>
      </c>
      <c r="G21" s="352">
        <f>+SUM('[3]Misc Cargo'!$EZ$12:$FG$12)</f>
        <v>351</v>
      </c>
      <c r="H21" s="351">
        <f>(F21-G21)/G21</f>
        <v>0.67521367521367526</v>
      </c>
      <c r="I21" s="353">
        <f>+F21/$F$24</f>
        <v>6.116716945802559E-2</v>
      </c>
      <c r="J21" s="349" t="s">
        <v>130</v>
      </c>
      <c r="K21" s="362"/>
      <c r="L21" s="350">
        <f>+'[3]Misc Cargo'!$FU$64</f>
        <v>120693</v>
      </c>
      <c r="M21" s="352">
        <f>+'[3]Misc Cargo'!$FG$64</f>
        <v>102744</v>
      </c>
      <c r="N21" s="353">
        <f>(L21-M21)/M21</f>
        <v>0.17469633263256248</v>
      </c>
      <c r="O21" s="350">
        <f>+SUM('[3]Misc Cargo'!$FN$64:$FU$64)</f>
        <v>835067</v>
      </c>
      <c r="P21" s="352">
        <f>+SUM('[3]Misc Cargo'!$EZ$64:$FG$64)</f>
        <v>713040</v>
      </c>
      <c r="Q21" s="351">
        <f>(O21-P21)/P21</f>
        <v>0.17113626164030069</v>
      </c>
      <c r="R21" s="353">
        <f>O21/$O$24</f>
        <v>3.5247547789529054E-3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9"/>
      <c r="K22" s="362"/>
      <c r="L22" s="364"/>
      <c r="M22" s="368"/>
      <c r="N22" s="367"/>
      <c r="O22" s="364"/>
      <c r="P22" s="368"/>
      <c r="Q22" s="365"/>
      <c r="R22" s="471"/>
      <c r="S22" s="469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205</v>
      </c>
      <c r="C24" s="478">
        <f>+SUM(C5:C21)</f>
        <v>1333</v>
      </c>
      <c r="D24" s="479">
        <f>SUM(D5:D22)</f>
        <v>1268</v>
      </c>
      <c r="E24" s="480">
        <f>(C24-D24)/D24</f>
        <v>5.1261829652996846E-2</v>
      </c>
      <c r="F24" s="478">
        <f>+SUM(F5:F21)</f>
        <v>9613</v>
      </c>
      <c r="G24" s="478">
        <f>+SUM(G5:G21)</f>
        <v>9018</v>
      </c>
      <c r="H24" s="481">
        <f>(F24-G24)/G24</f>
        <v>6.597915280550011E-2</v>
      </c>
      <c r="I24" s="497"/>
      <c r="K24" s="477" t="s">
        <v>205</v>
      </c>
      <c r="L24" s="478">
        <f>+SUM(L5:L21)</f>
        <v>32430042</v>
      </c>
      <c r="M24" s="482">
        <f>SUM(M5:M22)</f>
        <v>32975652</v>
      </c>
      <c r="N24" s="483">
        <f>(L24-M24)/M24</f>
        <v>-1.654584418831203E-2</v>
      </c>
      <c r="O24" s="478">
        <f>+SUM(O5:O21)</f>
        <v>236914921</v>
      </c>
      <c r="P24" s="478">
        <f>+SUM(P5:P21)</f>
        <v>233693039</v>
      </c>
      <c r="Q24" s="481">
        <f t="shared" ref="Q24" si="8">(O24-P24)/P24</f>
        <v>1.3786812023955921E-2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August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2018-09-26T14:47:54Z</cp:lastPrinted>
  <dcterms:created xsi:type="dcterms:W3CDTF">2007-09-24T12:26:24Z</dcterms:created>
  <dcterms:modified xsi:type="dcterms:W3CDTF">2019-09-26T20:20:43Z</dcterms:modified>
</cp:coreProperties>
</file>