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FC4FA063-1E3F-4BEF-B6AD-FEE85611889A}" xr6:coauthVersionLast="45" xr6:coauthVersionMax="45" xr10:uidLastSave="{00000000-0000-0000-0000-000000000000}"/>
  <bookViews>
    <workbookView xWindow="4035" yWindow="720" windowWidth="18900" windowHeight="1105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Activity'!$A$1:$R$64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8" l="1"/>
  <c r="D4" i="8"/>
  <c r="D6" i="7" l="1"/>
  <c r="D5" i="7"/>
  <c r="I47" i="15" l="1"/>
  <c r="I46" i="15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59" i="9" l="1"/>
  <c r="N59" i="9"/>
  <c r="H59" i="9"/>
  <c r="E59" i="9"/>
  <c r="Q58" i="9"/>
  <c r="N58" i="9"/>
  <c r="H58" i="9"/>
  <c r="E58" i="9"/>
  <c r="Q57" i="9"/>
  <c r="N57" i="9"/>
  <c r="H57" i="9"/>
  <c r="E57" i="9"/>
  <c r="Q56" i="9"/>
  <c r="N56" i="9"/>
  <c r="H56" i="9"/>
  <c r="E56" i="9"/>
  <c r="Q55" i="9"/>
  <c r="N55" i="9"/>
  <c r="H55" i="9"/>
  <c r="E55" i="9"/>
  <c r="Q54" i="9"/>
  <c r="N54" i="9"/>
  <c r="H54" i="9"/>
  <c r="E54" i="9"/>
  <c r="Q53" i="9"/>
  <c r="N53" i="9"/>
  <c r="H53" i="9"/>
  <c r="E53" i="9"/>
  <c r="Q50" i="9"/>
  <c r="N50" i="9"/>
  <c r="H50" i="9"/>
  <c r="E50" i="9"/>
  <c r="Q48" i="9"/>
  <c r="N48" i="9"/>
  <c r="H48" i="9"/>
  <c r="E48" i="9"/>
  <c r="Q46" i="9"/>
  <c r="N46" i="9"/>
  <c r="H46" i="9"/>
  <c r="E46" i="9"/>
  <c r="Q43" i="9"/>
  <c r="N43" i="9"/>
  <c r="H43" i="9"/>
  <c r="E43" i="9"/>
  <c r="Q41" i="9"/>
  <c r="N41" i="9"/>
  <c r="H41" i="9"/>
  <c r="E41" i="9"/>
  <c r="Q39" i="9"/>
  <c r="N39" i="9"/>
  <c r="H39" i="9"/>
  <c r="E39" i="9"/>
  <c r="Q37" i="9"/>
  <c r="N37" i="9"/>
  <c r="H37" i="9"/>
  <c r="E37" i="9"/>
  <c r="Q36" i="9"/>
  <c r="N36" i="9"/>
  <c r="H36" i="9"/>
  <c r="E36" i="9"/>
  <c r="Q35" i="9"/>
  <c r="N35" i="9"/>
  <c r="H35" i="9"/>
  <c r="E35" i="9"/>
  <c r="Q34" i="9"/>
  <c r="N34" i="9"/>
  <c r="H34" i="9"/>
  <c r="E34" i="9"/>
  <c r="Q33" i="9"/>
  <c r="N33" i="9"/>
  <c r="H33" i="9"/>
  <c r="E33" i="9"/>
  <c r="Q32" i="9"/>
  <c r="N32" i="9"/>
  <c r="H32" i="9"/>
  <c r="E32" i="9"/>
  <c r="Q31" i="9"/>
  <c r="N31" i="9"/>
  <c r="H31" i="9"/>
  <c r="E31" i="9"/>
  <c r="Q28" i="9"/>
  <c r="N28" i="9"/>
  <c r="H28" i="9"/>
  <c r="E28" i="9"/>
  <c r="Q26" i="9"/>
  <c r="N26" i="9"/>
  <c r="H26" i="9"/>
  <c r="E26" i="9"/>
  <c r="Q24" i="9"/>
  <c r="N24" i="9"/>
  <c r="H24" i="9"/>
  <c r="E24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5" i="9"/>
  <c r="N15" i="9"/>
  <c r="H15" i="9"/>
  <c r="E15" i="9"/>
  <c r="Q14" i="9"/>
  <c r="N14" i="9"/>
  <c r="H14" i="9"/>
  <c r="E14" i="9"/>
  <c r="Q11" i="9"/>
  <c r="N11" i="9"/>
  <c r="H11" i="9"/>
  <c r="E11" i="9"/>
  <c r="Q9" i="9"/>
  <c r="N9" i="9"/>
  <c r="H9" i="9"/>
  <c r="E9" i="9"/>
  <c r="Q7" i="9"/>
  <c r="N7" i="9"/>
  <c r="H7" i="9"/>
  <c r="E7" i="9"/>
  <c r="Q6" i="9"/>
  <c r="N6" i="9"/>
  <c r="H6" i="9"/>
  <c r="E6" i="9"/>
  <c r="P59" i="9"/>
  <c r="L59" i="9"/>
  <c r="G59" i="9"/>
  <c r="C59" i="9"/>
  <c r="P58" i="9"/>
  <c r="L58" i="9"/>
  <c r="G58" i="9"/>
  <c r="C58" i="9"/>
  <c r="P57" i="9"/>
  <c r="L57" i="9"/>
  <c r="G57" i="9"/>
  <c r="C57" i="9"/>
  <c r="P56" i="9"/>
  <c r="L56" i="9"/>
  <c r="G56" i="9"/>
  <c r="C56" i="9"/>
  <c r="P55" i="9"/>
  <c r="L55" i="9"/>
  <c r="G55" i="9"/>
  <c r="C55" i="9"/>
  <c r="P54" i="9"/>
  <c r="L54" i="9"/>
  <c r="G54" i="9"/>
  <c r="C54" i="9"/>
  <c r="P53" i="9"/>
  <c r="L53" i="9"/>
  <c r="G53" i="9"/>
  <c r="C53" i="9"/>
  <c r="P50" i="9"/>
  <c r="L50" i="9"/>
  <c r="G50" i="9"/>
  <c r="C50" i="9"/>
  <c r="P48" i="9"/>
  <c r="L48" i="9"/>
  <c r="G48" i="9"/>
  <c r="C48" i="9"/>
  <c r="P46" i="9"/>
  <c r="L46" i="9"/>
  <c r="G46" i="9"/>
  <c r="C46" i="9"/>
  <c r="P43" i="9"/>
  <c r="L43" i="9"/>
  <c r="G43" i="9"/>
  <c r="C43" i="9"/>
  <c r="P41" i="9"/>
  <c r="L41" i="9"/>
  <c r="G41" i="9"/>
  <c r="C41" i="9"/>
  <c r="P39" i="9"/>
  <c r="L39" i="9"/>
  <c r="G39" i="9"/>
  <c r="C39" i="9"/>
  <c r="P37" i="9"/>
  <c r="L37" i="9"/>
  <c r="G37" i="9"/>
  <c r="C37" i="9"/>
  <c r="P36" i="9"/>
  <c r="L36" i="9"/>
  <c r="G36" i="9"/>
  <c r="C36" i="9"/>
  <c r="P35" i="9"/>
  <c r="L35" i="9"/>
  <c r="G35" i="9"/>
  <c r="C35" i="9"/>
  <c r="P34" i="9"/>
  <c r="L34" i="9"/>
  <c r="G34" i="9"/>
  <c r="C34" i="9"/>
  <c r="P33" i="9"/>
  <c r="L33" i="9"/>
  <c r="G33" i="9"/>
  <c r="C33" i="9"/>
  <c r="P32" i="9"/>
  <c r="L32" i="9"/>
  <c r="G32" i="9"/>
  <c r="C32" i="9"/>
  <c r="P31" i="9"/>
  <c r="L31" i="9"/>
  <c r="G31" i="9"/>
  <c r="C31" i="9"/>
  <c r="P28" i="9"/>
  <c r="L28" i="9"/>
  <c r="G28" i="9"/>
  <c r="C28" i="9"/>
  <c r="P26" i="9"/>
  <c r="L26" i="9"/>
  <c r="G26" i="9"/>
  <c r="C26" i="9"/>
  <c r="P24" i="9"/>
  <c r="L24" i="9"/>
  <c r="G24" i="9"/>
  <c r="C24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5" i="9"/>
  <c r="L15" i="9"/>
  <c r="G15" i="9"/>
  <c r="C15" i="9"/>
  <c r="P14" i="9"/>
  <c r="L14" i="9"/>
  <c r="G14" i="9"/>
  <c r="C14" i="9"/>
  <c r="P11" i="9"/>
  <c r="L11" i="9"/>
  <c r="G11" i="9"/>
  <c r="C11" i="9"/>
  <c r="P9" i="9"/>
  <c r="L9" i="9"/>
  <c r="G9" i="9"/>
  <c r="C9" i="9"/>
  <c r="P7" i="9"/>
  <c r="L7" i="9"/>
  <c r="G7" i="9"/>
  <c r="C7" i="9"/>
  <c r="P6" i="9"/>
  <c r="L6" i="9"/>
  <c r="G6" i="9"/>
  <c r="C6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C5" i="8"/>
  <c r="B5" i="8"/>
  <c r="L4" i="8"/>
  <c r="K4" i="8"/>
  <c r="J4" i="8"/>
  <c r="I4" i="8"/>
  <c r="H4" i="8"/>
  <c r="G4" i="8"/>
  <c r="F4" i="8"/>
  <c r="C4" i="8"/>
  <c r="B4" i="8"/>
  <c r="M31" i="7"/>
  <c r="L31" i="7"/>
  <c r="O32" i="7"/>
  <c r="J32" i="7"/>
  <c r="E32" i="7"/>
  <c r="C31" i="7"/>
  <c r="B31" i="7"/>
  <c r="D11" i="7"/>
  <c r="C11" i="7"/>
  <c r="B11" i="7"/>
  <c r="D10" i="7"/>
  <c r="C10" i="7"/>
  <c r="B10" i="7"/>
  <c r="C6" i="7"/>
  <c r="B6" i="7"/>
  <c r="C5" i="7"/>
  <c r="B5" i="7"/>
  <c r="F47" i="15"/>
  <c r="C47" i="15"/>
  <c r="F46" i="15"/>
  <c r="C46" i="15"/>
  <c r="G35" i="15"/>
  <c r="F35" i="15"/>
  <c r="D35" i="15"/>
  <c r="C35" i="15"/>
  <c r="B35" i="15"/>
  <c r="K31" i="15"/>
  <c r="J31" i="15"/>
  <c r="I31" i="15"/>
  <c r="H31" i="15"/>
  <c r="G31" i="15"/>
  <c r="F31" i="15"/>
  <c r="D31" i="15"/>
  <c r="C31" i="15"/>
  <c r="B31" i="15"/>
  <c r="K30" i="15"/>
  <c r="I30" i="15"/>
  <c r="H30" i="15"/>
  <c r="G30" i="15"/>
  <c r="F30" i="15"/>
  <c r="D30" i="15"/>
  <c r="C30" i="15"/>
  <c r="B30" i="15"/>
  <c r="K26" i="15"/>
  <c r="J26" i="15"/>
  <c r="I26" i="15"/>
  <c r="H26" i="15"/>
  <c r="G26" i="15"/>
  <c r="F26" i="15"/>
  <c r="D26" i="15"/>
  <c r="C26" i="15"/>
  <c r="B26" i="15"/>
  <c r="K25" i="15"/>
  <c r="J25" i="15"/>
  <c r="I25" i="15"/>
  <c r="H25" i="15"/>
  <c r="G25" i="15"/>
  <c r="F25" i="15"/>
  <c r="D25" i="15"/>
  <c r="C25" i="15"/>
  <c r="B25" i="15"/>
  <c r="K19" i="15"/>
  <c r="J19" i="15"/>
  <c r="I19" i="15"/>
  <c r="H19" i="15"/>
  <c r="G19" i="15"/>
  <c r="F19" i="15"/>
  <c r="D19" i="15"/>
  <c r="C19" i="15"/>
  <c r="B19" i="15"/>
  <c r="K18" i="15"/>
  <c r="J18" i="15"/>
  <c r="I18" i="15"/>
  <c r="H18" i="15"/>
  <c r="G18" i="15"/>
  <c r="F18" i="15"/>
  <c r="D18" i="15"/>
  <c r="C18" i="15"/>
  <c r="B18" i="15"/>
  <c r="K16" i="15"/>
  <c r="J16" i="15"/>
  <c r="I16" i="15"/>
  <c r="H16" i="15"/>
  <c r="G16" i="15"/>
  <c r="F16" i="15"/>
  <c r="D16" i="15"/>
  <c r="C16" i="15"/>
  <c r="B16" i="15"/>
  <c r="K15" i="15"/>
  <c r="J15" i="15"/>
  <c r="I15" i="15"/>
  <c r="H15" i="15"/>
  <c r="G15" i="15"/>
  <c r="F15" i="15"/>
  <c r="D15" i="15"/>
  <c r="C15" i="15"/>
  <c r="B15" i="15"/>
  <c r="K11" i="15"/>
  <c r="J11" i="15"/>
  <c r="I11" i="15"/>
  <c r="H11" i="15"/>
  <c r="G11" i="15"/>
  <c r="F11" i="15"/>
  <c r="D11" i="15"/>
  <c r="C11" i="15"/>
  <c r="B11" i="15"/>
  <c r="K10" i="15"/>
  <c r="J10" i="15"/>
  <c r="I10" i="15"/>
  <c r="H10" i="15"/>
  <c r="G10" i="15"/>
  <c r="F10" i="15"/>
  <c r="D10" i="15"/>
  <c r="C10" i="15"/>
  <c r="B10" i="15"/>
  <c r="K6" i="15"/>
  <c r="J6" i="15"/>
  <c r="I6" i="15"/>
  <c r="H6" i="15"/>
  <c r="G6" i="15"/>
  <c r="F6" i="15"/>
  <c r="D6" i="15"/>
  <c r="C6" i="15"/>
  <c r="B6" i="15"/>
  <c r="K5" i="15"/>
  <c r="J5" i="15"/>
  <c r="I5" i="15"/>
  <c r="H5" i="15"/>
  <c r="G5" i="15"/>
  <c r="F5" i="15"/>
  <c r="D5" i="15"/>
  <c r="C5" i="15"/>
  <c r="B5" i="15"/>
  <c r="D45" i="4"/>
  <c r="B45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D37" i="1"/>
  <c r="D36" i="1"/>
  <c r="B37" i="1"/>
  <c r="B36" i="1"/>
  <c r="G63" i="9" l="1"/>
  <c r="H63" i="9"/>
  <c r="N31" i="7"/>
  <c r="D31" i="7"/>
  <c r="O31" i="7" l="1"/>
  <c r="M30" i="7"/>
  <c r="L30" i="7"/>
  <c r="J31" i="7"/>
  <c r="E31" i="7"/>
  <c r="C30" i="7"/>
  <c r="B30" i="7"/>
  <c r="J17" i="3" l="1"/>
  <c r="N30" i="7"/>
  <c r="D30" i="7"/>
  <c r="M29" i="7"/>
  <c r="L29" i="7"/>
  <c r="O30" i="7"/>
  <c r="J30" i="7"/>
  <c r="C29" i="7"/>
  <c r="B29" i="7"/>
  <c r="E30" i="7"/>
  <c r="G29" i="7" l="1"/>
  <c r="O29" i="7"/>
  <c r="J29" i="7"/>
  <c r="E29" i="7"/>
  <c r="M27" i="7" l="1"/>
  <c r="L27" i="7"/>
  <c r="O28" i="7"/>
  <c r="J28" i="7"/>
  <c r="C27" i="7"/>
  <c r="B27" i="7"/>
  <c r="E28" i="7"/>
  <c r="D27" i="7" l="1"/>
  <c r="G27" i="7"/>
  <c r="H27" i="7"/>
  <c r="R22" i="9"/>
  <c r="I22" i="9"/>
  <c r="F22" i="9"/>
  <c r="I27" i="7" l="1"/>
  <c r="O22" i="9"/>
  <c r="D36" i="15"/>
  <c r="C26" i="7" l="1"/>
  <c r="B26" i="7"/>
  <c r="J27" i="7" l="1"/>
  <c r="O27" i="7" l="1"/>
  <c r="M26" i="7"/>
  <c r="H26" i="7" s="1"/>
  <c r="L26" i="7"/>
  <c r="E27" i="7"/>
  <c r="C63" i="9" l="1"/>
  <c r="E63" i="9"/>
  <c r="L63" i="9"/>
  <c r="N63" i="9"/>
  <c r="P63" i="9"/>
  <c r="Q63" i="9"/>
  <c r="N26" i="7"/>
  <c r="M16" i="8"/>
  <c r="G26" i="7"/>
  <c r="I26" i="7" s="1"/>
  <c r="D26" i="7"/>
  <c r="G11" i="2"/>
  <c r="F11" i="2"/>
  <c r="F6" i="2"/>
  <c r="G6" i="2" l="1"/>
  <c r="I7" i="15"/>
  <c r="I12" i="15"/>
  <c r="G17" i="2"/>
  <c r="I28" i="9"/>
  <c r="R31" i="9" l="1"/>
  <c r="O31" i="9"/>
  <c r="R28" i="9"/>
  <c r="F28" i="9"/>
  <c r="O28" i="9"/>
  <c r="G21" i="2"/>
  <c r="G23" i="2" s="1"/>
  <c r="D22" i="3" l="1"/>
  <c r="E7" i="3"/>
  <c r="E44" i="3"/>
  <c r="E12" i="3"/>
  <c r="F26" i="9"/>
  <c r="D12" i="3"/>
  <c r="E18" i="3"/>
  <c r="E40" i="3"/>
  <c r="E22" i="3"/>
  <c r="E43" i="3"/>
  <c r="D7" i="3"/>
  <c r="D43" i="3"/>
  <c r="D35" i="3"/>
  <c r="E35" i="3"/>
  <c r="D40" i="3"/>
  <c r="D44" i="3"/>
  <c r="I26" i="9"/>
  <c r="R26" i="9"/>
  <c r="D18" i="3"/>
  <c r="D30" i="3"/>
  <c r="E30" i="3"/>
  <c r="O26" i="9"/>
  <c r="I9" i="9"/>
  <c r="R9" i="9"/>
  <c r="O9" i="9"/>
  <c r="F9" i="9"/>
  <c r="J26" i="7"/>
  <c r="O26" i="7"/>
  <c r="O25" i="7"/>
  <c r="M25" i="7"/>
  <c r="L25" i="7"/>
  <c r="E26" i="7"/>
  <c r="E25" i="7"/>
  <c r="C25" i="7"/>
  <c r="B25" i="7"/>
  <c r="D23" i="3" l="1"/>
  <c r="E45" i="3"/>
  <c r="E23" i="3"/>
  <c r="D45" i="3"/>
  <c r="N25" i="7"/>
  <c r="D25" i="7"/>
  <c r="J24" i="7"/>
  <c r="J25" i="7"/>
  <c r="J30" i="16" l="1"/>
  <c r="J18" i="16"/>
  <c r="J6" i="16"/>
  <c r="J23" i="16"/>
  <c r="J11" i="16" l="1"/>
  <c r="J37" i="16"/>
  <c r="O24" i="7"/>
  <c r="M23" i="7"/>
  <c r="L23" i="7"/>
  <c r="E24" i="7"/>
  <c r="C23" i="7"/>
  <c r="B23" i="7"/>
  <c r="N16" i="16" l="1"/>
  <c r="H23" i="7"/>
  <c r="G23" i="7"/>
  <c r="N23" i="7"/>
  <c r="D23" i="7"/>
  <c r="I23" i="7" l="1"/>
  <c r="G18" i="8"/>
  <c r="G10" i="8"/>
  <c r="G28" i="8" l="1"/>
  <c r="G6" i="8"/>
  <c r="G12" i="8" s="1"/>
  <c r="G32" i="8"/>
  <c r="G23" i="8"/>
  <c r="G31" i="8"/>
  <c r="G33" i="8" l="1"/>
  <c r="O23" i="7"/>
  <c r="M22" i="7"/>
  <c r="L22" i="7"/>
  <c r="J23" i="7"/>
  <c r="C22" i="7"/>
  <c r="B22" i="7"/>
  <c r="E23" i="7"/>
  <c r="N22" i="7" l="1"/>
  <c r="M5" i="8"/>
  <c r="I7" i="9"/>
  <c r="D22" i="7"/>
  <c r="I7" i="4" l="1"/>
  <c r="I12" i="4"/>
  <c r="I20" i="4"/>
  <c r="I32" i="4"/>
  <c r="I41" i="4"/>
  <c r="I37" i="4" l="1"/>
  <c r="I40" i="4"/>
  <c r="I17" i="4"/>
  <c r="I21" i="4" s="1"/>
  <c r="I27" i="4"/>
  <c r="I42" i="4" l="1"/>
  <c r="R57" i="9"/>
  <c r="I57" i="9"/>
  <c r="O22" i="7"/>
  <c r="J22" i="7"/>
  <c r="F57" i="9" l="1"/>
  <c r="O57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F41" i="4" l="1"/>
  <c r="F20" i="4"/>
  <c r="F17" i="4"/>
  <c r="F40" i="4"/>
  <c r="F7" i="4"/>
  <c r="F27" i="4"/>
  <c r="F12" i="4"/>
  <c r="F32" i="4"/>
  <c r="F37" i="4"/>
  <c r="F21" i="4" l="1"/>
  <c r="F42" i="4"/>
  <c r="N13" i="9"/>
  <c r="E13" i="9"/>
  <c r="R5" i="9"/>
  <c r="O5" i="9"/>
  <c r="I5" i="9"/>
  <c r="F5" i="9"/>
  <c r="P4" i="9"/>
  <c r="H4" i="9"/>
  <c r="F20" i="9"/>
  <c r="F18" i="9"/>
  <c r="O21" i="7"/>
  <c r="J21" i="7"/>
  <c r="E21" i="7"/>
  <c r="K36" i="15"/>
  <c r="J36" i="15"/>
  <c r="I36" i="15"/>
  <c r="H36" i="15"/>
  <c r="G36" i="15"/>
  <c r="F36" i="15"/>
  <c r="C36" i="15"/>
  <c r="B36" i="15"/>
  <c r="K35" i="15"/>
  <c r="J35" i="15"/>
  <c r="I35" i="15"/>
  <c r="H35" i="15"/>
  <c r="J30" i="15"/>
  <c r="O19" i="9" l="1"/>
  <c r="Q13" i="9"/>
  <c r="G17" i="9"/>
  <c r="H17" i="9"/>
  <c r="O7" i="9"/>
  <c r="H13" i="9"/>
  <c r="P17" i="9"/>
  <c r="Q17" i="9"/>
  <c r="F21" i="9"/>
  <c r="F23" i="9"/>
  <c r="F24" i="9"/>
  <c r="R19" i="9"/>
  <c r="I21" i="9"/>
  <c r="R21" i="9"/>
  <c r="I23" i="9"/>
  <c r="R23" i="9"/>
  <c r="I24" i="9"/>
  <c r="R24" i="9"/>
  <c r="I19" i="9"/>
  <c r="I6" i="9"/>
  <c r="F7" i="9"/>
  <c r="F19" i="9"/>
  <c r="O6" i="9"/>
  <c r="C17" i="9"/>
  <c r="L4" i="9"/>
  <c r="F14" i="9"/>
  <c r="R14" i="9"/>
  <c r="G4" i="9"/>
  <c r="L17" i="9"/>
  <c r="N17" i="9"/>
  <c r="E17" i="9"/>
  <c r="R7" i="9"/>
  <c r="I14" i="9"/>
  <c r="O14" i="9"/>
  <c r="Q4" i="9"/>
  <c r="E4" i="9"/>
  <c r="C4" i="9"/>
  <c r="R6" i="9"/>
  <c r="N4" i="9"/>
  <c r="F6" i="9"/>
  <c r="O21" i="9"/>
  <c r="O23" i="9"/>
  <c r="O24" i="9"/>
  <c r="J7" i="15"/>
  <c r="K23" i="16"/>
  <c r="I40" i="15"/>
  <c r="F21" i="2"/>
  <c r="F35" i="2"/>
  <c r="G30" i="2"/>
  <c r="G40" i="2"/>
  <c r="J37" i="15"/>
  <c r="K30" i="16"/>
  <c r="K6" i="16"/>
  <c r="I17" i="15"/>
  <c r="I27" i="15"/>
  <c r="I37" i="15"/>
  <c r="G43" i="2"/>
  <c r="I32" i="15"/>
  <c r="K37" i="16"/>
  <c r="F17" i="2"/>
  <c r="F30" i="2"/>
  <c r="F40" i="2"/>
  <c r="J32" i="15"/>
  <c r="J12" i="15"/>
  <c r="J27" i="15"/>
  <c r="J17" i="15"/>
  <c r="I41" i="15"/>
  <c r="G35" i="2"/>
  <c r="K18" i="16"/>
  <c r="I20" i="15"/>
  <c r="J40" i="15"/>
  <c r="J20" i="15"/>
  <c r="K11" i="16"/>
  <c r="J41" i="15"/>
  <c r="F43" i="2"/>
  <c r="G44" i="2"/>
  <c r="F44" i="2"/>
  <c r="F4" i="9" l="1"/>
  <c r="F17" i="9"/>
  <c r="I21" i="15"/>
  <c r="F45" i="2"/>
  <c r="I42" i="15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F35" i="3"/>
  <c r="H35" i="3"/>
  <c r="E32" i="4"/>
  <c r="B32" i="15"/>
  <c r="D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J12" i="4"/>
  <c r="C12" i="15"/>
  <c r="E12" i="15"/>
  <c r="B7" i="15"/>
  <c r="K7" i="15"/>
  <c r="J49" i="3"/>
  <c r="H51" i="2" s="1"/>
  <c r="R37" i="9"/>
  <c r="R58" i="9"/>
  <c r="O32" i="9"/>
  <c r="I31" i="9"/>
  <c r="I48" i="9"/>
  <c r="F43" i="9"/>
  <c r="O33" i="7"/>
  <c r="J33" i="7"/>
  <c r="E33" i="7"/>
  <c r="I47" i="2"/>
  <c r="L45" i="15"/>
  <c r="L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M37" i="16"/>
  <c r="H18" i="3"/>
  <c r="H23" i="3" s="1"/>
  <c r="C17" i="4"/>
  <c r="J37" i="4"/>
  <c r="I37" i="16"/>
  <c r="D32" i="8"/>
  <c r="H37" i="16"/>
  <c r="R59" i="9"/>
  <c r="B18" i="3"/>
  <c r="E17" i="15"/>
  <c r="B37" i="16"/>
  <c r="F37" i="16"/>
  <c r="H45" i="9"/>
  <c r="H44" i="3"/>
  <c r="J48" i="3"/>
  <c r="H50" i="2" s="1"/>
  <c r="I50" i="2" s="1"/>
  <c r="D30" i="16"/>
  <c r="H30" i="16"/>
  <c r="F34" i="9"/>
  <c r="O56" i="9"/>
  <c r="F58" i="9"/>
  <c r="F32" i="9"/>
  <c r="M11" i="16"/>
  <c r="E41" i="15"/>
  <c r="J41" i="4"/>
  <c r="C23" i="16"/>
  <c r="K28" i="8"/>
  <c r="B22" i="3"/>
  <c r="J20" i="4"/>
  <c r="J17" i="4"/>
  <c r="B46" i="4"/>
  <c r="B47" i="4" s="1"/>
  <c r="N45" i="9"/>
  <c r="B44" i="3"/>
  <c r="D44" i="2"/>
  <c r="B18" i="8"/>
  <c r="O20" i="9"/>
  <c r="L18" i="16"/>
  <c r="O35" i="9"/>
  <c r="R53" i="9"/>
  <c r="D6" i="16"/>
  <c r="G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I18" i="16"/>
  <c r="O41" i="9"/>
  <c r="R41" i="9"/>
  <c r="R39" i="9"/>
  <c r="R50" i="9"/>
  <c r="F39" i="9"/>
  <c r="I35" i="9"/>
  <c r="F54" i="9"/>
  <c r="E6" i="2"/>
  <c r="D7" i="15"/>
  <c r="F12" i="15"/>
  <c r="I22" i="3"/>
  <c r="I23" i="3" s="1"/>
  <c r="B17" i="15"/>
  <c r="B21" i="15" s="1"/>
  <c r="B12" i="7"/>
  <c r="J6" i="8"/>
  <c r="J12" i="8" s="1"/>
  <c r="D20" i="1"/>
  <c r="L32" i="8"/>
  <c r="K41" i="15"/>
  <c r="F41" i="15"/>
  <c r="B41" i="15"/>
  <c r="D41" i="4"/>
  <c r="C28" i="8"/>
  <c r="E40" i="15"/>
  <c r="J40" i="4"/>
  <c r="H18" i="16"/>
  <c r="F53" i="9"/>
  <c r="O43" i="9"/>
  <c r="E43" i="2"/>
  <c r="B43" i="2"/>
  <c r="G32" i="15"/>
  <c r="C32" i="15"/>
  <c r="G44" i="3"/>
  <c r="B23" i="16"/>
  <c r="I18" i="9"/>
  <c r="R54" i="9"/>
  <c r="R20" i="9"/>
  <c r="G11" i="16"/>
  <c r="F6" i="16"/>
  <c r="B6" i="16"/>
  <c r="I11" i="16"/>
  <c r="E11" i="16"/>
  <c r="H6" i="16"/>
  <c r="H12" i="15"/>
  <c r="G12" i="4"/>
  <c r="G12" i="3"/>
  <c r="C21" i="2"/>
  <c r="C23" i="2" s="1"/>
  <c r="G20" i="4"/>
  <c r="H17" i="15"/>
  <c r="D17" i="15"/>
  <c r="D21" i="15" s="1"/>
  <c r="D32" i="4"/>
  <c r="I35" i="3"/>
  <c r="C35" i="3"/>
  <c r="L23" i="8"/>
  <c r="D23" i="8"/>
  <c r="K27" i="15"/>
  <c r="F27" i="15"/>
  <c r="J28" i="3"/>
  <c r="H28" i="2" s="1"/>
  <c r="I28" i="2" s="1"/>
  <c r="B5" i="5" s="1"/>
  <c r="J23" i="8"/>
  <c r="H33" i="8"/>
  <c r="C30" i="16"/>
  <c r="G30" i="16"/>
  <c r="H52" i="9"/>
  <c r="I59" i="9"/>
  <c r="G7" i="3"/>
  <c r="D7" i="7"/>
  <c r="K6" i="8"/>
  <c r="K12" i="8" s="1"/>
  <c r="C44" i="3"/>
  <c r="E32" i="15"/>
  <c r="J32" i="4"/>
  <c r="D27" i="4"/>
  <c r="L18" i="8"/>
  <c r="D18" i="8"/>
  <c r="F31" i="8"/>
  <c r="H23" i="16"/>
  <c r="I11" i="9"/>
  <c r="I58" i="9"/>
  <c r="I32" i="9"/>
  <c r="G6" i="16"/>
  <c r="C6" i="16"/>
  <c r="E6" i="16"/>
  <c r="F7" i="3"/>
  <c r="I7" i="3"/>
  <c r="C7" i="3"/>
  <c r="B6" i="8"/>
  <c r="B12" i="8" s="1"/>
  <c r="B40" i="4"/>
  <c r="E23" i="16"/>
  <c r="I23" i="16"/>
  <c r="I43" i="9"/>
  <c r="F37" i="9"/>
  <c r="O33" i="9"/>
  <c r="O59" i="9"/>
  <c r="O54" i="9"/>
  <c r="R11" i="9"/>
  <c r="R36" i="9"/>
  <c r="J7" i="4"/>
  <c r="C7" i="4"/>
  <c r="J10" i="3"/>
  <c r="H9" i="2" s="1"/>
  <c r="B17" i="2"/>
  <c r="D21" i="1"/>
  <c r="G41" i="15"/>
  <c r="L36" i="15"/>
  <c r="K36" i="4" s="1"/>
  <c r="L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R43" i="9"/>
  <c r="R48" i="9"/>
  <c r="H7" i="15"/>
  <c r="K12" i="15"/>
  <c r="D12" i="4"/>
  <c r="C12" i="3"/>
  <c r="C22" i="3"/>
  <c r="G40" i="3"/>
  <c r="C40" i="2"/>
  <c r="O37" i="9"/>
  <c r="C52" i="9"/>
  <c r="R34" i="9"/>
  <c r="E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30" i="9"/>
  <c r="L52" i="9"/>
  <c r="E6" i="7"/>
  <c r="C7" i="1" s="1"/>
  <c r="J11" i="3"/>
  <c r="H10" i="2" s="1"/>
  <c r="I10" i="2" s="1"/>
  <c r="E11" i="7"/>
  <c r="C18" i="1" s="1"/>
  <c r="N4" i="16"/>
  <c r="N5" i="16"/>
  <c r="L26" i="15"/>
  <c r="K26" i="4" s="1"/>
  <c r="L26" i="4" s="1"/>
  <c r="C6" i="5" s="1"/>
  <c r="C40" i="3"/>
  <c r="B23" i="8"/>
  <c r="L23" i="16"/>
  <c r="P30" i="9"/>
  <c r="R56" i="9"/>
  <c r="D37" i="4"/>
  <c r="B40" i="15"/>
  <c r="J20" i="3"/>
  <c r="H19" i="2" s="1"/>
  <c r="I19" i="2" s="1"/>
  <c r="M8" i="8"/>
  <c r="G43" i="3"/>
  <c r="B27" i="4"/>
  <c r="L19" i="15"/>
  <c r="K19" i="4" s="1"/>
  <c r="L19" i="4" s="1"/>
  <c r="D31" i="8"/>
  <c r="I41" i="9"/>
  <c r="I50" i="9"/>
  <c r="Q45" i="9"/>
  <c r="I54" i="9"/>
  <c r="R33" i="9"/>
  <c r="D7" i="4"/>
  <c r="J39" i="3"/>
  <c r="H39" i="2" s="1"/>
  <c r="I39" i="2" s="1"/>
  <c r="B16" i="5" s="1"/>
  <c r="B32" i="4"/>
  <c r="E35" i="2"/>
  <c r="B35" i="2"/>
  <c r="F23" i="8"/>
  <c r="D43" i="2"/>
  <c r="F23" i="16"/>
  <c r="L11" i="16"/>
  <c r="K20" i="15"/>
  <c r="K21" i="15" s="1"/>
  <c r="C40" i="4"/>
  <c r="C31" i="8"/>
  <c r="F43" i="3"/>
  <c r="B41" i="4"/>
  <c r="C32" i="4"/>
  <c r="B18" i="16"/>
  <c r="F18" i="16"/>
  <c r="N21" i="16"/>
  <c r="I55" i="9"/>
  <c r="N30" i="9"/>
  <c r="O36" i="9"/>
  <c r="Q52" i="9"/>
  <c r="O53" i="9"/>
  <c r="F35" i="9"/>
  <c r="H7" i="3"/>
  <c r="C6" i="2"/>
  <c r="E7" i="15"/>
  <c r="G7" i="15"/>
  <c r="E7" i="4"/>
  <c r="J16" i="3"/>
  <c r="H15" i="2" s="1"/>
  <c r="I15" i="2" s="1"/>
  <c r="H40" i="15"/>
  <c r="R55" i="9"/>
  <c r="P52" i="9"/>
  <c r="D6" i="8"/>
  <c r="D12" i="8" s="1"/>
  <c r="C19" i="1"/>
  <c r="M27" i="8"/>
  <c r="D16" i="5" s="1"/>
  <c r="C44" i="2"/>
  <c r="G23" i="16"/>
  <c r="R32" i="9"/>
  <c r="Q30" i="9"/>
  <c r="J5" i="3"/>
  <c r="H4" i="2" s="1"/>
  <c r="I4" i="2" s="1"/>
  <c r="B5" i="1" s="1"/>
  <c r="C7" i="15"/>
  <c r="L5" i="15"/>
  <c r="K5" i="4" s="1"/>
  <c r="L5" i="4" s="1"/>
  <c r="B6" i="1" s="1"/>
  <c r="L16" i="15"/>
  <c r="K16" i="4" s="1"/>
  <c r="L16" i="4" s="1"/>
  <c r="F20" i="15"/>
  <c r="F21" i="15" s="1"/>
  <c r="I30" i="3"/>
  <c r="I43" i="3"/>
  <c r="E30" i="9"/>
  <c r="F31" i="9"/>
  <c r="J34" i="3"/>
  <c r="H34" i="2" s="1"/>
  <c r="I34" i="2" s="1"/>
  <c r="B11" i="5" s="1"/>
  <c r="J29" i="3"/>
  <c r="H29" i="2" s="1"/>
  <c r="F12" i="3"/>
  <c r="G35" i="3"/>
  <c r="L31" i="15"/>
  <c r="K31" i="4" s="1"/>
  <c r="F18" i="8"/>
  <c r="C30" i="2"/>
  <c r="I40" i="3"/>
  <c r="I44" i="3"/>
  <c r="M9" i="8"/>
  <c r="I30" i="16"/>
  <c r="N28" i="16"/>
  <c r="N17" i="16"/>
  <c r="G18" i="16"/>
  <c r="D23" i="16"/>
  <c r="G40" i="4"/>
  <c r="G37" i="4"/>
  <c r="J38" i="3"/>
  <c r="H38" i="2" s="1"/>
  <c r="F40" i="3"/>
  <c r="F28" i="8"/>
  <c r="F32" i="8"/>
  <c r="D5" i="5"/>
  <c r="G37" i="15"/>
  <c r="L18" i="15"/>
  <c r="K18" i="4" s="1"/>
  <c r="J32" i="8"/>
  <c r="F41" i="9"/>
  <c r="N10" i="16"/>
  <c r="B11" i="16"/>
  <c r="I51" i="2"/>
  <c r="J21" i="3"/>
  <c r="H20" i="2" s="1"/>
  <c r="I20" i="2" s="1"/>
  <c r="G22" i="3"/>
  <c r="G41" i="4"/>
  <c r="M26" i="8"/>
  <c r="D15" i="5" s="1"/>
  <c r="C37" i="15"/>
  <c r="G30" i="3"/>
  <c r="L46" i="15"/>
  <c r="K44" i="4" s="1"/>
  <c r="L44" i="4" s="1"/>
  <c r="L37" i="16"/>
  <c r="F50" i="9"/>
  <c r="I39" i="9"/>
  <c r="O34" i="9"/>
  <c r="O55" i="9"/>
  <c r="F56" i="9"/>
  <c r="F55" i="9"/>
  <c r="F11" i="16"/>
  <c r="L47" i="15"/>
  <c r="K45" i="4" s="1"/>
  <c r="L45" i="4" s="1"/>
  <c r="F22" i="3"/>
  <c r="F23" i="3" s="1"/>
  <c r="B21" i="2"/>
  <c r="K37" i="15"/>
  <c r="E37" i="4"/>
  <c r="L30" i="15"/>
  <c r="K30" i="4" s="1"/>
  <c r="L30" i="4" s="1"/>
  <c r="C10" i="5" s="1"/>
  <c r="H27" i="15"/>
  <c r="M22" i="8"/>
  <c r="D11" i="5" s="1"/>
  <c r="G27" i="15"/>
  <c r="C41" i="15"/>
  <c r="E41" i="4"/>
  <c r="F30" i="3"/>
  <c r="M17" i="8"/>
  <c r="E30" i="16"/>
  <c r="O11" i="9"/>
  <c r="G37" i="16"/>
  <c r="O48" i="9"/>
  <c r="R35" i="9"/>
  <c r="I6" i="16"/>
  <c r="H11" i="16"/>
  <c r="D11" i="16"/>
  <c r="D6" i="2"/>
  <c r="L6" i="15"/>
  <c r="K6" i="4" s="1"/>
  <c r="L6" i="4" s="1"/>
  <c r="C6" i="1" s="1"/>
  <c r="E11" i="2"/>
  <c r="B11" i="2"/>
  <c r="B12" i="3"/>
  <c r="E20" i="15"/>
  <c r="C20" i="4"/>
  <c r="E37" i="15"/>
  <c r="B37" i="15"/>
  <c r="M21" i="8"/>
  <c r="D27" i="15"/>
  <c r="G27" i="4"/>
  <c r="I53" i="9"/>
  <c r="F48" i="9"/>
  <c r="I37" i="9"/>
  <c r="O58" i="9"/>
  <c r="F33" i="9"/>
  <c r="M6" i="16"/>
  <c r="J6" i="3"/>
  <c r="H5" i="2" s="1"/>
  <c r="I5" i="2" s="1"/>
  <c r="C5" i="1" s="1"/>
  <c r="B7" i="3"/>
  <c r="F7" i="15"/>
  <c r="G7" i="4"/>
  <c r="C7" i="7"/>
  <c r="I12" i="3"/>
  <c r="D17" i="2"/>
  <c r="D23" i="2" s="1"/>
  <c r="C17" i="15"/>
  <c r="E17" i="4"/>
  <c r="C12" i="7"/>
  <c r="D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9" i="9"/>
  <c r="I56" i="9"/>
  <c r="G52" i="9"/>
  <c r="I36" i="9"/>
  <c r="G30" i="9"/>
  <c r="I33" i="9"/>
  <c r="H30" i="9"/>
  <c r="B6" i="2"/>
  <c r="H16" i="2"/>
  <c r="D41" i="15"/>
  <c r="D37" i="15"/>
  <c r="C41" i="4"/>
  <c r="C40" i="15"/>
  <c r="L25" i="15"/>
  <c r="K25" i="4" s="1"/>
  <c r="C27" i="15"/>
  <c r="E40" i="4"/>
  <c r="E27" i="4"/>
  <c r="M30" i="16"/>
  <c r="N27" i="16"/>
  <c r="D18" i="16"/>
  <c r="M23" i="16"/>
  <c r="N22" i="16"/>
  <c r="E37" i="16"/>
  <c r="N34" i="16"/>
  <c r="E52" i="9"/>
  <c r="J12" i="5"/>
  <c r="J21" i="5"/>
  <c r="M4" i="8"/>
  <c r="B19" i="1" s="1"/>
  <c r="C6" i="8"/>
  <c r="K31" i="8"/>
  <c r="K23" i="8"/>
  <c r="C32" i="8"/>
  <c r="F11" i="9"/>
  <c r="B43" i="3"/>
  <c r="C11" i="16"/>
  <c r="N9" i="16"/>
  <c r="B12" i="15"/>
  <c r="L10" i="15"/>
  <c r="K10" i="4" s="1"/>
  <c r="F40" i="15"/>
  <c r="L35" i="15"/>
  <c r="K35" i="4" s="1"/>
  <c r="F37" i="15"/>
  <c r="E44" i="2"/>
  <c r="E30" i="2"/>
  <c r="B44" i="2"/>
  <c r="B30" i="2"/>
  <c r="J33" i="3"/>
  <c r="H33" i="2" s="1"/>
  <c r="C18" i="8"/>
  <c r="D37" i="16"/>
  <c r="C37" i="16"/>
  <c r="N35" i="16"/>
  <c r="O18" i="9"/>
  <c r="O39" i="9"/>
  <c r="O50" i="9"/>
  <c r="L11" i="15"/>
  <c r="K11" i="4" s="1"/>
  <c r="L11" i="4" s="1"/>
  <c r="D12" i="15"/>
  <c r="F36" i="9"/>
  <c r="R18" i="9"/>
  <c r="L15" i="15"/>
  <c r="K15" i="4" s="1"/>
  <c r="C30" i="9"/>
  <c r="E45" i="9"/>
  <c r="N52" i="9"/>
  <c r="L6" i="16"/>
  <c r="B7" i="7"/>
  <c r="F32" i="15"/>
  <c r="C43" i="2"/>
  <c r="C35" i="2"/>
  <c r="D21" i="4"/>
  <c r="C18" i="16"/>
  <c r="I34" i="9"/>
  <c r="I20" i="9"/>
  <c r="B7" i="4"/>
  <c r="C12" i="4"/>
  <c r="H12" i="3"/>
  <c r="C18" i="3"/>
  <c r="E10" i="7"/>
  <c r="B18" i="1" s="1"/>
  <c r="C37" i="4"/>
  <c r="H43" i="3"/>
  <c r="H30" i="3"/>
  <c r="C30" i="3"/>
  <c r="C43" i="3"/>
  <c r="H64" i="9" l="1"/>
  <c r="H62" i="9" s="1"/>
  <c r="C32" i="7"/>
  <c r="B32" i="7"/>
  <c r="N64" i="9"/>
  <c r="N62" i="9" s="1"/>
  <c r="E64" i="9"/>
  <c r="E62" i="9" s="1"/>
  <c r="Q64" i="9"/>
  <c r="Q62" i="9" s="1"/>
  <c r="F20" i="1"/>
  <c r="F21" i="1"/>
  <c r="G21" i="4"/>
  <c r="O30" i="9"/>
  <c r="F52" i="9"/>
  <c r="G21" i="15"/>
  <c r="B23" i="3"/>
  <c r="B42" i="15"/>
  <c r="J42" i="4"/>
  <c r="K42" i="15"/>
  <c r="K7" i="4"/>
  <c r="L7" i="4" s="1"/>
  <c r="J21" i="4"/>
  <c r="I45" i="3"/>
  <c r="O52" i="9"/>
  <c r="R17" i="9"/>
  <c r="C21" i="4"/>
  <c r="B23" i="2"/>
  <c r="B33" i="1"/>
  <c r="M10" i="8"/>
  <c r="H45" i="3"/>
  <c r="I17" i="9"/>
  <c r="J33" i="8"/>
  <c r="E21" i="15"/>
  <c r="G45" i="3"/>
  <c r="D45" i="2"/>
  <c r="C45" i="3"/>
  <c r="L12" i="8"/>
  <c r="G23" i="3"/>
  <c r="B33" i="8"/>
  <c r="G42" i="15"/>
  <c r="H21" i="15"/>
  <c r="E42" i="15"/>
  <c r="B42" i="4"/>
  <c r="D7" i="1"/>
  <c r="H17" i="2"/>
  <c r="I17" i="2" s="1"/>
  <c r="R30" i="9"/>
  <c r="J12" i="3"/>
  <c r="J44" i="3"/>
  <c r="E45" i="2"/>
  <c r="L33" i="8"/>
  <c r="E21" i="4"/>
  <c r="D17" i="5"/>
  <c r="F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J35" i="3"/>
  <c r="J40" i="3"/>
  <c r="H44" i="2"/>
  <c r="I44" i="2" s="1"/>
  <c r="L32" i="15"/>
  <c r="L25" i="4"/>
  <c r="C5" i="5" s="1"/>
  <c r="J30" i="3"/>
  <c r="N6" i="16"/>
  <c r="J7" i="3"/>
  <c r="M23" i="8"/>
  <c r="B21" i="4"/>
  <c r="M18" i="8"/>
  <c r="L20" i="15"/>
  <c r="D6" i="1"/>
  <c r="M31" i="8"/>
  <c r="E12" i="7"/>
  <c r="C8" i="1"/>
  <c r="N11" i="16"/>
  <c r="J22" i="5"/>
  <c r="I29" i="2"/>
  <c r="B6" i="5" s="1"/>
  <c r="B7" i="5" s="1"/>
  <c r="L7" i="15"/>
  <c r="H21" i="2"/>
  <c r="I21" i="2" s="1"/>
  <c r="G42" i="4"/>
  <c r="N23" i="16"/>
  <c r="K32" i="4"/>
  <c r="L32" i="4" s="1"/>
  <c r="C37" i="1"/>
  <c r="H42" i="15"/>
  <c r="J22" i="3"/>
  <c r="R52" i="9"/>
  <c r="E23" i="2"/>
  <c r="L27" i="15"/>
  <c r="B16" i="1"/>
  <c r="C17" i="1"/>
  <c r="N37" i="16"/>
  <c r="K41" i="4"/>
  <c r="L41" i="4" s="1"/>
  <c r="N18" i="16"/>
  <c r="D19" i="1"/>
  <c r="H6" i="2"/>
  <c r="I6" i="2" s="1"/>
  <c r="D5" i="1" s="1"/>
  <c r="B8" i="1"/>
  <c r="I30" i="9"/>
  <c r="L17" i="15"/>
  <c r="K20" i="4"/>
  <c r="L20" i="4" s="1"/>
  <c r="L18" i="4"/>
  <c r="M32" i="8"/>
  <c r="E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F30" i="9"/>
  <c r="H35" i="2"/>
  <c r="I35" i="2" s="1"/>
  <c r="H43" i="2"/>
  <c r="D6" i="5"/>
  <c r="I33" i="2"/>
  <c r="B10" i="5" s="1"/>
  <c r="K33" i="8"/>
  <c r="L37" i="15"/>
  <c r="J18" i="3"/>
  <c r="C23" i="3"/>
  <c r="K17" i="4"/>
  <c r="L15" i="4"/>
  <c r="D10" i="5"/>
  <c r="C12" i="8"/>
  <c r="M6" i="8"/>
  <c r="E42" i="4"/>
  <c r="C42" i="15"/>
  <c r="L40" i="15"/>
  <c r="D42" i="15"/>
  <c r="L41" i="15"/>
  <c r="C33" i="8"/>
  <c r="O17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2"/>
  <c r="C16" i="1" s="1"/>
  <c r="C42" i="4"/>
  <c r="L12" i="15"/>
  <c r="B45" i="3"/>
  <c r="J43" i="3"/>
  <c r="I52" i="9"/>
  <c r="D32" i="7" l="1"/>
  <c r="F31" i="7"/>
  <c r="F30" i="7"/>
  <c r="D29" i="7"/>
  <c r="F29" i="7" s="1"/>
  <c r="F26" i="7"/>
  <c r="F25" i="7"/>
  <c r="F23" i="7"/>
  <c r="F18" i="1"/>
  <c r="F22" i="7"/>
  <c r="M12" i="8"/>
  <c r="B10" i="1"/>
  <c r="L21" i="15"/>
  <c r="D21" i="7"/>
  <c r="F21" i="7" s="1"/>
  <c r="F19" i="1"/>
  <c r="F6" i="1"/>
  <c r="H45" i="2"/>
  <c r="I45" i="2" s="1"/>
  <c r="B32" i="1"/>
  <c r="J45" i="3"/>
  <c r="F7" i="1"/>
  <c r="H23" i="2"/>
  <c r="I23" i="2" s="1"/>
  <c r="B27" i="1"/>
  <c r="B21" i="5"/>
  <c r="B28" i="1"/>
  <c r="K42" i="4"/>
  <c r="L42" i="4" s="1"/>
  <c r="L42" i="15"/>
  <c r="J23" i="3"/>
  <c r="C11" i="1"/>
  <c r="M32" i="7" s="1"/>
  <c r="H32" i="7" s="1"/>
  <c r="C33" i="1"/>
  <c r="B17" i="1"/>
  <c r="D17" i="1" s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C7" i="5"/>
  <c r="E5" i="5"/>
  <c r="F32" i="7" l="1"/>
  <c r="H30" i="7"/>
  <c r="H31" i="7"/>
  <c r="H29" i="7"/>
  <c r="D10" i="1"/>
  <c r="F27" i="7"/>
  <c r="H25" i="7"/>
  <c r="H22" i="7"/>
  <c r="C32" i="1"/>
  <c r="B11" i="1"/>
  <c r="L32" i="7" s="1"/>
  <c r="D28" i="1"/>
  <c r="B22" i="1"/>
  <c r="B29" i="1"/>
  <c r="H21" i="7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N32" i="7" l="1"/>
  <c r="P32" i="7" s="1"/>
  <c r="G32" i="7"/>
  <c r="P31" i="7"/>
  <c r="G31" i="7"/>
  <c r="P30" i="7"/>
  <c r="G30" i="7"/>
  <c r="I30" i="7" s="1"/>
  <c r="K30" i="7" s="1"/>
  <c r="N29" i="7"/>
  <c r="P29" i="7" s="1"/>
  <c r="D11" i="1"/>
  <c r="F11" i="1" s="1"/>
  <c r="F10" i="1"/>
  <c r="N27" i="7"/>
  <c r="P27" i="7" s="1"/>
  <c r="K26" i="7"/>
  <c r="P26" i="7"/>
  <c r="P25" i="7"/>
  <c r="G25" i="7"/>
  <c r="I25" i="7" s="1"/>
  <c r="K25" i="7" s="1"/>
  <c r="P23" i="7"/>
  <c r="K23" i="7"/>
  <c r="F28" i="1"/>
  <c r="N21" i="7"/>
  <c r="P21" i="7" s="1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32" i="7" l="1"/>
  <c r="I31" i="7"/>
  <c r="I29" i="7"/>
  <c r="K29" i="7" s="1"/>
  <c r="G22" i="7"/>
  <c r="I22" i="7" s="1"/>
  <c r="K22" i="7" s="1"/>
  <c r="I21" i="7"/>
  <c r="F22" i="5"/>
  <c r="H22" i="5" s="1"/>
  <c r="H20" i="5"/>
  <c r="K32" i="7" l="1"/>
  <c r="K31" i="7"/>
  <c r="K27" i="7"/>
  <c r="P22" i="7"/>
  <c r="K21" i="7"/>
  <c r="R4" i="9" l="1"/>
  <c r="O4" i="9"/>
  <c r="I4" i="9" l="1"/>
  <c r="F15" i="9" l="1"/>
  <c r="C13" i="9"/>
  <c r="F13" i="9" s="1"/>
  <c r="G13" i="9"/>
  <c r="I13" i="9" s="1"/>
  <c r="I15" i="9"/>
  <c r="I63" i="9" l="1"/>
  <c r="L13" i="9"/>
  <c r="O13" i="9" s="1"/>
  <c r="O15" i="9"/>
  <c r="R15" i="9"/>
  <c r="P13" i="9"/>
  <c r="R13" i="9" s="1"/>
  <c r="F63" i="9"/>
  <c r="D54" i="9"/>
  <c r="R63" i="9" l="1"/>
  <c r="M54" i="9"/>
  <c r="O63" i="9"/>
  <c r="O46" i="9" l="1"/>
  <c r="L45" i="9"/>
  <c r="R46" i="9"/>
  <c r="P45" i="9"/>
  <c r="P64" i="9" s="1"/>
  <c r="I46" i="9"/>
  <c r="G45" i="9"/>
  <c r="C45" i="9"/>
  <c r="C64" i="9" s="1"/>
  <c r="F46" i="9"/>
  <c r="G64" i="9" l="1"/>
  <c r="D28" i="9"/>
  <c r="D22" i="9"/>
  <c r="L64" i="9"/>
  <c r="R45" i="9"/>
  <c r="O45" i="9"/>
  <c r="F45" i="9"/>
  <c r="D26" i="9"/>
  <c r="I45" i="9"/>
  <c r="M28" i="9" l="1"/>
  <c r="M22" i="9"/>
  <c r="M26" i="9"/>
  <c r="M31" i="9"/>
  <c r="M9" i="9"/>
  <c r="D45" i="9"/>
  <c r="D9" i="9"/>
  <c r="M57" i="9"/>
  <c r="M15" i="9"/>
  <c r="M13" i="9"/>
  <c r="M6" i="9"/>
  <c r="M5" i="9"/>
  <c r="M48" i="9"/>
  <c r="M41" i="9"/>
  <c r="M14" i="9"/>
  <c r="M39" i="9"/>
  <c r="M19" i="9"/>
  <c r="M18" i="9"/>
  <c r="M50" i="9"/>
  <c r="O64" i="9"/>
  <c r="M53" i="9"/>
  <c r="M55" i="9"/>
  <c r="M23" i="9"/>
  <c r="M52" i="9"/>
  <c r="M21" i="9"/>
  <c r="M37" i="9"/>
  <c r="M4" i="9"/>
  <c r="L62" i="9"/>
  <c r="M20" i="9"/>
  <c r="M56" i="9"/>
  <c r="M43" i="9"/>
  <c r="M30" i="9"/>
  <c r="M59" i="9"/>
  <c r="M64" i="9"/>
  <c r="M36" i="9"/>
  <c r="M63" i="9"/>
  <c r="M11" i="9"/>
  <c r="M24" i="9"/>
  <c r="M33" i="9"/>
  <c r="M34" i="9"/>
  <c r="M7" i="9"/>
  <c r="M58" i="9"/>
  <c r="M17" i="9"/>
  <c r="M35" i="9"/>
  <c r="M32" i="9"/>
  <c r="M46" i="9"/>
  <c r="R64" i="9"/>
  <c r="P62" i="9"/>
  <c r="M45" i="9"/>
  <c r="I64" i="9"/>
  <c r="G62" i="9"/>
  <c r="D13" i="9"/>
  <c r="D64" i="9"/>
  <c r="D59" i="9"/>
  <c r="D50" i="9"/>
  <c r="D57" i="9"/>
  <c r="D56" i="9"/>
  <c r="D32" i="9"/>
  <c r="D21" i="9"/>
  <c r="D15" i="9"/>
  <c r="D17" i="9"/>
  <c r="D52" i="9"/>
  <c r="D41" i="9"/>
  <c r="D39" i="9"/>
  <c r="D5" i="9"/>
  <c r="D19" i="9"/>
  <c r="D30" i="9"/>
  <c r="D36" i="9"/>
  <c r="D18" i="9"/>
  <c r="D7" i="9"/>
  <c r="C62" i="9"/>
  <c r="D58" i="9"/>
  <c r="D55" i="9"/>
  <c r="D4" i="9"/>
  <c r="D53" i="9"/>
  <c r="D33" i="9"/>
  <c r="F64" i="9"/>
  <c r="D63" i="9"/>
  <c r="D6" i="9"/>
  <c r="D31" i="9"/>
  <c r="D34" i="9"/>
  <c r="D35" i="9"/>
  <c r="D37" i="9"/>
  <c r="D48" i="9"/>
  <c r="D20" i="9"/>
  <c r="D24" i="9"/>
  <c r="D11" i="9"/>
  <c r="D14" i="9"/>
  <c r="D43" i="9"/>
  <c r="D23" i="9"/>
  <c r="D46" i="9"/>
  <c r="R62" i="9" l="1"/>
  <c r="I62" i="9"/>
  <c r="M62" i="9"/>
  <c r="O62" i="9"/>
  <c r="F62" i="9"/>
  <c r="D62" i="9"/>
  <c r="C28" i="7" l="1"/>
  <c r="B28" i="7"/>
  <c r="D28" i="7" l="1"/>
  <c r="F28" i="7" s="1"/>
  <c r="M28" i="7"/>
  <c r="H28" i="7" s="1"/>
  <c r="L28" i="7" l="1"/>
  <c r="N28" i="7" s="1"/>
  <c r="P28" i="7" s="1"/>
  <c r="G28" i="7" l="1"/>
  <c r="I28" i="7" s="1"/>
  <c r="K28" i="7" s="1"/>
  <c r="D33" i="1" l="1"/>
  <c r="I16" i="5" l="1"/>
  <c r="B24" i="7"/>
  <c r="C24" i="7"/>
  <c r="C33" i="7" s="1"/>
  <c r="M24" i="7" l="1"/>
  <c r="M33" i="7" s="1"/>
  <c r="D24" i="7"/>
  <c r="B33" i="7"/>
  <c r="H24" i="7" l="1"/>
  <c r="H33" i="7" s="1"/>
  <c r="L24" i="7"/>
  <c r="F24" i="7"/>
  <c r="D33" i="7"/>
  <c r="F33" i="7" s="1"/>
  <c r="L33" i="7" l="1"/>
  <c r="N24" i="7"/>
  <c r="G24" i="7"/>
  <c r="I24" i="7" l="1"/>
  <c r="G33" i="7"/>
  <c r="P24" i="7"/>
  <c r="N33" i="7"/>
  <c r="P33" i="7" s="1"/>
  <c r="G20" i="1" l="1"/>
  <c r="I20" i="1" s="1"/>
  <c r="I6" i="5"/>
  <c r="K24" i="7"/>
  <c r="I33" i="7"/>
  <c r="K33" i="7" s="1"/>
  <c r="I11" i="5" l="1"/>
  <c r="K11" i="5" s="1"/>
  <c r="G5" i="1"/>
  <c r="I15" i="5"/>
  <c r="I10" i="5"/>
  <c r="K6" i="5"/>
  <c r="I21" i="5"/>
  <c r="K21" i="5" s="1"/>
  <c r="D32" i="1"/>
  <c r="I5" i="5"/>
  <c r="G21" i="1"/>
  <c r="I21" i="1" s="1"/>
  <c r="G27" i="1" l="1"/>
  <c r="I20" i="5"/>
  <c r="K5" i="5"/>
  <c r="I7" i="5"/>
  <c r="K7" i="5" s="1"/>
  <c r="D34" i="1"/>
  <c r="E33" i="1" s="1"/>
  <c r="G19" i="1"/>
  <c r="I19" i="1" s="1"/>
  <c r="K10" i="5"/>
  <c r="I12" i="5"/>
  <c r="K12" i="5" s="1"/>
  <c r="G16" i="1"/>
  <c r="G18" i="1"/>
  <c r="I18" i="1" s="1"/>
  <c r="G7" i="1"/>
  <c r="I7" i="1" s="1"/>
  <c r="K15" i="5"/>
  <c r="I17" i="5"/>
  <c r="K17" i="5" s="1"/>
  <c r="I5" i="1"/>
  <c r="G17" i="1"/>
  <c r="I17" i="1" s="1"/>
  <c r="E32" i="1" l="1"/>
  <c r="I16" i="1"/>
  <c r="G22" i="1"/>
  <c r="I22" i="1" s="1"/>
  <c r="I22" i="5"/>
  <c r="K22" i="5" s="1"/>
  <c r="K20" i="5"/>
  <c r="I27" i="1"/>
  <c r="G6" i="1"/>
  <c r="G28" i="1"/>
  <c r="I28" i="1" s="1"/>
  <c r="I6" i="1" l="1"/>
  <c r="G8" i="1"/>
  <c r="G10" i="1"/>
  <c r="I10" i="1" s="1"/>
  <c r="G29" i="1"/>
  <c r="I29" i="1" s="1"/>
  <c r="I8" i="1" l="1"/>
  <c r="G11" i="1"/>
  <c r="I11" i="1" s="1"/>
</calcChain>
</file>

<file path=xl/sharedStrings.xml><?xml version="1.0" encoding="utf-8"?>
<sst xmlns="http://schemas.openxmlformats.org/spreadsheetml/2006/main" count="543" uniqueCount="219">
  <si>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</si>
  <si>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</si>
  <si>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</si>
  <si>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</si>
  <si>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</si>
  <si>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</si>
  <si>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</si>
  <si>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</si>
  <si>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</si>
  <si>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</si>
  <si>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</si>
  <si>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</si>
  <si>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</si>
  <si>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</si>
  <si>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</si>
  <si>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</si>
  <si>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</si>
  <si>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</si>
  <si>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</si>
  <si>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</si>
  <si>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</si>
  <si>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</si>
  <si>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</si>
  <si>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</si>
  <si>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</si>
  <si>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</si>
  <si>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</si>
  <si>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</si>
  <si>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</si>
  <si>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</si>
  <si>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</si>
  <si>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</si>
  <si>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</si>
  <si>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</si>
  <si>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</si>
  <si>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</si>
  <si>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</si>
  <si>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</si>
  <si>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</si>
  <si>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</si>
  <si>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</si>
  <si>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</si>
  <si>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</si>
  <si>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</si>
  <si>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</si>
  <si>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</si>
  <si>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</si>
  <si>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</si>
  <si>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</si>
  <si>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</si>
  <si>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</si>
  <si>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</si>
  <si>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</si>
  <si>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</si>
  <si>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</si>
  <si>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</si>
  <si>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</si>
  <si>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</si>
  <si>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</si>
  <si>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</si>
  <si>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</si>
  <si>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</si>
  <si>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</si>
  <si>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</si>
  <si>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</si>
  <si>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</si>
  <si>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</si>
  <si>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</si>
  <si>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</si>
  <si>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</si>
  <si>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</si>
  <si>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</si>
  <si>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</si>
  <si>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</si>
  <si>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</si>
  <si>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</si>
  <si>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</si>
  <si>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</si>
  <si>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</si>
  <si>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</si>
  <si>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</si>
  <si>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</si>
  <si>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</si>
  <si>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</si>
  <si>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</si>
  <si>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</si>
  <si>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</si>
  <si>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</si>
  <si>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</si>
  <si>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</si>
  <si>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</si>
  <si>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</si>
  <si>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</si>
  <si>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</si>
  <si>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</si>
  <si>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</si>
  <si>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</si>
  <si>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</si>
  <si>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</si>
  <si>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</si>
  <si>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</si>
  <si>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</si>
  <si>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</si>
  <si>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</si>
  <si>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</si>
  <si>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</si>
  <si>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</si>
  <si>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</si>
  <si>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</si>
  <si>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</si>
  <si>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</si>
  <si>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</si>
  <si>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</si>
  <si>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</si>
  <si>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</si>
  <si>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</si>
  <si>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</si>
  <si>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</si>
  <si>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</si>
  <si>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</si>
  <si>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</si>
  <si>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</si>
  <si>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</si>
  <si>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</si>
  <si>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</si>
  <si>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</si>
  <si>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</si>
  <si>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</si>
  <si>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</si>
  <si>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</si>
  <si>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</si>
  <si>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</si>
  <si>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</si>
  <si>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</si>
  <si>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</si>
  <si>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</si>
  <si>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</si>
  <si>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</si>
  <si>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</si>
  <si>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</si>
  <si>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</si>
  <si>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</si>
  <si>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</si>
  <si>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</si>
  <si>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</si>
  <si>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</si>
  <si>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</si>
  <si>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</si>
  <si>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</si>
  <si>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</si>
  <si>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</si>
  <si>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</si>
  <si>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</si>
  <si>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</si>
  <si>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</si>
  <si>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</si>
  <si>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</si>
  <si>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</si>
  <si>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</si>
  <si>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</si>
  <si>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</si>
  <si>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</si>
  <si>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</si>
  <si>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</si>
  <si>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</si>
  <si>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</si>
  <si>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</si>
  <si>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</si>
  <si>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</si>
  <si>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</si>
  <si>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</si>
  <si>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</si>
  <si>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</si>
  <si>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</si>
  <si>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</si>
  <si>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</si>
  <si>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</si>
  <si>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</si>
  <si>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</si>
  <si>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</si>
  <si>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</si>
  <si>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</si>
  <si>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</si>
  <si>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</si>
  <si>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</si>
  <si>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</si>
  <si>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</si>
  <si>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</si>
  <si>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</si>
  <si>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</si>
  <si>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</si>
  <si>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</si>
  <si>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</si>
  <si>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</si>
  <si>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</si>
  <si>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</si>
  <si>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</si>
  <si>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</si>
  <si>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</si>
  <si>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</si>
  <si>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</si>
  <si>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</si>
  <si>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</si>
  <si>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</si>
  <si>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</si>
  <si>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</si>
  <si>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</si>
  <si>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</si>
  <si>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</si>
  <si>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</si>
  <si>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</si>
  <si>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</si>
  <si>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IFL</t>
  </si>
  <si>
    <t>Major</t>
  </si>
  <si>
    <t>Air Choice One</t>
  </si>
  <si>
    <t>Boutique Air</t>
  </si>
  <si>
    <t>PSA - American</t>
  </si>
  <si>
    <t>PSA</t>
  </si>
  <si>
    <t>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</si>
</sst>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8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4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5" xfId="0" applyNumberFormat="1" applyFont="1" applyBorder="1"/>
    <xf numFmtId="10" fontId="13" fillId="0" borderId="76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7" xfId="0" applyNumberFormat="1" applyBorder="1" applyAlignment="1">
      <alignment horizontal="center"/>
    </xf>
    <xf numFmtId="3" fontId="0" fillId="0" borderId="78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41" fontId="3" fillId="5" borderId="5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wrapText="1"/>
    </xf>
    <xf numFmtId="9" fontId="0" fillId="0" borderId="0" xfId="0" applyNumberFormat="1" applyFill="1" applyBorder="1"/>
    <xf numFmtId="0" fontId="1" fillId="0" borderId="15" xfId="0" applyFont="1" applyFill="1" applyBorder="1"/>
    <xf numFmtId="0" fontId="4" fillId="0" borderId="0" xfId="0" applyFont="1" applyFill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2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3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December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pril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y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ne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ly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ugust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September%20201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October%20201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November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2064226</v>
          </cell>
          <cell r="G5">
            <v>26995968</v>
          </cell>
        </row>
        <row r="6">
          <cell r="D6">
            <v>673733</v>
          </cell>
          <cell r="G6">
            <v>8494508</v>
          </cell>
        </row>
        <row r="7">
          <cell r="D7">
            <v>144</v>
          </cell>
          <cell r="G7">
            <v>5233</v>
          </cell>
        </row>
        <row r="10">
          <cell r="D10">
            <v>83946</v>
          </cell>
          <cell r="G10">
            <v>1088426</v>
          </cell>
        </row>
        <row r="16">
          <cell r="D16">
            <v>16024</v>
          </cell>
          <cell r="G16">
            <v>205635</v>
          </cell>
        </row>
        <row r="17">
          <cell r="D17">
            <v>12874</v>
          </cell>
          <cell r="G17">
            <v>162779</v>
          </cell>
        </row>
        <row r="18">
          <cell r="D18">
            <v>4</v>
          </cell>
          <cell r="G18">
            <v>80</v>
          </cell>
        </row>
        <row r="19">
          <cell r="D19">
            <v>1403</v>
          </cell>
          <cell r="G19">
            <v>12789</v>
          </cell>
        </row>
        <row r="20">
          <cell r="D20">
            <v>1874</v>
          </cell>
          <cell r="G20">
            <v>22077</v>
          </cell>
        </row>
        <row r="21">
          <cell r="D21">
            <v>84</v>
          </cell>
          <cell r="G21">
            <v>1252</v>
          </cell>
        </row>
        <row r="27">
          <cell r="D27">
            <v>16785.598874499068</v>
          </cell>
          <cell r="G27">
            <v>182845.80952995896</v>
          </cell>
        </row>
        <row r="28">
          <cell r="D28">
            <v>2141.3274785510298</v>
          </cell>
          <cell r="G28">
            <v>16494.112706466778</v>
          </cell>
        </row>
        <row r="32">
          <cell r="B32">
            <v>814544</v>
          </cell>
          <cell r="D32">
            <v>9752331</v>
          </cell>
        </row>
        <row r="33">
          <cell r="B33">
            <v>573061</v>
          </cell>
          <cell r="D33">
            <v>7979359</v>
          </cell>
        </row>
      </sheetData>
      <sheetData sheetId="1"/>
      <sheetData sheetId="2"/>
      <sheetData sheetId="3"/>
      <sheetData sheetId="4"/>
      <sheetData sheetId="5">
        <row r="32">
          <cell r="D32">
            <v>186089</v>
          </cell>
          <cell r="I32">
            <v>2635960</v>
          </cell>
          <cell r="N32">
            <v>2822049</v>
          </cell>
        </row>
      </sheetData>
      <sheetData sheetId="6"/>
      <sheetData sheetId="7">
        <row r="5">
          <cell r="F5">
            <v>8184.4125253821694</v>
          </cell>
          <cell r="I5">
            <v>80763.199213971136</v>
          </cell>
        </row>
        <row r="6">
          <cell r="F6">
            <v>830.80658877755002</v>
          </cell>
          <cell r="I6">
            <v>7814.6104595227898</v>
          </cell>
        </row>
        <row r="10">
          <cell r="F10">
            <v>8601.1863491169006</v>
          </cell>
          <cell r="I10">
            <v>86898.506847101191</v>
          </cell>
        </row>
        <row r="11">
          <cell r="F11">
            <v>1310.5208897734799</v>
          </cell>
          <cell r="I11">
            <v>7619.3339547217201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16785.598874499068</v>
          </cell>
        </row>
        <row r="21">
          <cell r="F21">
            <v>2141.3274785510298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120288</v>
          </cell>
          <cell r="C24">
            <v>106367</v>
          </cell>
          <cell r="L24">
            <v>1541349</v>
          </cell>
          <cell r="M24">
            <v>1461593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205270</v>
          </cell>
          <cell r="I24">
            <v>2699423</v>
          </cell>
          <cell r="N24">
            <v>2904693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97442</v>
          </cell>
          <cell r="C25">
            <v>100703</v>
          </cell>
          <cell r="L25">
            <v>1591739</v>
          </cell>
          <cell r="M25">
            <v>1572527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198399</v>
          </cell>
          <cell r="I25">
            <v>2835494</v>
          </cell>
          <cell r="N25">
            <v>3033893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120133</v>
          </cell>
          <cell r="C26">
            <v>124700</v>
          </cell>
          <cell r="L26">
            <v>1730350</v>
          </cell>
          <cell r="M26">
            <v>1726520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221901</v>
          </cell>
          <cell r="I26">
            <v>3152360</v>
          </cell>
          <cell r="N26">
            <v>3374261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142826</v>
          </cell>
          <cell r="C27">
            <v>132539</v>
          </cell>
          <cell r="L27">
            <v>1823310</v>
          </cell>
          <cell r="M27">
            <v>1823604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235974</v>
          </cell>
          <cell r="I27">
            <v>3333064</v>
          </cell>
          <cell r="N27">
            <v>3569038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131232</v>
          </cell>
          <cell r="C28">
            <v>123377</v>
          </cell>
          <cell r="L28">
            <v>1776780</v>
          </cell>
          <cell r="M28">
            <v>1768776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237011</v>
          </cell>
          <cell r="I28">
            <v>3290700</v>
          </cell>
          <cell r="N28">
            <v>3527711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25896075</v>
          </cell>
        </row>
        <row r="6">
          <cell r="G6">
            <v>7649115</v>
          </cell>
        </row>
        <row r="7">
          <cell r="G7">
            <v>4893</v>
          </cell>
        </row>
        <row r="10">
          <cell r="G10">
            <v>1069018</v>
          </cell>
        </row>
        <row r="16">
          <cell r="G16">
            <v>196769</v>
          </cell>
        </row>
        <row r="17">
          <cell r="G17">
            <v>148310</v>
          </cell>
        </row>
        <row r="18">
          <cell r="G18">
            <v>67</v>
          </cell>
        </row>
        <row r="19">
          <cell r="G19">
            <v>12787</v>
          </cell>
        </row>
        <row r="20">
          <cell r="G20">
            <v>20915.5</v>
          </cell>
        </row>
        <row r="21">
          <cell r="G21">
            <v>1213</v>
          </cell>
        </row>
        <row r="27">
          <cell r="G27">
            <v>171249.2239072638</v>
          </cell>
        </row>
        <row r="28">
          <cell r="G28">
            <v>14352.778218099264</v>
          </cell>
        </row>
        <row r="32">
          <cell r="D32">
            <v>9626363</v>
          </cell>
        </row>
        <row r="33">
          <cell r="D33">
            <v>7122697</v>
          </cell>
        </row>
      </sheetData>
      <sheetData sheetId="1"/>
      <sheetData sheetId="2"/>
      <sheetData sheetId="3"/>
      <sheetData sheetId="4"/>
      <sheetData sheetId="5">
        <row r="31">
          <cell r="B31">
            <v>73317</v>
          </cell>
          <cell r="C31">
            <v>72638</v>
          </cell>
          <cell r="L31">
            <v>1432615</v>
          </cell>
          <cell r="M31">
            <v>1437733</v>
          </cell>
        </row>
      </sheetData>
      <sheetData sheetId="6"/>
      <sheetData sheetId="7">
        <row r="5">
          <cell r="I5">
            <v>81793.111080744915</v>
          </cell>
        </row>
        <row r="6">
          <cell r="I6">
            <v>5409.880325004714</v>
          </cell>
        </row>
        <row r="10">
          <cell r="I10">
            <v>72593.758865537908</v>
          </cell>
        </row>
        <row r="11">
          <cell r="I11">
            <v>7306.4599992591902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105404</v>
          </cell>
          <cell r="C29">
            <v>101785</v>
          </cell>
          <cell r="L29">
            <v>1542851</v>
          </cell>
          <cell r="M29">
            <v>1536099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200482</v>
          </cell>
          <cell r="I29">
            <v>2806358</v>
          </cell>
          <cell r="N29">
            <v>3006840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99841</v>
          </cell>
          <cell r="C30">
            <v>86529</v>
          </cell>
          <cell r="L30">
            <v>1589462</v>
          </cell>
          <cell r="M30">
            <v>1608359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193439</v>
          </cell>
          <cell r="I30">
            <v>2966040</v>
          </cell>
          <cell r="N30">
            <v>3159479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192752</v>
          </cell>
          <cell r="I31">
            <v>2644598</v>
          </cell>
          <cell r="N31">
            <v>2837350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EW4">
            <v>125</v>
          </cell>
        </row>
        <row r="5">
          <cell r="EW5">
            <v>125</v>
          </cell>
        </row>
        <row r="8">
          <cell r="EW8"/>
        </row>
        <row r="9">
          <cell r="EW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  <cell r="EU19">
            <v>42</v>
          </cell>
          <cell r="EV19">
            <v>210</v>
          </cell>
          <cell r="EW19">
            <v>250</v>
          </cell>
        </row>
        <row r="22">
          <cell r="EW22">
            <v>541</v>
          </cell>
        </row>
        <row r="23">
          <cell r="EW23">
            <v>484</v>
          </cell>
        </row>
        <row r="27">
          <cell r="EW27"/>
        </row>
        <row r="28">
          <cell r="EW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  <cell r="EU41">
            <v>222</v>
          </cell>
          <cell r="EV41">
            <v>813</v>
          </cell>
          <cell r="EW41">
            <v>1025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3"/>
      <sheetData sheetId="4">
        <row r="4">
          <cell r="EW4"/>
        </row>
        <row r="5">
          <cell r="EW5"/>
        </row>
        <row r="8">
          <cell r="EW8"/>
        </row>
        <row r="9">
          <cell r="EW9"/>
        </row>
        <row r="15">
          <cell r="EL15"/>
          <cell r="EM15"/>
          <cell r="EN15"/>
          <cell r="EO15"/>
          <cell r="EP15">
            <v>18</v>
          </cell>
          <cell r="EQ15">
            <v>27</v>
          </cell>
          <cell r="ER15">
            <v>30</v>
          </cell>
          <cell r="ES15">
            <v>31</v>
          </cell>
          <cell r="ET15">
            <v>19</v>
          </cell>
          <cell r="EU15"/>
          <cell r="EV15"/>
          <cell r="EW15"/>
        </row>
        <row r="16">
          <cell r="EL16"/>
          <cell r="EM16"/>
          <cell r="EN16"/>
          <cell r="EO16"/>
          <cell r="EP16">
            <v>18</v>
          </cell>
          <cell r="EQ16">
            <v>27</v>
          </cell>
          <cell r="ER16">
            <v>30</v>
          </cell>
          <cell r="ES16">
            <v>31</v>
          </cell>
          <cell r="ET16">
            <v>19</v>
          </cell>
          <cell r="EU16"/>
          <cell r="EV16"/>
          <cell r="EW16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  <cell r="EU19">
            <v>0</v>
          </cell>
          <cell r="EV19">
            <v>0</v>
          </cell>
          <cell r="EW19">
            <v>0</v>
          </cell>
        </row>
        <row r="22">
          <cell r="EW22"/>
        </row>
        <row r="23">
          <cell r="EW23"/>
        </row>
        <row r="27">
          <cell r="EW27"/>
        </row>
        <row r="28">
          <cell r="EW28"/>
        </row>
        <row r="32">
          <cell r="EL32"/>
          <cell r="EM32"/>
          <cell r="EN32"/>
          <cell r="EO32"/>
          <cell r="EP32">
            <v>4037</v>
          </cell>
          <cell r="EQ32">
            <v>6560</v>
          </cell>
          <cell r="ER32">
            <v>7668</v>
          </cell>
          <cell r="ES32">
            <v>7486</v>
          </cell>
          <cell r="ET32">
            <v>4440</v>
          </cell>
          <cell r="EU32"/>
          <cell r="EV32"/>
          <cell r="EW32"/>
        </row>
        <row r="33">
          <cell r="EL33"/>
          <cell r="EM33"/>
          <cell r="EN33"/>
          <cell r="EO33"/>
          <cell r="EP33"/>
          <cell r="EQ33">
            <v>6560</v>
          </cell>
          <cell r="ER33">
            <v>5537</v>
          </cell>
          <cell r="ES33">
            <v>6583</v>
          </cell>
          <cell r="ET33">
            <v>3974</v>
          </cell>
          <cell r="EU33"/>
          <cell r="EV33"/>
          <cell r="EW33"/>
        </row>
        <row r="37">
          <cell r="EL37"/>
          <cell r="EM37"/>
          <cell r="EN37"/>
          <cell r="EO37"/>
          <cell r="EP37">
            <v>9</v>
          </cell>
          <cell r="EQ37">
            <v>11</v>
          </cell>
          <cell r="ER37">
            <v>15</v>
          </cell>
          <cell r="ES37">
            <v>8</v>
          </cell>
          <cell r="ET37">
            <v>12</v>
          </cell>
          <cell r="EU37"/>
          <cell r="EV37"/>
          <cell r="EW37"/>
        </row>
        <row r="38">
          <cell r="EL38"/>
          <cell r="EM38"/>
          <cell r="EN38"/>
          <cell r="EO38"/>
          <cell r="EP38">
            <v>5</v>
          </cell>
          <cell r="EQ38">
            <v>6</v>
          </cell>
          <cell r="ER38">
            <v>5</v>
          </cell>
          <cell r="ES38">
            <v>5</v>
          </cell>
          <cell r="ET38">
            <v>7</v>
          </cell>
          <cell r="EU38"/>
          <cell r="EV38"/>
          <cell r="EW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  <cell r="EU41">
            <v>0</v>
          </cell>
          <cell r="EV41">
            <v>0</v>
          </cell>
          <cell r="EW41">
            <v>0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5"/>
      <sheetData sheetId="6">
        <row r="4">
          <cell r="EW4">
            <v>57</v>
          </cell>
        </row>
        <row r="5">
          <cell r="EW5">
            <v>57</v>
          </cell>
        </row>
        <row r="8">
          <cell r="EW8"/>
        </row>
        <row r="9">
          <cell r="EW9"/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  <cell r="EG19">
            <v>124</v>
          </cell>
          <cell r="EH19">
            <v>116</v>
          </cell>
          <cell r="EI19">
            <v>92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  <cell r="EU19">
            <v>128</v>
          </cell>
          <cell r="EV19">
            <v>96</v>
          </cell>
          <cell r="EW19">
            <v>114</v>
          </cell>
        </row>
        <row r="22">
          <cell r="EW22">
            <v>7772</v>
          </cell>
        </row>
        <row r="23">
          <cell r="EW23">
            <v>8297</v>
          </cell>
        </row>
        <row r="27">
          <cell r="EW27">
            <v>279</v>
          </cell>
        </row>
        <row r="28">
          <cell r="EW28">
            <v>334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  <cell r="EG41">
            <v>18239</v>
          </cell>
          <cell r="EH41">
            <v>17442</v>
          </cell>
          <cell r="EI41">
            <v>14407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  <cell r="EU41">
            <v>18552</v>
          </cell>
          <cell r="EV41">
            <v>14945</v>
          </cell>
          <cell r="EW41">
            <v>16069</v>
          </cell>
        </row>
        <row r="47">
          <cell r="EW47">
            <v>12370</v>
          </cell>
        </row>
        <row r="48">
          <cell r="EW48"/>
        </row>
        <row r="52">
          <cell r="EW52">
            <v>8217</v>
          </cell>
        </row>
        <row r="53">
          <cell r="EW53"/>
        </row>
        <row r="57">
          <cell r="EW57"/>
        </row>
        <row r="58">
          <cell r="EW58"/>
        </row>
      </sheetData>
      <sheetData sheetId="7"/>
      <sheetData sheetId="8">
        <row r="4">
          <cell r="EW4">
            <v>740</v>
          </cell>
        </row>
        <row r="5">
          <cell r="EW5">
            <v>742</v>
          </cell>
        </row>
        <row r="8">
          <cell r="EW8"/>
        </row>
        <row r="9">
          <cell r="EW9"/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  <cell r="EG19">
            <v>627</v>
          </cell>
          <cell r="EH19">
            <v>1384</v>
          </cell>
          <cell r="EI19">
            <v>656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  <cell r="EU19">
            <v>1500</v>
          </cell>
          <cell r="EV19">
            <v>1415</v>
          </cell>
          <cell r="EW19">
            <v>1482</v>
          </cell>
        </row>
        <row r="22">
          <cell r="EW22">
            <v>82331</v>
          </cell>
        </row>
        <row r="23">
          <cell r="EW23">
            <v>84338</v>
          </cell>
        </row>
        <row r="27">
          <cell r="EW27">
            <v>3667</v>
          </cell>
        </row>
        <row r="28">
          <cell r="EW28">
            <v>3704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  <cell r="EG41">
            <v>80838</v>
          </cell>
          <cell r="EH41">
            <v>173992</v>
          </cell>
          <cell r="EI41">
            <v>160717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  <cell r="EU41">
            <v>186655</v>
          </cell>
          <cell r="EV41">
            <v>159070</v>
          </cell>
          <cell r="EW41">
            <v>166669</v>
          </cell>
        </row>
        <row r="47">
          <cell r="EW47">
            <v>41375</v>
          </cell>
        </row>
        <row r="48">
          <cell r="EW48">
            <v>63083</v>
          </cell>
        </row>
        <row r="52">
          <cell r="EW52">
            <v>14017</v>
          </cell>
        </row>
        <row r="53">
          <cell r="EW53">
            <v>39944</v>
          </cell>
        </row>
        <row r="57">
          <cell r="EW57"/>
        </row>
        <row r="58">
          <cell r="EW58"/>
        </row>
      </sheetData>
      <sheetData sheetId="9"/>
      <sheetData sheetId="10">
        <row r="4">
          <cell r="EW4">
            <v>818</v>
          </cell>
        </row>
        <row r="5">
          <cell r="EW5">
            <v>806</v>
          </cell>
        </row>
        <row r="8">
          <cell r="EW8">
            <v>42</v>
          </cell>
        </row>
        <row r="9">
          <cell r="EW9">
            <v>41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  <cell r="EP15">
            <v>18</v>
          </cell>
          <cell r="EQ15">
            <v>8</v>
          </cell>
          <cell r="ER15">
            <v>7</v>
          </cell>
          <cell r="ES15">
            <v>4</v>
          </cell>
          <cell r="ET15">
            <v>3</v>
          </cell>
          <cell r="EU15">
            <v>21</v>
          </cell>
          <cell r="EV15">
            <v>33</v>
          </cell>
          <cell r="EW15">
            <v>99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  <cell r="EP16">
            <v>15</v>
          </cell>
          <cell r="EQ16">
            <v>8</v>
          </cell>
          <cell r="ER16">
            <v>8</v>
          </cell>
          <cell r="ES16">
            <v>1</v>
          </cell>
          <cell r="ET16">
            <v>4</v>
          </cell>
          <cell r="EU16">
            <v>21</v>
          </cell>
          <cell r="EV16">
            <v>35</v>
          </cell>
          <cell r="EW16">
            <v>107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  <cell r="EG19">
            <v>1367</v>
          </cell>
          <cell r="EH19">
            <v>1430</v>
          </cell>
          <cell r="EI19">
            <v>1717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  <cell r="EU19">
            <v>1523</v>
          </cell>
          <cell r="EV19">
            <v>1585</v>
          </cell>
          <cell r="EW19">
            <v>1913</v>
          </cell>
        </row>
        <row r="22">
          <cell r="EW22">
            <v>88594</v>
          </cell>
        </row>
        <row r="23">
          <cell r="EW23">
            <v>92925</v>
          </cell>
        </row>
        <row r="27">
          <cell r="EW27">
            <v>1948</v>
          </cell>
        </row>
        <row r="28">
          <cell r="EW28">
            <v>1875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  <cell r="EP32">
            <v>2549</v>
          </cell>
          <cell r="EQ32">
            <v>1837</v>
          </cell>
          <cell r="ER32">
            <v>1556</v>
          </cell>
          <cell r="ES32">
            <v>1314</v>
          </cell>
          <cell r="ET32">
            <v>765</v>
          </cell>
          <cell r="EU32">
            <v>2368</v>
          </cell>
          <cell r="EV32">
            <v>3853</v>
          </cell>
          <cell r="EW32">
            <v>8846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  <cell r="EQ33">
            <v>1832</v>
          </cell>
          <cell r="ER33">
            <v>1486</v>
          </cell>
          <cell r="ES33">
            <v>1369</v>
          </cell>
          <cell r="ET33">
            <v>805</v>
          </cell>
          <cell r="EU33">
            <v>2572</v>
          </cell>
          <cell r="EV33">
            <v>4660</v>
          </cell>
          <cell r="EW33">
            <v>12803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  <cell r="EP37">
            <v>24</v>
          </cell>
          <cell r="EQ37">
            <v>4</v>
          </cell>
          <cell r="ER37">
            <v>11</v>
          </cell>
          <cell r="ES37">
            <v>1</v>
          </cell>
          <cell r="ET37">
            <v>6</v>
          </cell>
          <cell r="EU37">
            <v>34</v>
          </cell>
          <cell r="EV37">
            <v>68</v>
          </cell>
          <cell r="EW37">
            <v>115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  <cell r="EQ38">
            <v>3</v>
          </cell>
          <cell r="ER38">
            <v>11</v>
          </cell>
          <cell r="ES38">
            <v>7</v>
          </cell>
          <cell r="ET38">
            <v>2</v>
          </cell>
          <cell r="EU38">
            <v>37</v>
          </cell>
          <cell r="EV38">
            <v>83</v>
          </cell>
          <cell r="EW38">
            <v>126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  <cell r="EG41">
            <v>147291</v>
          </cell>
          <cell r="EH41">
            <v>152043</v>
          </cell>
          <cell r="EI41">
            <v>181752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  <cell r="EU41">
            <v>160111</v>
          </cell>
          <cell r="EV41">
            <v>170292</v>
          </cell>
          <cell r="EW41">
            <v>203168</v>
          </cell>
        </row>
        <row r="47">
          <cell r="EW47">
            <v>287156</v>
          </cell>
        </row>
        <row r="48">
          <cell r="EW48">
            <v>603412</v>
          </cell>
        </row>
        <row r="52">
          <cell r="EW52">
            <v>238221</v>
          </cell>
        </row>
        <row r="53">
          <cell r="EW53">
            <v>752161</v>
          </cell>
        </row>
        <row r="57">
          <cell r="EW57"/>
        </row>
        <row r="58">
          <cell r="EW58"/>
        </row>
        <row r="70">
          <cell r="EW70">
            <v>90996</v>
          </cell>
        </row>
        <row r="71">
          <cell r="EW71">
            <v>1929</v>
          </cell>
        </row>
        <row r="73">
          <cell r="EW73">
            <v>12753</v>
          </cell>
        </row>
        <row r="74">
          <cell r="EW74">
            <v>50</v>
          </cell>
        </row>
      </sheetData>
      <sheetData sheetId="11">
        <row r="4">
          <cell r="EW4">
            <v>80</v>
          </cell>
        </row>
        <row r="5">
          <cell r="EW5">
            <v>79</v>
          </cell>
        </row>
        <row r="8">
          <cell r="EW8"/>
        </row>
        <row r="9">
          <cell r="EW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  <cell r="EU19">
            <v>156</v>
          </cell>
          <cell r="EV19">
            <v>156</v>
          </cell>
          <cell r="EW19">
            <v>159</v>
          </cell>
        </row>
        <row r="22">
          <cell r="EW22">
            <v>528</v>
          </cell>
        </row>
        <row r="23">
          <cell r="EW23">
            <v>513</v>
          </cell>
        </row>
        <row r="27">
          <cell r="EW27"/>
        </row>
        <row r="28">
          <cell r="EW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  <cell r="EU41">
            <v>1075</v>
          </cell>
          <cell r="EV41">
            <v>1072</v>
          </cell>
          <cell r="EW41">
            <v>1041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12">
        <row r="4">
          <cell r="EX4">
            <v>0</v>
          </cell>
        </row>
        <row r="8">
          <cell r="EW8"/>
        </row>
        <row r="9">
          <cell r="EW9"/>
        </row>
        <row r="15">
          <cell r="EL15"/>
          <cell r="EM15"/>
          <cell r="EN15"/>
          <cell r="EO15"/>
          <cell r="EP15"/>
          <cell r="EQ15">
            <v>13</v>
          </cell>
          <cell r="ER15">
            <v>13</v>
          </cell>
          <cell r="ES15">
            <v>13</v>
          </cell>
          <cell r="ET15">
            <v>3</v>
          </cell>
          <cell r="EU15"/>
          <cell r="EV15"/>
          <cell r="EW15"/>
        </row>
        <row r="16">
          <cell r="EL16"/>
          <cell r="EM16"/>
          <cell r="EN16"/>
          <cell r="EO16"/>
          <cell r="EP16"/>
          <cell r="EQ16">
            <v>13</v>
          </cell>
          <cell r="ER16">
            <v>13</v>
          </cell>
          <cell r="ES16">
            <v>13</v>
          </cell>
          <cell r="ET16">
            <v>3</v>
          </cell>
          <cell r="EU16"/>
          <cell r="EV16"/>
          <cell r="EW16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  <cell r="EU19">
            <v>0</v>
          </cell>
          <cell r="EV19">
            <v>0</v>
          </cell>
          <cell r="EW19">
            <v>0</v>
          </cell>
        </row>
        <row r="22">
          <cell r="EW22"/>
        </row>
        <row r="23">
          <cell r="EW23"/>
        </row>
        <row r="27">
          <cell r="EW27"/>
        </row>
        <row r="28">
          <cell r="EW28"/>
        </row>
        <row r="32">
          <cell r="EL32"/>
          <cell r="EM32"/>
          <cell r="EN32"/>
          <cell r="EO32"/>
          <cell r="EP32"/>
          <cell r="EQ32">
            <v>2622</v>
          </cell>
          <cell r="ER32">
            <v>3223</v>
          </cell>
          <cell r="ES32">
            <v>3194</v>
          </cell>
          <cell r="ET32">
            <v>678</v>
          </cell>
          <cell r="EU32"/>
          <cell r="EV32"/>
          <cell r="EW32"/>
        </row>
        <row r="33">
          <cell r="EL33"/>
          <cell r="EM33"/>
          <cell r="EN33"/>
          <cell r="EO33"/>
          <cell r="EP33"/>
          <cell r="EQ33">
            <v>3106</v>
          </cell>
          <cell r="ER33">
            <v>2622</v>
          </cell>
          <cell r="ES33">
            <v>2859</v>
          </cell>
          <cell r="ET33">
            <v>557</v>
          </cell>
          <cell r="EU33"/>
          <cell r="EV33"/>
          <cell r="EW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  <cell r="EU41">
            <v>0</v>
          </cell>
          <cell r="EV41">
            <v>0</v>
          </cell>
          <cell r="EW41">
            <v>0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13">
        <row r="4">
          <cell r="EW4">
            <v>4739</v>
          </cell>
        </row>
        <row r="5">
          <cell r="EW5">
            <v>4730</v>
          </cell>
        </row>
        <row r="8">
          <cell r="EW8">
            <v>1</v>
          </cell>
        </row>
        <row r="9">
          <cell r="EW9">
            <v>9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  <cell r="EP15">
            <v>273</v>
          </cell>
          <cell r="EQ15">
            <v>398</v>
          </cell>
          <cell r="ER15">
            <v>447</v>
          </cell>
          <cell r="ES15">
            <v>437</v>
          </cell>
          <cell r="ET15">
            <v>359</v>
          </cell>
          <cell r="EU15">
            <v>233</v>
          </cell>
          <cell r="EV15">
            <v>188</v>
          </cell>
          <cell r="EW15">
            <v>318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  <cell r="EP16">
            <v>278</v>
          </cell>
          <cell r="EQ16">
            <v>398</v>
          </cell>
          <cell r="ER16">
            <v>448</v>
          </cell>
          <cell r="ES16">
            <v>436</v>
          </cell>
          <cell r="ET16">
            <v>356</v>
          </cell>
          <cell r="EU16">
            <v>232</v>
          </cell>
          <cell r="EV16">
            <v>187</v>
          </cell>
          <cell r="EW16">
            <v>318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  <cell r="EG19">
            <v>11609</v>
          </cell>
          <cell r="EH19">
            <v>10230</v>
          </cell>
          <cell r="EI19">
            <v>10067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  <cell r="EU19">
            <v>11475</v>
          </cell>
          <cell r="EV19">
            <v>10355</v>
          </cell>
          <cell r="EW19">
            <v>10115</v>
          </cell>
        </row>
        <row r="22">
          <cell r="EW22">
            <v>633893</v>
          </cell>
        </row>
        <row r="23">
          <cell r="EW23">
            <v>635990</v>
          </cell>
        </row>
        <row r="27">
          <cell r="EW27">
            <v>22758</v>
          </cell>
        </row>
        <row r="28">
          <cell r="EW28">
            <v>23073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  <cell r="EP32">
            <v>48803</v>
          </cell>
          <cell r="EQ32">
            <v>75163</v>
          </cell>
          <cell r="ER32">
            <v>86604</v>
          </cell>
          <cell r="ES32">
            <v>82188</v>
          </cell>
          <cell r="ET32">
            <v>63426</v>
          </cell>
          <cell r="EU32">
            <v>48738</v>
          </cell>
          <cell r="EV32">
            <v>34819</v>
          </cell>
          <cell r="EW32">
            <v>48852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  <cell r="EP33">
            <v>53425</v>
          </cell>
          <cell r="EQ33">
            <v>77382</v>
          </cell>
          <cell r="ER33">
            <v>77803</v>
          </cell>
          <cell r="ES33">
            <v>75458</v>
          </cell>
          <cell r="ET33">
            <v>63024</v>
          </cell>
          <cell r="EU33">
            <v>43303</v>
          </cell>
          <cell r="EV33">
            <v>33761</v>
          </cell>
          <cell r="EW33">
            <v>56853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  <cell r="EP37">
            <v>1441</v>
          </cell>
          <cell r="EQ37">
            <v>1936</v>
          </cell>
          <cell r="ER37">
            <v>1924</v>
          </cell>
          <cell r="ES37">
            <v>2251</v>
          </cell>
          <cell r="ET37">
            <v>1832</v>
          </cell>
          <cell r="EU37">
            <v>1681</v>
          </cell>
          <cell r="EV37">
            <v>1500</v>
          </cell>
          <cell r="EW37">
            <v>1667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  <cell r="EP38">
            <v>1228</v>
          </cell>
          <cell r="EQ38">
            <v>1900</v>
          </cell>
          <cell r="ER38">
            <v>2083</v>
          </cell>
          <cell r="ES38">
            <v>2381</v>
          </cell>
          <cell r="ET38">
            <v>1773</v>
          </cell>
          <cell r="EU38">
            <v>1482</v>
          </cell>
          <cell r="EV38">
            <v>1437</v>
          </cell>
          <cell r="EW38">
            <v>1737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  <cell r="EG41">
            <v>1622635</v>
          </cell>
          <cell r="EH41">
            <v>1386686</v>
          </cell>
          <cell r="EI41">
            <v>1358867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  <cell r="EU41">
            <v>1578386</v>
          </cell>
          <cell r="EV41">
            <v>1409111</v>
          </cell>
          <cell r="EW41">
            <v>1375588</v>
          </cell>
        </row>
        <row r="47">
          <cell r="EW47">
            <v>3820366</v>
          </cell>
        </row>
        <row r="48">
          <cell r="EW48">
            <v>1303633</v>
          </cell>
        </row>
        <row r="52">
          <cell r="EW52">
            <v>2194938</v>
          </cell>
        </row>
        <row r="53">
          <cell r="EW53">
            <v>1630584</v>
          </cell>
        </row>
        <row r="57">
          <cell r="EW57"/>
        </row>
        <row r="58">
          <cell r="EW58"/>
        </row>
        <row r="70">
          <cell r="EW70">
            <v>322447</v>
          </cell>
        </row>
        <row r="71">
          <cell r="EW71">
            <v>313543</v>
          </cell>
        </row>
        <row r="73">
          <cell r="EW73">
            <v>28824</v>
          </cell>
        </row>
        <row r="74">
          <cell r="EW74">
            <v>28029</v>
          </cell>
        </row>
      </sheetData>
      <sheetData sheetId="14">
        <row r="4">
          <cell r="EW4">
            <v>87</v>
          </cell>
        </row>
        <row r="5">
          <cell r="EW5">
            <v>87</v>
          </cell>
        </row>
        <row r="8">
          <cell r="EW8"/>
        </row>
        <row r="9">
          <cell r="EW9"/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  <cell r="EG19">
            <v>382</v>
          </cell>
          <cell r="EH19">
            <v>218</v>
          </cell>
          <cell r="EI19">
            <v>224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  <cell r="EU19">
            <v>148</v>
          </cell>
          <cell r="EV19">
            <v>168</v>
          </cell>
          <cell r="EW19">
            <v>174</v>
          </cell>
        </row>
        <row r="22">
          <cell r="EW22">
            <v>13359</v>
          </cell>
        </row>
        <row r="23">
          <cell r="EW23">
            <v>13973</v>
          </cell>
        </row>
        <row r="27">
          <cell r="EW27">
            <v>83</v>
          </cell>
        </row>
        <row r="28">
          <cell r="EW28">
            <v>130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  <cell r="EG41">
            <v>50888</v>
          </cell>
          <cell r="EH41">
            <v>33804</v>
          </cell>
          <cell r="EI41">
            <v>31924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  <cell r="EU41">
            <v>25222</v>
          </cell>
          <cell r="EV41">
            <v>26513</v>
          </cell>
          <cell r="EW41">
            <v>27332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15">
        <row r="4">
          <cell r="EW4"/>
        </row>
        <row r="5">
          <cell r="EW5"/>
        </row>
        <row r="8">
          <cell r="EW8"/>
        </row>
        <row r="9">
          <cell r="EW9"/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  <cell r="EG19">
            <v>204</v>
          </cell>
          <cell r="EH19">
            <v>157</v>
          </cell>
          <cell r="EI19">
            <v>139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22">
          <cell r="EW22"/>
        </row>
        <row r="23">
          <cell r="EW23"/>
        </row>
        <row r="27">
          <cell r="EW27"/>
        </row>
        <row r="28">
          <cell r="EW28"/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  <cell r="EG41">
            <v>841</v>
          </cell>
          <cell r="EH41">
            <v>636</v>
          </cell>
          <cell r="EI41">
            <v>446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16">
        <row r="8">
          <cell r="EW8"/>
        </row>
        <row r="9">
          <cell r="EW9"/>
        </row>
        <row r="15">
          <cell r="EL15">
            <v>6</v>
          </cell>
          <cell r="EM15"/>
          <cell r="EN15"/>
          <cell r="EO15">
            <v>3</v>
          </cell>
          <cell r="EP15">
            <v>24</v>
          </cell>
          <cell r="EQ15">
            <v>30</v>
          </cell>
          <cell r="ER15">
            <v>32</v>
          </cell>
          <cell r="ES15">
            <v>32</v>
          </cell>
          <cell r="ET15">
            <v>26</v>
          </cell>
          <cell r="EU15">
            <v>23</v>
          </cell>
          <cell r="EV15">
            <v>17</v>
          </cell>
          <cell r="EW15">
            <v>16</v>
          </cell>
        </row>
        <row r="16">
          <cell r="EL16">
            <v>6</v>
          </cell>
          <cell r="EM16"/>
          <cell r="EN16"/>
          <cell r="EO16">
            <v>3</v>
          </cell>
          <cell r="EP16">
            <v>24</v>
          </cell>
          <cell r="EQ16">
            <v>30</v>
          </cell>
          <cell r="ER16">
            <v>32</v>
          </cell>
          <cell r="ES16">
            <v>32</v>
          </cell>
          <cell r="ET16">
            <v>26</v>
          </cell>
          <cell r="EU16">
            <v>23</v>
          </cell>
          <cell r="EV16">
            <v>17</v>
          </cell>
          <cell r="EW16">
            <v>16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  <cell r="EG19">
            <v>42</v>
          </cell>
          <cell r="EH19">
            <v>34</v>
          </cell>
          <cell r="EI19">
            <v>32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  <cell r="EU19">
            <v>46</v>
          </cell>
          <cell r="EV19">
            <v>34</v>
          </cell>
          <cell r="EW19">
            <v>32</v>
          </cell>
        </row>
        <row r="32">
          <cell r="EL32">
            <v>888</v>
          </cell>
          <cell r="EM32"/>
          <cell r="EN32"/>
          <cell r="EO32">
            <v>234</v>
          </cell>
          <cell r="EP32">
            <v>3169</v>
          </cell>
          <cell r="EQ32">
            <v>5528</v>
          </cell>
          <cell r="ER32">
            <v>6237</v>
          </cell>
          <cell r="ES32">
            <v>6306</v>
          </cell>
          <cell r="ET32">
            <v>4315</v>
          </cell>
          <cell r="EU32">
            <v>3719</v>
          </cell>
          <cell r="EV32">
            <v>2497</v>
          </cell>
          <cell r="EW32">
            <v>2171</v>
          </cell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  <cell r="EQ33">
            <v>6262</v>
          </cell>
          <cell r="ER33">
            <v>7656</v>
          </cell>
          <cell r="ES33">
            <v>6964</v>
          </cell>
          <cell r="ET33">
            <v>4817</v>
          </cell>
          <cell r="EU33">
            <v>3546</v>
          </cell>
          <cell r="EV33">
            <v>2432</v>
          </cell>
          <cell r="EW33">
            <v>2302</v>
          </cell>
        </row>
        <row r="37">
          <cell r="EL37">
            <v>26</v>
          </cell>
          <cell r="EM37"/>
          <cell r="EN37"/>
          <cell r="EO37">
            <v>8</v>
          </cell>
          <cell r="EP37">
            <v>36</v>
          </cell>
          <cell r="EQ37">
            <v>38</v>
          </cell>
          <cell r="ER37">
            <v>78</v>
          </cell>
          <cell r="ES37">
            <v>67</v>
          </cell>
          <cell r="ET37">
            <v>45</v>
          </cell>
          <cell r="EU37">
            <v>86</v>
          </cell>
          <cell r="EV37">
            <v>96</v>
          </cell>
          <cell r="EW37">
            <v>131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  <cell r="EQ38">
            <v>58</v>
          </cell>
          <cell r="ER38">
            <v>86</v>
          </cell>
          <cell r="ES38">
            <v>84</v>
          </cell>
          <cell r="ET38">
            <v>52</v>
          </cell>
          <cell r="EU38">
            <v>94</v>
          </cell>
          <cell r="EV38">
            <v>93</v>
          </cell>
          <cell r="EW38">
            <v>132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  <cell r="EG41">
            <v>5826</v>
          </cell>
          <cell r="EH41">
            <v>4225</v>
          </cell>
          <cell r="EI41">
            <v>4041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  <cell r="EU41">
            <v>7265</v>
          </cell>
          <cell r="EV41">
            <v>4929</v>
          </cell>
          <cell r="EW41">
            <v>4473</v>
          </cell>
        </row>
        <row r="47">
          <cell r="EW47">
            <v>105661</v>
          </cell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17"/>
      <sheetData sheetId="18"/>
      <sheetData sheetId="19"/>
      <sheetData sheetId="20">
        <row r="19">
          <cell r="EI19">
            <v>0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  <cell r="EG41">
            <v>7835</v>
          </cell>
          <cell r="EH41">
            <v>5910</v>
          </cell>
          <cell r="EI41">
            <v>0</v>
          </cell>
        </row>
      </sheetData>
      <sheetData sheetId="21">
        <row r="4">
          <cell r="EW4">
            <v>649</v>
          </cell>
        </row>
        <row r="5">
          <cell r="EW5">
            <v>650</v>
          </cell>
        </row>
        <row r="8">
          <cell r="EW8">
            <v>5</v>
          </cell>
        </row>
        <row r="9">
          <cell r="EW9"/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  <cell r="EG19">
            <v>1437</v>
          </cell>
          <cell r="EH19">
            <v>1228</v>
          </cell>
          <cell r="EI19">
            <v>1285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  <cell r="EU19">
            <v>1602</v>
          </cell>
          <cell r="EV19">
            <v>1367</v>
          </cell>
          <cell r="EW19">
            <v>1304</v>
          </cell>
        </row>
        <row r="22">
          <cell r="EW22">
            <v>78655</v>
          </cell>
        </row>
        <row r="23">
          <cell r="EW23">
            <v>79324</v>
          </cell>
        </row>
        <row r="27">
          <cell r="EW27">
            <v>1246</v>
          </cell>
        </row>
        <row r="28">
          <cell r="EW28">
            <v>1280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  <cell r="EG41">
            <v>169458</v>
          </cell>
          <cell r="EH41">
            <v>140545</v>
          </cell>
          <cell r="EI41">
            <v>148317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  <cell r="EU41">
            <v>196524</v>
          </cell>
          <cell r="EV41">
            <v>166174</v>
          </cell>
          <cell r="EW41">
            <v>157979</v>
          </cell>
        </row>
        <row r="47">
          <cell r="EW47">
            <v>197657</v>
          </cell>
        </row>
        <row r="48">
          <cell r="EW48"/>
        </row>
        <row r="52">
          <cell r="EW52">
            <v>117253</v>
          </cell>
        </row>
        <row r="53">
          <cell r="EW53"/>
        </row>
        <row r="57">
          <cell r="EW57"/>
        </row>
        <row r="58">
          <cell r="EW58"/>
        </row>
        <row r="70">
          <cell r="EW70">
            <v>78673</v>
          </cell>
        </row>
        <row r="71">
          <cell r="EW71">
            <v>651</v>
          </cell>
        </row>
      </sheetData>
      <sheetData sheetId="22">
        <row r="4">
          <cell r="EW4">
            <v>383</v>
          </cell>
        </row>
        <row r="5">
          <cell r="EW5">
            <v>383</v>
          </cell>
        </row>
        <row r="8">
          <cell r="EW8"/>
        </row>
        <row r="9">
          <cell r="EW9"/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  <cell r="EG19">
            <v>634</v>
          </cell>
          <cell r="EH19">
            <v>634</v>
          </cell>
          <cell r="EI19">
            <v>674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  <cell r="EU19">
            <v>786</v>
          </cell>
          <cell r="EV19">
            <v>730</v>
          </cell>
          <cell r="EW19">
            <v>766</v>
          </cell>
        </row>
        <row r="22">
          <cell r="EW22">
            <v>43965</v>
          </cell>
        </row>
        <row r="23">
          <cell r="EW23">
            <v>49108</v>
          </cell>
        </row>
        <row r="27">
          <cell r="EW27">
            <v>391</v>
          </cell>
        </row>
        <row r="28">
          <cell r="EW28">
            <v>370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  <cell r="EG41">
            <v>89136</v>
          </cell>
          <cell r="EH41">
            <v>87008</v>
          </cell>
          <cell r="EI41">
            <v>105474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  <cell r="EU41">
            <v>102710</v>
          </cell>
          <cell r="EV41">
            <v>87346</v>
          </cell>
          <cell r="EW41">
            <v>93073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23">
        <row r="4">
          <cell r="EW4">
            <v>302</v>
          </cell>
        </row>
        <row r="5">
          <cell r="EW5">
            <v>302</v>
          </cell>
        </row>
        <row r="8">
          <cell r="EW8"/>
        </row>
        <row r="9">
          <cell r="EW9"/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  <cell r="EG19">
            <v>706</v>
          </cell>
          <cell r="EH19">
            <v>584</v>
          </cell>
          <cell r="EI19">
            <v>502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  <cell r="EU19">
            <v>854</v>
          </cell>
          <cell r="EV19">
            <v>756</v>
          </cell>
          <cell r="EW19">
            <v>604</v>
          </cell>
        </row>
        <row r="22">
          <cell r="EW22">
            <v>35824</v>
          </cell>
        </row>
        <row r="23">
          <cell r="EW23">
            <v>38649</v>
          </cell>
        </row>
        <row r="27">
          <cell r="EW27">
            <v>1251</v>
          </cell>
        </row>
        <row r="28">
          <cell r="EW28">
            <v>1194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  <cell r="EG41">
            <v>84774</v>
          </cell>
          <cell r="EH41">
            <v>68866</v>
          </cell>
          <cell r="EI41">
            <v>58281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  <cell r="EU41">
            <v>108109</v>
          </cell>
          <cell r="EV41">
            <v>86635</v>
          </cell>
          <cell r="EW41">
            <v>74473</v>
          </cell>
        </row>
        <row r="47">
          <cell r="EW47">
            <v>24544</v>
          </cell>
        </row>
        <row r="48">
          <cell r="EW48">
            <v>125692</v>
          </cell>
        </row>
        <row r="52">
          <cell r="EW52">
            <v>4613</v>
          </cell>
        </row>
        <row r="53">
          <cell r="EW53">
            <v>222306</v>
          </cell>
        </row>
        <row r="57">
          <cell r="EW57"/>
        </row>
        <row r="58">
          <cell r="EW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  <cell r="EG19">
            <v>725</v>
          </cell>
          <cell r="EH19">
            <v>575</v>
          </cell>
          <cell r="EI19">
            <v>636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  <cell r="EG41">
            <v>88957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</sheetData>
      <sheetData sheetId="25">
        <row r="4">
          <cell r="EX4">
            <v>0</v>
          </cell>
        </row>
        <row r="15">
          <cell r="EL15">
            <v>89</v>
          </cell>
          <cell r="EM15">
            <v>3</v>
          </cell>
          <cell r="EN15"/>
          <cell r="EO15"/>
          <cell r="EP15"/>
          <cell r="ER15"/>
          <cell r="ES15"/>
          <cell r="ET15"/>
          <cell r="EU15"/>
          <cell r="EV15"/>
          <cell r="EW15"/>
        </row>
        <row r="16">
          <cell r="EL16">
            <v>89</v>
          </cell>
          <cell r="EM16">
            <v>4</v>
          </cell>
          <cell r="EN16"/>
          <cell r="EO16"/>
          <cell r="EP16"/>
          <cell r="ER16"/>
          <cell r="ES16"/>
          <cell r="ET16"/>
          <cell r="EU16"/>
          <cell r="EV16"/>
          <cell r="EW16"/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  <cell r="EG19">
            <v>185</v>
          </cell>
          <cell r="EH19">
            <v>168</v>
          </cell>
          <cell r="EI19">
            <v>0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32">
          <cell r="EL32">
            <v>3406</v>
          </cell>
          <cell r="EM32">
            <v>147</v>
          </cell>
          <cell r="EN32"/>
          <cell r="EO32"/>
          <cell r="EP32"/>
          <cell r="EQ32"/>
          <cell r="ER32"/>
          <cell r="ES32"/>
          <cell r="ET32"/>
          <cell r="EU32"/>
          <cell r="EV32"/>
          <cell r="EW32"/>
        </row>
        <row r="33">
          <cell r="EL33">
            <v>3083</v>
          </cell>
          <cell r="EM33">
            <v>123</v>
          </cell>
          <cell r="EN33"/>
          <cell r="EO33"/>
          <cell r="EP33"/>
          <cell r="EQ33"/>
          <cell r="ER33"/>
          <cell r="ES33"/>
          <cell r="ET33"/>
          <cell r="EU33"/>
          <cell r="EV33"/>
          <cell r="EW33"/>
        </row>
        <row r="37">
          <cell r="EL37">
            <v>23</v>
          </cell>
          <cell r="EM37">
            <v>1</v>
          </cell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</row>
        <row r="38">
          <cell r="EL38">
            <v>35</v>
          </cell>
          <cell r="EM38">
            <v>4</v>
          </cell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</sheetData>
      <sheetData sheetId="26">
        <row r="4">
          <cell r="EX4">
            <v>0</v>
          </cell>
        </row>
        <row r="8">
          <cell r="EW8">
            <v>0</v>
          </cell>
        </row>
        <row r="9">
          <cell r="EW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  <cell r="EP15">
            <v>108</v>
          </cell>
          <cell r="EQ15"/>
          <cell r="ER15">
            <v>123</v>
          </cell>
          <cell r="ES15">
            <v>123</v>
          </cell>
          <cell r="ET15">
            <v>115</v>
          </cell>
          <cell r="EU15">
            <v>122</v>
          </cell>
          <cell r="EV15">
            <v>85</v>
          </cell>
          <cell r="EW15">
            <v>84</v>
          </cell>
        </row>
        <row r="16">
          <cell r="EL16"/>
          <cell r="EM16">
            <v>78</v>
          </cell>
          <cell r="EN16">
            <v>90</v>
          </cell>
          <cell r="EO16">
            <v>86</v>
          </cell>
          <cell r="EP16">
            <v>108</v>
          </cell>
          <cell r="EQ16"/>
          <cell r="ER16">
            <v>123</v>
          </cell>
          <cell r="ES16">
            <v>123</v>
          </cell>
          <cell r="ET16">
            <v>115</v>
          </cell>
          <cell r="EU16">
            <v>122</v>
          </cell>
          <cell r="EV16">
            <v>85</v>
          </cell>
          <cell r="EW16">
            <v>84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  <cell r="EU19">
            <v>244</v>
          </cell>
          <cell r="EV19">
            <v>170</v>
          </cell>
          <cell r="EW19">
            <v>168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  <cell r="EP32">
            <v>4425</v>
          </cell>
          <cell r="EQ32"/>
          <cell r="ER32">
            <v>5629</v>
          </cell>
          <cell r="ES32">
            <v>5564</v>
          </cell>
          <cell r="ET32">
            <v>4816</v>
          </cell>
          <cell r="EU32">
            <v>5155</v>
          </cell>
          <cell r="EV32">
            <v>3349</v>
          </cell>
          <cell r="EW32">
            <v>3340</v>
          </cell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  <cell r="EQ33"/>
          <cell r="ER33">
            <v>5179</v>
          </cell>
          <cell r="ES33">
            <v>4976</v>
          </cell>
          <cell r="ET33">
            <v>4558</v>
          </cell>
          <cell r="EU33">
            <v>4563</v>
          </cell>
          <cell r="EV33">
            <v>2920</v>
          </cell>
          <cell r="EW33">
            <v>3216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  <cell r="EU41">
            <v>9718</v>
          </cell>
          <cell r="EV41">
            <v>6269</v>
          </cell>
          <cell r="EW41">
            <v>6556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</sheetData>
      <sheetData sheetId="27">
        <row r="4">
          <cell r="EW4"/>
        </row>
        <row r="5">
          <cell r="EW5"/>
        </row>
        <row r="8">
          <cell r="EW8"/>
        </row>
        <row r="9">
          <cell r="EW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46</v>
          </cell>
          <cell r="EI19">
            <v>100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  <cell r="EU19">
            <v>0</v>
          </cell>
          <cell r="EV19">
            <v>0</v>
          </cell>
          <cell r="EW19">
            <v>0</v>
          </cell>
        </row>
        <row r="22">
          <cell r="EW22"/>
        </row>
        <row r="23">
          <cell r="EW23"/>
        </row>
        <row r="27">
          <cell r="EW27"/>
        </row>
        <row r="28">
          <cell r="EW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2049</v>
          </cell>
          <cell r="EI41">
            <v>4205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  <cell r="EU41">
            <v>0</v>
          </cell>
          <cell r="EV41">
            <v>0</v>
          </cell>
          <cell r="EW41">
            <v>0</v>
          </cell>
        </row>
        <row r="47">
          <cell r="EW47"/>
        </row>
        <row r="48">
          <cell r="EW48"/>
        </row>
        <row r="52">
          <cell r="BH52"/>
        </row>
        <row r="53">
          <cell r="EW53"/>
        </row>
        <row r="57">
          <cell r="BG57"/>
        </row>
        <row r="58">
          <cell r="BG58"/>
        </row>
      </sheetData>
      <sheetData sheetId="28">
        <row r="4">
          <cell r="EW4">
            <v>6</v>
          </cell>
        </row>
        <row r="5">
          <cell r="EW5">
            <v>6</v>
          </cell>
        </row>
        <row r="8">
          <cell r="EW8"/>
        </row>
        <row r="9">
          <cell r="EW9"/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  <cell r="EG19">
            <v>192</v>
          </cell>
          <cell r="EH19">
            <v>103</v>
          </cell>
          <cell r="EI19">
            <v>0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  <cell r="EU19">
            <v>26</v>
          </cell>
          <cell r="EV19">
            <v>18</v>
          </cell>
          <cell r="EW19">
            <v>12</v>
          </cell>
        </row>
        <row r="22">
          <cell r="EW22">
            <v>244</v>
          </cell>
        </row>
        <row r="23">
          <cell r="EW23">
            <v>268</v>
          </cell>
        </row>
        <row r="27">
          <cell r="EW27">
            <v>20</v>
          </cell>
        </row>
        <row r="28">
          <cell r="EW28">
            <v>25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  <cell r="EG41">
            <v>13179</v>
          </cell>
          <cell r="EH41">
            <v>5594</v>
          </cell>
          <cell r="EI41">
            <v>0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  <cell r="EU41">
            <v>1336</v>
          </cell>
          <cell r="EV41">
            <v>914</v>
          </cell>
          <cell r="EW41">
            <v>512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29">
        <row r="4">
          <cell r="EW4">
            <v>376</v>
          </cell>
        </row>
        <row r="5">
          <cell r="EW5">
            <v>374</v>
          </cell>
        </row>
        <row r="8">
          <cell r="EW8"/>
        </row>
        <row r="9">
          <cell r="EW9">
            <v>1</v>
          </cell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  <cell r="EP15">
            <v>6</v>
          </cell>
          <cell r="EQ15">
            <v>22</v>
          </cell>
          <cell r="ER15">
            <v>48</v>
          </cell>
          <cell r="ES15">
            <v>55</v>
          </cell>
          <cell r="ET15">
            <v>56</v>
          </cell>
          <cell r="EU15">
            <v>64</v>
          </cell>
          <cell r="EV15">
            <v>43</v>
          </cell>
          <cell r="EW15">
            <v>13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  <cell r="EP16">
            <v>6</v>
          </cell>
          <cell r="EQ16">
            <v>43</v>
          </cell>
          <cell r="ER16">
            <v>23</v>
          </cell>
          <cell r="ES16">
            <v>32</v>
          </cell>
          <cell r="ET16">
            <v>52</v>
          </cell>
          <cell r="EU16">
            <v>32</v>
          </cell>
          <cell r="EV16">
            <v>21</v>
          </cell>
          <cell r="EW16">
            <v>14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  <cell r="EG19">
            <v>740</v>
          </cell>
          <cell r="EH19">
            <v>482</v>
          </cell>
          <cell r="EI19">
            <v>1089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  <cell r="EU19">
            <v>773</v>
          </cell>
          <cell r="EV19">
            <v>980</v>
          </cell>
          <cell r="EW19">
            <v>778</v>
          </cell>
        </row>
        <row r="22">
          <cell r="EW22">
            <v>21420</v>
          </cell>
        </row>
        <row r="23">
          <cell r="EW23">
            <v>20413</v>
          </cell>
        </row>
        <row r="27">
          <cell r="EW27">
            <v>691</v>
          </cell>
        </row>
        <row r="28">
          <cell r="EW28">
            <v>659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  <cell r="EP32">
            <v>379</v>
          </cell>
          <cell r="EQ32">
            <v>1352</v>
          </cell>
          <cell r="ER32">
            <v>3115</v>
          </cell>
          <cell r="ES32">
            <v>3483</v>
          </cell>
          <cell r="ET32">
            <v>5962</v>
          </cell>
          <cell r="EU32">
            <v>10760</v>
          </cell>
          <cell r="EV32">
            <v>2381</v>
          </cell>
          <cell r="EW32">
            <v>760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  <cell r="EP33">
            <v>381</v>
          </cell>
          <cell r="EQ33">
            <v>2616</v>
          </cell>
          <cell r="ER33">
            <v>1575</v>
          </cell>
          <cell r="ES33">
            <v>2066</v>
          </cell>
          <cell r="ET33">
            <v>2991</v>
          </cell>
          <cell r="EU33">
            <v>1743</v>
          </cell>
          <cell r="EV33">
            <v>1283</v>
          </cell>
          <cell r="EW33">
            <v>884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  <cell r="EP37">
            <v>2</v>
          </cell>
          <cell r="EQ37">
            <v>16</v>
          </cell>
          <cell r="ER37">
            <v>38</v>
          </cell>
          <cell r="ES37">
            <v>52</v>
          </cell>
          <cell r="ET37">
            <v>63</v>
          </cell>
          <cell r="EU37">
            <v>101</v>
          </cell>
          <cell r="EV37">
            <v>31</v>
          </cell>
          <cell r="EW37">
            <v>14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  <cell r="EP38">
            <v>4</v>
          </cell>
          <cell r="EQ38">
            <v>33</v>
          </cell>
          <cell r="ER38">
            <v>30</v>
          </cell>
          <cell r="ES38">
            <v>36</v>
          </cell>
          <cell r="ET38">
            <v>34</v>
          </cell>
          <cell r="EU38">
            <v>15</v>
          </cell>
          <cell r="EV38">
            <v>9</v>
          </cell>
          <cell r="EW38">
            <v>12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  <cell r="EG41">
            <v>42892</v>
          </cell>
          <cell r="EH41">
            <v>26174</v>
          </cell>
          <cell r="EI41">
            <v>60104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  <cell r="EU41">
            <v>51917</v>
          </cell>
          <cell r="EV41">
            <v>55756</v>
          </cell>
          <cell r="EW41">
            <v>43477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BG58"/>
        </row>
        <row r="70">
          <cell r="EW70">
            <v>9063</v>
          </cell>
        </row>
        <row r="71">
          <cell r="EW71">
            <v>11350</v>
          </cell>
        </row>
        <row r="73">
          <cell r="EW73">
            <v>392</v>
          </cell>
        </row>
        <row r="74">
          <cell r="EW74">
            <v>492</v>
          </cell>
        </row>
      </sheetData>
      <sheetData sheetId="30"/>
      <sheetData sheetId="31"/>
      <sheetData sheetId="32"/>
      <sheetData sheetId="33">
        <row r="4">
          <cell r="EW4">
            <v>499</v>
          </cell>
        </row>
        <row r="5">
          <cell r="EW5">
            <v>498</v>
          </cell>
        </row>
        <row r="8">
          <cell r="EW8"/>
        </row>
        <row r="9">
          <cell r="EW9"/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  <cell r="EP15">
            <v>58</v>
          </cell>
          <cell r="EQ15">
            <v>26</v>
          </cell>
          <cell r="ER15">
            <v>61</v>
          </cell>
          <cell r="ES15">
            <v>61</v>
          </cell>
          <cell r="ET15">
            <v>52</v>
          </cell>
          <cell r="EU15">
            <v>198</v>
          </cell>
          <cell r="EV15">
            <v>184</v>
          </cell>
          <cell r="EW15">
            <v>102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  <cell r="EP16">
            <v>57</v>
          </cell>
          <cell r="EQ16">
            <v>27</v>
          </cell>
          <cell r="ER16">
            <v>62</v>
          </cell>
          <cell r="ES16">
            <v>62</v>
          </cell>
          <cell r="ET16">
            <v>52</v>
          </cell>
          <cell r="EU16">
            <v>199</v>
          </cell>
          <cell r="EV16">
            <v>184</v>
          </cell>
          <cell r="EW16">
            <v>103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  <cell r="EG19">
            <v>1329</v>
          </cell>
          <cell r="EH19">
            <v>1359</v>
          </cell>
          <cell r="EI19">
            <v>1233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  <cell r="EU19">
            <v>1577</v>
          </cell>
          <cell r="EV19">
            <v>1404</v>
          </cell>
          <cell r="EW19">
            <v>1202</v>
          </cell>
        </row>
        <row r="22">
          <cell r="EW22">
            <v>28128</v>
          </cell>
        </row>
        <row r="23">
          <cell r="EW23">
            <v>28094</v>
          </cell>
        </row>
        <row r="27">
          <cell r="EW27">
            <v>1032</v>
          </cell>
        </row>
        <row r="28">
          <cell r="EW28">
            <v>1123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  <cell r="EP32">
            <v>3981</v>
          </cell>
          <cell r="EQ32">
            <v>1511</v>
          </cell>
          <cell r="ER32">
            <v>3961</v>
          </cell>
          <cell r="ES32">
            <v>3852</v>
          </cell>
          <cell r="ET32">
            <v>3425</v>
          </cell>
          <cell r="EU32">
            <v>12598</v>
          </cell>
          <cell r="EV32">
            <v>11654</v>
          </cell>
          <cell r="EW32">
            <v>6510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  <cell r="EP33">
            <v>3851</v>
          </cell>
          <cell r="EQ33">
            <v>1749</v>
          </cell>
          <cell r="ER33">
            <v>3930</v>
          </cell>
          <cell r="ES33">
            <v>3921</v>
          </cell>
          <cell r="ET33">
            <v>3404</v>
          </cell>
          <cell r="EU33">
            <v>12689</v>
          </cell>
          <cell r="EV33">
            <v>11415</v>
          </cell>
          <cell r="EW33">
            <v>6412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  <cell r="EP37">
            <v>79</v>
          </cell>
          <cell r="EQ37">
            <v>35</v>
          </cell>
          <cell r="ER37">
            <v>66</v>
          </cell>
          <cell r="ES37">
            <v>48</v>
          </cell>
          <cell r="ET37">
            <v>18</v>
          </cell>
          <cell r="EU37">
            <v>173</v>
          </cell>
          <cell r="EV37">
            <v>174</v>
          </cell>
          <cell r="EW37">
            <v>78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  <cell r="EP38">
            <v>60</v>
          </cell>
          <cell r="EQ38">
            <v>31</v>
          </cell>
          <cell r="ER38">
            <v>47</v>
          </cell>
          <cell r="ES38">
            <v>53</v>
          </cell>
          <cell r="ET38">
            <v>25</v>
          </cell>
          <cell r="EU38">
            <v>132</v>
          </cell>
          <cell r="EV38">
            <v>139</v>
          </cell>
          <cell r="EW38">
            <v>68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  <cell r="EG41">
            <v>84466</v>
          </cell>
          <cell r="EH41">
            <v>84871</v>
          </cell>
          <cell r="EI41">
            <v>75405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  <cell r="EU41">
            <v>95146</v>
          </cell>
          <cell r="EV41">
            <v>84317</v>
          </cell>
          <cell r="EW41">
            <v>69144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BG58"/>
        </row>
        <row r="70">
          <cell r="BG70">
            <v>26242</v>
          </cell>
          <cell r="EW70">
            <v>12193</v>
          </cell>
        </row>
        <row r="71">
          <cell r="BG71">
            <v>44562</v>
          </cell>
          <cell r="EW71">
            <v>15901</v>
          </cell>
        </row>
        <row r="73">
          <cell r="BG73">
            <v>1540</v>
          </cell>
          <cell r="EW73">
            <v>2783</v>
          </cell>
        </row>
        <row r="74">
          <cell r="BG74">
            <v>2614</v>
          </cell>
          <cell r="EW74">
            <v>3629</v>
          </cell>
        </row>
      </sheetData>
      <sheetData sheetId="34"/>
      <sheetData sheetId="35">
        <row r="4">
          <cell r="EW4">
            <v>8</v>
          </cell>
        </row>
        <row r="5">
          <cell r="EW5">
            <v>8</v>
          </cell>
        </row>
        <row r="8">
          <cell r="EW8"/>
        </row>
        <row r="9">
          <cell r="EW9"/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  <cell r="EG19">
            <v>786</v>
          </cell>
          <cell r="EH19">
            <v>1066</v>
          </cell>
          <cell r="EI19">
            <v>1066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  <cell r="EU19">
            <v>10</v>
          </cell>
          <cell r="EV19">
            <v>28</v>
          </cell>
          <cell r="EW19">
            <v>16</v>
          </cell>
        </row>
        <row r="22">
          <cell r="EW22">
            <v>326</v>
          </cell>
        </row>
        <row r="23">
          <cell r="EW23">
            <v>281</v>
          </cell>
        </row>
        <row r="27">
          <cell r="EW27">
            <v>3</v>
          </cell>
        </row>
        <row r="28">
          <cell r="EW28">
            <v>9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  <cell r="EG41">
            <v>49621</v>
          </cell>
          <cell r="EH41">
            <v>64853</v>
          </cell>
          <cell r="EI41">
            <v>64346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  <cell r="EU41">
            <v>337</v>
          </cell>
          <cell r="EV41">
            <v>1217</v>
          </cell>
          <cell r="EW41">
            <v>607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BG58"/>
        </row>
      </sheetData>
      <sheetData sheetId="36"/>
      <sheetData sheetId="37">
        <row r="4">
          <cell r="EW4">
            <v>203</v>
          </cell>
        </row>
        <row r="5">
          <cell r="EW5">
            <v>202</v>
          </cell>
        </row>
        <row r="8">
          <cell r="EW8"/>
        </row>
        <row r="9">
          <cell r="EW9"/>
        </row>
        <row r="15">
          <cell r="EW15">
            <v>38</v>
          </cell>
        </row>
        <row r="16">
          <cell r="EW16">
            <v>39</v>
          </cell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  <cell r="EG19">
            <v>2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  <cell r="EU19">
            <v>126</v>
          </cell>
          <cell r="EV19">
            <v>250</v>
          </cell>
          <cell r="EW19">
            <v>482</v>
          </cell>
        </row>
        <row r="22">
          <cell r="EW22">
            <v>11653</v>
          </cell>
        </row>
        <row r="23">
          <cell r="EW23">
            <v>11227</v>
          </cell>
        </row>
        <row r="27">
          <cell r="EW27">
            <v>390</v>
          </cell>
        </row>
        <row r="28">
          <cell r="EW28">
            <v>387</v>
          </cell>
        </row>
        <row r="32">
          <cell r="EW32">
            <v>1972</v>
          </cell>
        </row>
        <row r="33">
          <cell r="EW33">
            <v>2050</v>
          </cell>
        </row>
        <row r="37">
          <cell r="EW37">
            <v>55</v>
          </cell>
        </row>
        <row r="38">
          <cell r="EW38">
            <v>59</v>
          </cell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  <cell r="EG41">
            <v>128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  <cell r="EU41">
            <v>7969</v>
          </cell>
          <cell r="EV41">
            <v>15300</v>
          </cell>
          <cell r="EW41">
            <v>26902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AJ57"/>
        </row>
        <row r="58">
          <cell r="AJ58"/>
        </row>
        <row r="70">
          <cell r="EW70">
            <v>5142</v>
          </cell>
        </row>
        <row r="71">
          <cell r="EW71">
            <v>6085</v>
          </cell>
        </row>
        <row r="73">
          <cell r="EW73">
            <v>939</v>
          </cell>
        </row>
        <row r="74">
          <cell r="EW74">
            <v>1111</v>
          </cell>
        </row>
      </sheetData>
      <sheetData sheetId="38">
        <row r="4">
          <cell r="EW4">
            <v>32</v>
          </cell>
        </row>
        <row r="5">
          <cell r="EW5">
            <v>32</v>
          </cell>
        </row>
        <row r="8">
          <cell r="EW8"/>
        </row>
        <row r="9">
          <cell r="EW9"/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  <cell r="EU19">
            <v>6</v>
          </cell>
          <cell r="EV19">
            <v>2</v>
          </cell>
          <cell r="EW19">
            <v>64</v>
          </cell>
        </row>
        <row r="22">
          <cell r="EW22">
            <v>1949</v>
          </cell>
        </row>
        <row r="23">
          <cell r="EW23">
            <v>1710</v>
          </cell>
        </row>
        <row r="27">
          <cell r="EW27">
            <v>63</v>
          </cell>
        </row>
        <row r="28">
          <cell r="EW28">
            <v>54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  <cell r="EU41">
            <v>375</v>
          </cell>
          <cell r="EV41">
            <v>117</v>
          </cell>
          <cell r="EW41">
            <v>3659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AJ57"/>
        </row>
        <row r="58">
          <cell r="AJ58"/>
        </row>
      </sheetData>
      <sheetData sheetId="39"/>
      <sheetData sheetId="40">
        <row r="4">
          <cell r="EW4">
            <v>144</v>
          </cell>
        </row>
        <row r="5">
          <cell r="EW5">
            <v>144</v>
          </cell>
        </row>
        <row r="8">
          <cell r="EW8"/>
        </row>
        <row r="9">
          <cell r="EW9"/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  <cell r="EG19">
            <v>296</v>
          </cell>
          <cell r="EH19">
            <v>0</v>
          </cell>
          <cell r="EI19">
            <v>0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  <cell r="EU19">
            <v>354</v>
          </cell>
          <cell r="EV19">
            <v>392</v>
          </cell>
          <cell r="EW19">
            <v>288</v>
          </cell>
        </row>
        <row r="22">
          <cell r="EW22">
            <v>8850</v>
          </cell>
        </row>
        <row r="23">
          <cell r="EW23">
            <v>9279</v>
          </cell>
        </row>
        <row r="27">
          <cell r="EW27">
            <v>294</v>
          </cell>
        </row>
        <row r="28">
          <cell r="EW28">
            <v>272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  <cell r="EG41">
            <v>17640</v>
          </cell>
          <cell r="EH41">
            <v>0</v>
          </cell>
          <cell r="EI41">
            <v>0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  <cell r="EU41">
            <v>21139</v>
          </cell>
          <cell r="EV41">
            <v>22649</v>
          </cell>
          <cell r="EW41">
            <v>18129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41">
        <row r="4">
          <cell r="EW4"/>
        </row>
        <row r="5">
          <cell r="EW5"/>
        </row>
        <row r="8">
          <cell r="EW8"/>
        </row>
        <row r="9">
          <cell r="EW9"/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22">
          <cell r="EW22"/>
        </row>
        <row r="23">
          <cell r="EW23"/>
        </row>
        <row r="27">
          <cell r="EW27"/>
        </row>
        <row r="28">
          <cell r="EW28"/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AJ57"/>
        </row>
        <row r="58">
          <cell r="AJ58"/>
        </row>
      </sheetData>
      <sheetData sheetId="42"/>
      <sheetData sheetId="43">
        <row r="4">
          <cell r="EW4">
            <v>1726</v>
          </cell>
        </row>
        <row r="5">
          <cell r="EW5">
            <v>1721</v>
          </cell>
        </row>
        <row r="8">
          <cell r="EW8"/>
        </row>
        <row r="9">
          <cell r="EW9">
            <v>2</v>
          </cell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  <cell r="EP15">
            <v>315</v>
          </cell>
          <cell r="EQ15">
            <v>286</v>
          </cell>
          <cell r="ER15">
            <v>242</v>
          </cell>
          <cell r="ES15">
            <v>176</v>
          </cell>
          <cell r="ET15">
            <v>161</v>
          </cell>
          <cell r="EU15">
            <v>56</v>
          </cell>
          <cell r="EV15">
            <v>105</v>
          </cell>
          <cell r="EW15">
            <v>163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  <cell r="EP16">
            <v>314</v>
          </cell>
          <cell r="EQ16">
            <v>283</v>
          </cell>
          <cell r="ER16">
            <v>269</v>
          </cell>
          <cell r="ES16">
            <v>198</v>
          </cell>
          <cell r="ET16">
            <v>168</v>
          </cell>
          <cell r="EU16">
            <v>86</v>
          </cell>
          <cell r="EV16">
            <v>130</v>
          </cell>
          <cell r="EW16">
            <v>165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  <cell r="EG19">
            <v>4266</v>
          </cell>
          <cell r="EH19">
            <v>4054</v>
          </cell>
          <cell r="EI19">
            <v>4472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  <cell r="EU19">
            <v>3541</v>
          </cell>
          <cell r="EV19">
            <v>3368</v>
          </cell>
          <cell r="EW19">
            <v>3777</v>
          </cell>
        </row>
        <row r="22">
          <cell r="EW22">
            <v>89428</v>
          </cell>
        </row>
        <row r="23">
          <cell r="EW23">
            <v>87337</v>
          </cell>
        </row>
        <row r="27">
          <cell r="EW27">
            <v>3073</v>
          </cell>
        </row>
        <row r="28">
          <cell r="EW28">
            <v>3095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  <cell r="EP32">
            <v>18474</v>
          </cell>
          <cell r="EQ32">
            <v>16352</v>
          </cell>
          <cell r="ER32">
            <v>15345</v>
          </cell>
          <cell r="ES32">
            <v>11241</v>
          </cell>
          <cell r="ET32">
            <v>9427</v>
          </cell>
          <cell r="EU32">
            <v>3505</v>
          </cell>
          <cell r="EV32">
            <v>6256</v>
          </cell>
          <cell r="EW32">
            <v>10035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  <cell r="EP33">
            <v>20160</v>
          </cell>
          <cell r="EQ33">
            <v>16937</v>
          </cell>
          <cell r="ER33">
            <v>17101</v>
          </cell>
          <cell r="ES33">
            <v>12346</v>
          </cell>
          <cell r="ET33">
            <v>9736</v>
          </cell>
          <cell r="EU33">
            <v>5359</v>
          </cell>
          <cell r="EV33">
            <v>7717</v>
          </cell>
          <cell r="EW33">
            <v>9671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  <cell r="EP37">
            <v>208</v>
          </cell>
          <cell r="EQ37">
            <v>183</v>
          </cell>
          <cell r="ER37">
            <v>183</v>
          </cell>
          <cell r="ES37">
            <v>176</v>
          </cell>
          <cell r="ET37">
            <v>149</v>
          </cell>
          <cell r="EU37">
            <v>62</v>
          </cell>
          <cell r="EV37">
            <v>64</v>
          </cell>
          <cell r="EW37">
            <v>136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  <cell r="EP38">
            <v>226</v>
          </cell>
          <cell r="EQ38">
            <v>228</v>
          </cell>
          <cell r="ER38">
            <v>222</v>
          </cell>
          <cell r="ES38">
            <v>206</v>
          </cell>
          <cell r="ET38">
            <v>171</v>
          </cell>
          <cell r="EU38">
            <v>117</v>
          </cell>
          <cell r="EV38">
            <v>105</v>
          </cell>
          <cell r="EW38">
            <v>151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  <cell r="EG41">
            <v>252373</v>
          </cell>
          <cell r="EH41">
            <v>228325</v>
          </cell>
          <cell r="EI41">
            <v>255057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  <cell r="EU41">
            <v>185292</v>
          </cell>
          <cell r="EV41">
            <v>172770</v>
          </cell>
          <cell r="EW41">
            <v>196471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  <row r="70">
          <cell r="EW70">
            <v>30481</v>
          </cell>
        </row>
        <row r="71">
          <cell r="EW71">
            <v>56856</v>
          </cell>
        </row>
        <row r="73">
          <cell r="EW73">
            <v>3375</v>
          </cell>
        </row>
        <row r="74">
          <cell r="EW74">
            <v>6296</v>
          </cell>
        </row>
      </sheetData>
      <sheetData sheetId="44">
        <row r="4">
          <cell r="EW4">
            <v>3</v>
          </cell>
        </row>
        <row r="5">
          <cell r="EW5">
            <v>3</v>
          </cell>
        </row>
        <row r="8">
          <cell r="EW8"/>
        </row>
        <row r="9">
          <cell r="EW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  <cell r="EU19">
            <v>10</v>
          </cell>
          <cell r="EV19">
            <v>6</v>
          </cell>
          <cell r="EW19">
            <v>6</v>
          </cell>
        </row>
        <row r="22">
          <cell r="EW22">
            <v>114</v>
          </cell>
        </row>
        <row r="23">
          <cell r="EW23">
            <v>48</v>
          </cell>
        </row>
        <row r="27">
          <cell r="EW27">
            <v>5</v>
          </cell>
        </row>
        <row r="28">
          <cell r="EW28">
            <v>5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  <cell r="EU41">
            <v>424</v>
          </cell>
          <cell r="EV41">
            <v>192</v>
          </cell>
          <cell r="EW41">
            <v>162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BG58"/>
        </row>
      </sheetData>
      <sheetData sheetId="45">
        <row r="4">
          <cell r="EW4">
            <v>152</v>
          </cell>
        </row>
        <row r="5">
          <cell r="EW5">
            <v>154</v>
          </cell>
        </row>
        <row r="8">
          <cell r="EW8"/>
        </row>
        <row r="9">
          <cell r="EW9"/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  <cell r="EG19">
            <v>0</v>
          </cell>
          <cell r="EH19">
            <v>0</v>
          </cell>
          <cell r="EI19">
            <v>24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  <cell r="EU19">
            <v>316</v>
          </cell>
          <cell r="EV19">
            <v>345</v>
          </cell>
          <cell r="EW19">
            <v>306</v>
          </cell>
        </row>
        <row r="22">
          <cell r="EW22">
            <v>7209</v>
          </cell>
        </row>
        <row r="23">
          <cell r="EW23">
            <v>6725</v>
          </cell>
        </row>
        <row r="27">
          <cell r="EW27">
            <v>303</v>
          </cell>
        </row>
        <row r="28">
          <cell r="EW28">
            <v>410</v>
          </cell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  <cell r="EG41">
            <v>0</v>
          </cell>
          <cell r="EH41">
            <v>0</v>
          </cell>
          <cell r="EI41">
            <v>1603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  <cell r="EU41">
            <v>15823</v>
          </cell>
          <cell r="EV41">
            <v>14964</v>
          </cell>
          <cell r="EW41">
            <v>13934</v>
          </cell>
        </row>
        <row r="47">
          <cell r="EW47">
            <v>270</v>
          </cell>
        </row>
        <row r="48">
          <cell r="EW48"/>
        </row>
        <row r="52">
          <cell r="EW52">
            <v>29</v>
          </cell>
        </row>
        <row r="53">
          <cell r="EW53"/>
        </row>
        <row r="57">
          <cell r="EW57"/>
        </row>
        <row r="58">
          <cell r="EW58"/>
        </row>
      </sheetData>
      <sheetData sheetId="46">
        <row r="4">
          <cell r="EW4">
            <v>114</v>
          </cell>
        </row>
        <row r="5">
          <cell r="EW5">
            <v>114</v>
          </cell>
        </row>
        <row r="8">
          <cell r="EW8"/>
        </row>
        <row r="9">
          <cell r="EW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  <cell r="EU19">
            <v>254</v>
          </cell>
          <cell r="EV19">
            <v>190</v>
          </cell>
          <cell r="EW19">
            <v>228</v>
          </cell>
        </row>
        <row r="22">
          <cell r="EW22">
            <v>7224</v>
          </cell>
        </row>
        <row r="23">
          <cell r="EW23">
            <v>6956</v>
          </cell>
        </row>
        <row r="27">
          <cell r="EW27">
            <v>129</v>
          </cell>
        </row>
        <row r="28">
          <cell r="EW28">
            <v>153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  <cell r="EU41">
            <v>14247</v>
          </cell>
          <cell r="EV41">
            <v>10814</v>
          </cell>
          <cell r="EW41">
            <v>14180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</sheetData>
      <sheetData sheetId="47"/>
      <sheetData sheetId="48">
        <row r="4">
          <cell r="EW4">
            <v>2430</v>
          </cell>
        </row>
        <row r="5">
          <cell r="EW5">
            <v>2423</v>
          </cell>
        </row>
        <row r="8">
          <cell r="EW8"/>
        </row>
        <row r="9">
          <cell r="EW9">
            <v>7</v>
          </cell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  <cell r="EP15">
            <v>150</v>
          </cell>
          <cell r="EQ15">
            <v>85</v>
          </cell>
          <cell r="ER15">
            <v>52</v>
          </cell>
          <cell r="ES15">
            <v>57</v>
          </cell>
          <cell r="ET15">
            <v>87</v>
          </cell>
          <cell r="EU15">
            <v>169</v>
          </cell>
          <cell r="EV15">
            <v>102</v>
          </cell>
          <cell r="EW15">
            <v>98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  <cell r="EP16">
            <v>149</v>
          </cell>
          <cell r="EQ16">
            <v>86</v>
          </cell>
          <cell r="ER16">
            <v>55</v>
          </cell>
          <cell r="ES16">
            <v>58</v>
          </cell>
          <cell r="ET16">
            <v>87</v>
          </cell>
          <cell r="EU16">
            <v>170</v>
          </cell>
          <cell r="EV16">
            <v>102</v>
          </cell>
          <cell r="EW16">
            <v>96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  <cell r="EG19">
            <v>4803</v>
          </cell>
          <cell r="EH19">
            <v>5396</v>
          </cell>
          <cell r="EI19">
            <v>4736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  <cell r="EU19">
            <v>5654</v>
          </cell>
          <cell r="EV19">
            <v>4944</v>
          </cell>
          <cell r="EW19">
            <v>5054</v>
          </cell>
        </row>
        <row r="22">
          <cell r="EW22">
            <v>113648</v>
          </cell>
        </row>
        <row r="23">
          <cell r="EW23">
            <v>114462</v>
          </cell>
        </row>
        <row r="27">
          <cell r="EW27">
            <v>4092</v>
          </cell>
        </row>
        <row r="28">
          <cell r="EW28">
            <v>3923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  <cell r="EP32">
            <v>9728</v>
          </cell>
          <cell r="EQ32">
            <v>5545</v>
          </cell>
          <cell r="ER32">
            <v>3552</v>
          </cell>
          <cell r="ES32">
            <v>3756</v>
          </cell>
          <cell r="ET32">
            <v>5962</v>
          </cell>
          <cell r="EU32">
            <v>10760</v>
          </cell>
          <cell r="EV32">
            <v>6468</v>
          </cell>
          <cell r="EW32">
            <v>5654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  <cell r="EP33">
            <v>9635</v>
          </cell>
          <cell r="EQ33">
            <v>5712</v>
          </cell>
          <cell r="ER33">
            <v>3664</v>
          </cell>
          <cell r="ES33">
            <v>3842</v>
          </cell>
          <cell r="ET33">
            <v>5783</v>
          </cell>
          <cell r="EU33">
            <v>10567</v>
          </cell>
          <cell r="EV33">
            <v>6512</v>
          </cell>
          <cell r="EW33">
            <v>5859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  <cell r="EP37">
            <v>98</v>
          </cell>
          <cell r="EQ37">
            <v>63</v>
          </cell>
          <cell r="ER37">
            <v>18</v>
          </cell>
          <cell r="ES37">
            <v>52</v>
          </cell>
          <cell r="ET37">
            <v>63</v>
          </cell>
          <cell r="EU37">
            <v>101</v>
          </cell>
          <cell r="EV37">
            <v>73</v>
          </cell>
          <cell r="EW37">
            <v>71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  <cell r="EP38">
            <v>10</v>
          </cell>
          <cell r="EQ38">
            <v>79</v>
          </cell>
          <cell r="ER38">
            <v>32</v>
          </cell>
          <cell r="ES38">
            <v>28</v>
          </cell>
          <cell r="ET38">
            <v>72</v>
          </cell>
          <cell r="EU38">
            <v>101</v>
          </cell>
          <cell r="EV38">
            <v>72</v>
          </cell>
          <cell r="EW38">
            <v>78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  <cell r="EG41">
            <v>213667</v>
          </cell>
          <cell r="EH41">
            <v>242879</v>
          </cell>
          <cell r="EI41">
            <v>206466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  <cell r="EU41">
            <v>271247</v>
          </cell>
          <cell r="EV41">
            <v>231903</v>
          </cell>
          <cell r="EW41">
            <v>239623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  <row r="70">
          <cell r="EW70">
            <v>33080</v>
          </cell>
        </row>
        <row r="71">
          <cell r="EW71">
            <v>81382</v>
          </cell>
        </row>
        <row r="73">
          <cell r="EW73">
            <v>1693</v>
          </cell>
        </row>
        <row r="74">
          <cell r="EW74">
            <v>4166</v>
          </cell>
        </row>
      </sheetData>
      <sheetData sheetId="49">
        <row r="4">
          <cell r="EW4">
            <v>118</v>
          </cell>
        </row>
        <row r="5">
          <cell r="EW5">
            <v>118</v>
          </cell>
        </row>
        <row r="8">
          <cell r="EW8"/>
        </row>
        <row r="9">
          <cell r="EW9"/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  <cell r="EU19">
            <v>322</v>
          </cell>
          <cell r="EV19">
            <v>280</v>
          </cell>
          <cell r="EW19">
            <v>236</v>
          </cell>
        </row>
        <row r="22">
          <cell r="EW22">
            <v>7902</v>
          </cell>
        </row>
        <row r="23">
          <cell r="EW23">
            <v>7932</v>
          </cell>
        </row>
        <row r="27">
          <cell r="EW27">
            <v>119</v>
          </cell>
        </row>
        <row r="28">
          <cell r="EW28">
            <v>107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  <cell r="EU41">
            <v>22164</v>
          </cell>
          <cell r="EV41">
            <v>19157</v>
          </cell>
          <cell r="EW41">
            <v>15834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</sheetData>
      <sheetData sheetId="51"/>
      <sheetData sheetId="52">
        <row r="4">
          <cell r="EW4">
            <v>30</v>
          </cell>
        </row>
        <row r="5">
          <cell r="EW5">
            <v>30</v>
          </cell>
        </row>
        <row r="8">
          <cell r="EW8">
            <v>0</v>
          </cell>
        </row>
        <row r="9">
          <cell r="EW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  <cell r="EU19">
            <v>62</v>
          </cell>
          <cell r="EV19">
            <v>60</v>
          </cell>
          <cell r="EW19">
            <v>60</v>
          </cell>
        </row>
        <row r="22">
          <cell r="EW22">
            <v>2004</v>
          </cell>
        </row>
        <row r="23">
          <cell r="EW23">
            <v>1992</v>
          </cell>
        </row>
        <row r="27">
          <cell r="EW27">
            <v>65</v>
          </cell>
        </row>
        <row r="28">
          <cell r="EW28">
            <v>75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  <cell r="EU41">
            <v>4340</v>
          </cell>
          <cell r="EV41">
            <v>4124</v>
          </cell>
          <cell r="EW41">
            <v>3996</v>
          </cell>
        </row>
        <row r="47">
          <cell r="EW47">
            <v>772</v>
          </cell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EW58"/>
        </row>
      </sheetData>
      <sheetData sheetId="53">
        <row r="4">
          <cell r="EW4">
            <v>8</v>
          </cell>
        </row>
        <row r="5">
          <cell r="EW5">
            <v>8</v>
          </cell>
        </row>
        <row r="8">
          <cell r="EW8"/>
        </row>
        <row r="9">
          <cell r="EW9"/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  <cell r="EU19">
            <v>22</v>
          </cell>
          <cell r="EV19">
            <v>44</v>
          </cell>
          <cell r="EW19">
            <v>16</v>
          </cell>
        </row>
        <row r="22">
          <cell r="EW22">
            <v>396</v>
          </cell>
        </row>
        <row r="23">
          <cell r="EW23">
            <v>585</v>
          </cell>
        </row>
        <row r="27">
          <cell r="EW27">
            <v>11</v>
          </cell>
        </row>
        <row r="28">
          <cell r="EW28">
            <v>4</v>
          </cell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  <cell r="EU41">
            <v>1256</v>
          </cell>
          <cell r="EV41">
            <v>2339</v>
          </cell>
          <cell r="EW41">
            <v>981</v>
          </cell>
        </row>
        <row r="47">
          <cell r="EW47"/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BG58"/>
        </row>
      </sheetData>
      <sheetData sheetId="54">
        <row r="4">
          <cell r="EW4">
            <v>178</v>
          </cell>
        </row>
        <row r="5">
          <cell r="EW5">
            <v>177</v>
          </cell>
        </row>
        <row r="8">
          <cell r="EW8"/>
        </row>
        <row r="9">
          <cell r="EW9">
            <v>1</v>
          </cell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  <cell r="EG19">
            <v>519</v>
          </cell>
          <cell r="EH19">
            <v>525</v>
          </cell>
          <cell r="EI19">
            <v>154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  <cell r="EU19">
            <v>186</v>
          </cell>
          <cell r="EV19">
            <v>170</v>
          </cell>
          <cell r="EW19">
            <v>356</v>
          </cell>
        </row>
        <row r="22">
          <cell r="EW22">
            <v>10786</v>
          </cell>
        </row>
        <row r="23">
          <cell r="EW23">
            <v>10531</v>
          </cell>
        </row>
        <row r="27">
          <cell r="EW27">
            <v>391</v>
          </cell>
        </row>
        <row r="28">
          <cell r="EW28">
            <v>449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  <cell r="EG41">
            <v>26358</v>
          </cell>
          <cell r="EH41">
            <v>25772</v>
          </cell>
          <cell r="EI41">
            <v>6547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  <cell r="EU41">
            <v>11986</v>
          </cell>
          <cell r="EV41">
            <v>10846</v>
          </cell>
          <cell r="EW41">
            <v>21317</v>
          </cell>
        </row>
        <row r="47">
          <cell r="EW47">
            <v>809</v>
          </cell>
        </row>
        <row r="48">
          <cell r="EW48"/>
        </row>
        <row r="52">
          <cell r="EW52"/>
        </row>
        <row r="53">
          <cell r="EW53"/>
        </row>
        <row r="57">
          <cell r="EW57"/>
        </row>
        <row r="58">
          <cell r="BH58"/>
        </row>
        <row r="70">
          <cell r="EW70">
            <v>4876</v>
          </cell>
        </row>
        <row r="71">
          <cell r="EW71">
            <v>5655</v>
          </cell>
        </row>
      </sheetData>
      <sheetData sheetId="55"/>
      <sheetData sheetId="56"/>
      <sheetData sheetId="57"/>
      <sheetData sheetId="58">
        <row r="15">
          <cell r="EL15"/>
          <cell r="EM15"/>
          <cell r="EN15"/>
          <cell r="EO15"/>
          <cell r="EP15"/>
          <cell r="ER15"/>
          <cell r="ES15"/>
          <cell r="ET15"/>
          <cell r="EU15"/>
          <cell r="EV15"/>
          <cell r="EW15"/>
        </row>
        <row r="16">
          <cell r="EL16"/>
          <cell r="EM16"/>
          <cell r="EN16"/>
          <cell r="EO16"/>
          <cell r="EP16"/>
          <cell r="ER16"/>
          <cell r="ES16"/>
          <cell r="ET16"/>
          <cell r="EU16"/>
          <cell r="EV16"/>
          <cell r="EW16"/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  <cell r="EU32"/>
          <cell r="EV32"/>
          <cell r="EW32"/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/>
          <cell r="EV33"/>
          <cell r="EW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</sheetData>
      <sheetData sheetId="59">
        <row r="4">
          <cell r="EX4">
            <v>2</v>
          </cell>
        </row>
      </sheetData>
      <sheetData sheetId="60">
        <row r="4">
          <cell r="EX4">
            <v>1</v>
          </cell>
        </row>
        <row r="15">
          <cell r="EL15"/>
          <cell r="EM15"/>
          <cell r="EN15"/>
          <cell r="EO15"/>
          <cell r="EP15"/>
          <cell r="EQ15">
            <v>2</v>
          </cell>
          <cell r="ER15"/>
          <cell r="ES15">
            <v>1</v>
          </cell>
          <cell r="ET15"/>
          <cell r="EU15"/>
          <cell r="EV15"/>
          <cell r="EW15"/>
        </row>
        <row r="16">
          <cell r="EL16"/>
          <cell r="EM16"/>
          <cell r="EN16"/>
          <cell r="EO16"/>
          <cell r="EP16"/>
          <cell r="EQ16">
            <v>2</v>
          </cell>
          <cell r="ER16"/>
          <cell r="ES16">
            <v>1</v>
          </cell>
          <cell r="ET16"/>
          <cell r="EU16"/>
          <cell r="EV16"/>
          <cell r="EW16">
            <v>1</v>
          </cell>
        </row>
        <row r="32">
          <cell r="EL32"/>
          <cell r="EM32"/>
          <cell r="EN32"/>
          <cell r="EO32"/>
          <cell r="EP32"/>
          <cell r="EQ32">
            <v>210</v>
          </cell>
          <cell r="ER32">
            <v>159</v>
          </cell>
          <cell r="ES32">
            <v>193</v>
          </cell>
          <cell r="ET32"/>
          <cell r="EU32"/>
          <cell r="EV32"/>
          <cell r="EW32">
            <v>201</v>
          </cell>
        </row>
        <row r="33">
          <cell r="EL33"/>
          <cell r="EM33"/>
          <cell r="EN33"/>
          <cell r="EO33">
            <v>364</v>
          </cell>
          <cell r="EP33">
            <v>243</v>
          </cell>
          <cell r="EQ33">
            <v>206</v>
          </cell>
          <cell r="ER33"/>
          <cell r="ES33">
            <v>193</v>
          </cell>
          <cell r="ET33"/>
          <cell r="EU33"/>
          <cell r="EV33"/>
          <cell r="EW33">
            <v>201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</sheetData>
      <sheetData sheetId="61">
        <row r="4">
          <cell r="EW4"/>
        </row>
        <row r="5">
          <cell r="EW5"/>
        </row>
        <row r="15">
          <cell r="EL15"/>
          <cell r="EM15"/>
          <cell r="EN15"/>
          <cell r="EO15"/>
          <cell r="EP15"/>
          <cell r="EQ15">
            <v>2</v>
          </cell>
          <cell r="ER15"/>
          <cell r="ES15"/>
          <cell r="ET15">
            <v>1</v>
          </cell>
          <cell r="EU15"/>
          <cell r="EV15">
            <v>1</v>
          </cell>
          <cell r="EW15"/>
        </row>
        <row r="16">
          <cell r="EL16"/>
          <cell r="EM16"/>
          <cell r="EN16"/>
          <cell r="EO16"/>
          <cell r="EP16"/>
          <cell r="ER16"/>
          <cell r="ES16"/>
          <cell r="ET16"/>
          <cell r="EU16">
            <v>1</v>
          </cell>
          <cell r="EV16"/>
          <cell r="EW16"/>
        </row>
        <row r="22">
          <cell r="EW22"/>
        </row>
        <row r="23">
          <cell r="EW23"/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  <cell r="EU32"/>
          <cell r="EV32">
            <v>34</v>
          </cell>
          <cell r="EW32"/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>
            <v>209</v>
          </cell>
          <cell r="EV33"/>
          <cell r="EW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  <cell r="EW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</sheetData>
      <sheetData sheetId="62"/>
      <sheetData sheetId="63"/>
      <sheetData sheetId="64">
        <row r="4">
          <cell r="EW4">
            <v>23</v>
          </cell>
        </row>
        <row r="5">
          <cell r="EW5">
            <v>23</v>
          </cell>
        </row>
        <row r="47">
          <cell r="EW47">
            <v>771350</v>
          </cell>
        </row>
        <row r="48">
          <cell r="EW48"/>
        </row>
        <row r="52">
          <cell r="EW52">
            <v>513370</v>
          </cell>
        </row>
        <row r="53">
          <cell r="EW53"/>
        </row>
        <row r="57">
          <cell r="EW57"/>
        </row>
        <row r="58">
          <cell r="EW58"/>
        </row>
      </sheetData>
      <sheetData sheetId="65">
        <row r="4">
          <cell r="EW4">
            <v>36</v>
          </cell>
        </row>
        <row r="5">
          <cell r="EW5">
            <v>37</v>
          </cell>
        </row>
        <row r="47">
          <cell r="EW47">
            <v>43990</v>
          </cell>
        </row>
        <row r="48">
          <cell r="EW48"/>
        </row>
        <row r="52">
          <cell r="EW52">
            <v>55841</v>
          </cell>
        </row>
        <row r="53">
          <cell r="EW53"/>
        </row>
        <row r="57">
          <cell r="EW57"/>
        </row>
        <row r="58">
          <cell r="EW58"/>
        </row>
      </sheetData>
      <sheetData sheetId="66"/>
      <sheetData sheetId="67">
        <row r="15">
          <cell r="EW15">
            <v>19</v>
          </cell>
        </row>
        <row r="16">
          <cell r="EW16">
            <v>19</v>
          </cell>
        </row>
        <row r="47">
          <cell r="EW47">
            <v>19013</v>
          </cell>
        </row>
        <row r="48">
          <cell r="EW48"/>
        </row>
        <row r="52">
          <cell r="EW52">
            <v>72073</v>
          </cell>
        </row>
        <row r="53">
          <cell r="EW53"/>
        </row>
        <row r="57">
          <cell r="EW57"/>
        </row>
        <row r="58">
          <cell r="EW58"/>
        </row>
      </sheetData>
      <sheetData sheetId="68">
        <row r="4">
          <cell r="EW4">
            <v>173</v>
          </cell>
        </row>
        <row r="5">
          <cell r="EW5">
            <v>173</v>
          </cell>
        </row>
        <row r="15">
          <cell r="EW15"/>
        </row>
        <row r="47">
          <cell r="EW47">
            <v>9274333</v>
          </cell>
        </row>
        <row r="48">
          <cell r="EW48"/>
        </row>
        <row r="52">
          <cell r="EW52">
            <v>9720741</v>
          </cell>
        </row>
        <row r="53">
          <cell r="EW53"/>
        </row>
        <row r="57">
          <cell r="EW57"/>
        </row>
        <row r="58">
          <cell r="EW58"/>
        </row>
      </sheetData>
      <sheetData sheetId="69">
        <row r="4">
          <cell r="EW4">
            <v>158</v>
          </cell>
        </row>
        <row r="5">
          <cell r="EW5">
            <v>158</v>
          </cell>
        </row>
        <row r="15">
          <cell r="EW15">
            <v>11</v>
          </cell>
        </row>
        <row r="16">
          <cell r="EW16">
            <v>11</v>
          </cell>
        </row>
        <row r="47">
          <cell r="EW47">
            <v>7547380</v>
          </cell>
        </row>
        <row r="48">
          <cell r="EW48">
            <v>2451</v>
          </cell>
        </row>
        <row r="52">
          <cell r="EW52">
            <v>6789140</v>
          </cell>
        </row>
        <row r="53">
          <cell r="EW53">
            <v>64195</v>
          </cell>
        </row>
        <row r="57">
          <cell r="EW57"/>
        </row>
        <row r="58">
          <cell r="EW58"/>
        </row>
      </sheetData>
      <sheetData sheetId="70"/>
      <sheetData sheetId="71"/>
      <sheetData sheetId="72"/>
      <sheetData sheetId="73">
        <row r="4">
          <cell r="EW4">
            <v>306</v>
          </cell>
        </row>
        <row r="5">
          <cell r="EW5">
            <v>306</v>
          </cell>
        </row>
      </sheetData>
      <sheetData sheetId="74">
        <row r="4">
          <cell r="EW4">
            <v>36</v>
          </cell>
        </row>
        <row r="5">
          <cell r="EW5">
            <v>36</v>
          </cell>
        </row>
        <row r="47">
          <cell r="EW47">
            <v>29363</v>
          </cell>
        </row>
        <row r="48">
          <cell r="EW48"/>
        </row>
        <row r="52">
          <cell r="EW52">
            <v>44842</v>
          </cell>
        </row>
        <row r="53">
          <cell r="EW53"/>
        </row>
        <row r="57">
          <cell r="EW57"/>
        </row>
        <row r="58">
          <cell r="EW58"/>
        </row>
      </sheetData>
      <sheetData sheetId="75">
        <row r="4">
          <cell r="EW4">
            <v>22</v>
          </cell>
        </row>
        <row r="5">
          <cell r="EW5">
            <v>22</v>
          </cell>
        </row>
        <row r="47">
          <cell r="EW47">
            <v>52254</v>
          </cell>
        </row>
        <row r="48">
          <cell r="EW48"/>
        </row>
        <row r="52">
          <cell r="EW52">
            <v>148864</v>
          </cell>
        </row>
        <row r="53">
          <cell r="EW53"/>
        </row>
        <row r="57">
          <cell r="EW57"/>
        </row>
        <row r="58">
          <cell r="EW58"/>
        </row>
      </sheetData>
      <sheetData sheetId="76">
        <row r="4">
          <cell r="EW4">
            <v>22</v>
          </cell>
        </row>
        <row r="5">
          <cell r="EW5">
            <v>22</v>
          </cell>
        </row>
        <row r="8">
          <cell r="EW8"/>
        </row>
        <row r="9">
          <cell r="EW9"/>
        </row>
        <row r="47">
          <cell r="EW47">
            <v>46379</v>
          </cell>
        </row>
        <row r="48">
          <cell r="EW48"/>
        </row>
        <row r="52">
          <cell r="EW52">
            <v>42157</v>
          </cell>
        </row>
        <row r="53">
          <cell r="EW53"/>
        </row>
        <row r="57">
          <cell r="EW57"/>
        </row>
        <row r="58">
          <cell r="EW58"/>
        </row>
      </sheetData>
      <sheetData sheetId="77">
        <row r="4">
          <cell r="EW4">
            <v>51</v>
          </cell>
        </row>
        <row r="5">
          <cell r="EW5">
            <v>51</v>
          </cell>
        </row>
      </sheetData>
      <sheetData sheetId="78">
        <row r="4">
          <cell r="EW4">
            <v>769</v>
          </cell>
        </row>
        <row r="5">
          <cell r="EW5">
            <v>770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170911</v>
          </cell>
          <cell r="C23">
            <v>169553</v>
          </cell>
          <cell r="L23">
            <v>1653366</v>
          </cell>
          <cell r="M23">
            <v>1662857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Normal="100" zoomScaleSheetLayoutView="100" workbookViewId="0">
      <selection activeCell="B24" sqref="B24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7">
        <v>42705</v>
      </c>
      <c r="B2" s="17"/>
      <c r="C2" s="17"/>
      <c r="D2" s="483" t="s">
        <v>183</v>
      </c>
      <c r="E2" s="483" t="s">
        <v>178</v>
      </c>
      <c r="F2" s="8"/>
      <c r="G2" s="8"/>
      <c r="H2" s="8"/>
      <c r="I2" s="8"/>
      <c r="J2" s="23"/>
    </row>
    <row r="3" spans="1:14" ht="13.5" thickBot="1" x14ac:dyDescent="0.25">
      <c r="A3" s="393"/>
      <c r="B3" s="8" t="s">
        <v>0</v>
      </c>
      <c r="C3" s="8" t="s">
        <v>1</v>
      </c>
      <c r="D3" s="484"/>
      <c r="E3" s="485"/>
      <c r="F3" s="8" t="s">
        <v>2</v>
      </c>
      <c r="G3" s="8" t="s">
        <v>184</v>
      </c>
      <c r="H3" s="8" t="s">
        <v>175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7">
        <f>'Major Airline Stats'!I4</f>
        <v>1045331</v>
      </c>
      <c r="C5" s="299">
        <f>'Major Airline Stats'!I5</f>
        <v>1075559</v>
      </c>
      <c r="D5" s="5">
        <f>'Major Airline Stats'!I6</f>
        <v>2120890</v>
      </c>
      <c r="E5" s="9">
        <f>'[1]Monthly Summary'!D5</f>
        <v>2064226</v>
      </c>
      <c r="F5" s="39">
        <f>(D5-E5)/E5</f>
        <v>2.7450482650639998E-2</v>
      </c>
      <c r="G5" s="9">
        <f>+D5+'[2]Monthly Summary'!G5</f>
        <v>28016965</v>
      </c>
      <c r="H5" s="9">
        <f>'[1]Monthly Summary'!G5</f>
        <v>26995968</v>
      </c>
      <c r="I5" s="85">
        <f>(G5-H5)/H5</f>
        <v>3.7820351542867441E-2</v>
      </c>
      <c r="J5" s="9"/>
    </row>
    <row r="6" spans="1:14" x14ac:dyDescent="0.2">
      <c r="A6" s="67" t="s">
        <v>5</v>
      </c>
      <c r="B6" s="297">
        <f>'Regional Major'!L5</f>
        <v>339552</v>
      </c>
      <c r="C6" s="297">
        <f>'Regional Major'!L6</f>
        <v>335932</v>
      </c>
      <c r="D6" s="5">
        <f>B6+C6</f>
        <v>675484</v>
      </c>
      <c r="E6" s="9">
        <f>'[1]Monthly Summary'!D6</f>
        <v>673733</v>
      </c>
      <c r="F6" s="39">
        <f>(D6-E6)/E6</f>
        <v>2.5989524039938669E-3</v>
      </c>
      <c r="G6" s="9">
        <f>+D6+'[2]Monthly Summary'!G6</f>
        <v>8324599</v>
      </c>
      <c r="H6" s="9">
        <f>'[1]Monthly Summary'!G6</f>
        <v>8494508</v>
      </c>
      <c r="I6" s="85">
        <f>(G6-H6)/H6</f>
        <v>-2.0002217903614901E-2</v>
      </c>
      <c r="J6" s="20"/>
      <c r="K6" s="2"/>
    </row>
    <row r="7" spans="1:14" x14ac:dyDescent="0.2">
      <c r="A7" s="67" t="s">
        <v>6</v>
      </c>
      <c r="B7" s="9">
        <f>Charter!E5</f>
        <v>201</v>
      </c>
      <c r="C7" s="298">
        <f>Charter!E6</f>
        <v>201</v>
      </c>
      <c r="D7" s="5">
        <f>B7+C7</f>
        <v>402</v>
      </c>
      <c r="E7" s="9">
        <f>'[1]Monthly Summary'!D7</f>
        <v>144</v>
      </c>
      <c r="F7" s="477">
        <f>(D7-E7)/E7</f>
        <v>1.7916666666666667</v>
      </c>
      <c r="G7" s="9">
        <f>+D7+'[2]Monthly Summary'!G7</f>
        <v>5295</v>
      </c>
      <c r="H7" s="9">
        <f>'[1]Monthly Summary'!G7</f>
        <v>5233</v>
      </c>
      <c r="I7" s="85">
        <f>(G7-H7)/H7</f>
        <v>1.1847888400535066E-2</v>
      </c>
      <c r="J7" s="20"/>
      <c r="K7" s="2"/>
    </row>
    <row r="8" spans="1:14" x14ac:dyDescent="0.2">
      <c r="A8" s="70" t="s">
        <v>7</v>
      </c>
      <c r="B8" s="148">
        <f>SUM(B5:B7)</f>
        <v>1385084</v>
      </c>
      <c r="C8" s="148">
        <f>SUM(C5:C7)</f>
        <v>1411692</v>
      </c>
      <c r="D8" s="148">
        <f>SUM(D5:D7)</f>
        <v>2796776</v>
      </c>
      <c r="E8" s="148">
        <f>SUM(E5:E7)</f>
        <v>2738103</v>
      </c>
      <c r="F8" s="92">
        <f>(D8-E8)/E8</f>
        <v>2.1428339255316547E-2</v>
      </c>
      <c r="G8" s="148">
        <f>SUM(G5:G7)</f>
        <v>36346859</v>
      </c>
      <c r="H8" s="148">
        <f>SUM(H5:H7)</f>
        <v>35495709</v>
      </c>
      <c r="I8" s="91">
        <f>(G8-H8)/H8</f>
        <v>2.3978954751967343E-2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0">
        <f>'Major Airline Stats'!I9+'Regional Major'!L10</f>
        <v>44571</v>
      </c>
      <c r="C10" s="300">
        <f>'Major Airline Stats'!I10+'Regional Major'!L11</f>
        <v>45073</v>
      </c>
      <c r="D10" s="120">
        <f>SUM(B10:C10)</f>
        <v>89644</v>
      </c>
      <c r="E10" s="120">
        <f>'[1]Monthly Summary'!D10</f>
        <v>83946</v>
      </c>
      <c r="F10" s="93">
        <f>(D10-E10)/E10</f>
        <v>6.7876968527386658E-2</v>
      </c>
      <c r="G10" s="9">
        <f>+D10+'[2]Monthly Summary'!G10</f>
        <v>1158662</v>
      </c>
      <c r="H10" s="120">
        <f>'[1]Monthly Summary'!G10</f>
        <v>1088426</v>
      </c>
      <c r="I10" s="96">
        <f>(G10-H10)/H10</f>
        <v>6.4529880763598071E-2</v>
      </c>
      <c r="J10" s="263"/>
    </row>
    <row r="11" spans="1:14" ht="15.75" thickBot="1" x14ac:dyDescent="0.3">
      <c r="A11" s="69" t="s">
        <v>15</v>
      </c>
      <c r="B11" s="277">
        <f>B10+B8</f>
        <v>1429655</v>
      </c>
      <c r="C11" s="277">
        <f>C10+C8</f>
        <v>1456765</v>
      </c>
      <c r="D11" s="277">
        <f>D10+D8</f>
        <v>2886420</v>
      </c>
      <c r="E11" s="277">
        <f>E10+E8</f>
        <v>2822049</v>
      </c>
      <c r="F11" s="94">
        <f>(D11-E11)/E11</f>
        <v>2.2810022079701665E-2</v>
      </c>
      <c r="G11" s="277">
        <f>G8+G10</f>
        <v>37505521</v>
      </c>
      <c r="H11" s="277">
        <f>H8+H10</f>
        <v>36584135</v>
      </c>
      <c r="I11" s="97">
        <f>(G11-H11)/H11</f>
        <v>2.518539798740629E-2</v>
      </c>
      <c r="J11" s="7"/>
    </row>
    <row r="12" spans="1:14" ht="15" x14ac:dyDescent="0.25">
      <c r="A12" s="15"/>
      <c r="B12" s="124"/>
      <c r="C12" s="124"/>
      <c r="D12" s="124"/>
      <c r="E12" s="124"/>
      <c r="F12" s="279"/>
      <c r="G12" s="124"/>
      <c r="H12" s="124"/>
      <c r="I12" s="280"/>
      <c r="J12" s="7"/>
      <c r="K12" s="130"/>
    </row>
    <row r="13" spans="1:14" ht="16.5" customHeight="1" x14ac:dyDescent="0.2">
      <c r="B13" s="8"/>
      <c r="C13" s="8"/>
      <c r="D13" s="483" t="s">
        <v>183</v>
      </c>
      <c r="E13" s="483" t="s">
        <v>178</v>
      </c>
      <c r="F13" s="438"/>
      <c r="G13" s="438"/>
      <c r="H13" s="438"/>
      <c r="I13" s="438"/>
    </row>
    <row r="14" spans="1:14" ht="13.5" thickBot="1" x14ac:dyDescent="0.25">
      <c r="A14" s="16"/>
      <c r="B14" s="102" t="s">
        <v>14</v>
      </c>
      <c r="C14" s="102" t="s">
        <v>13</v>
      </c>
      <c r="D14" s="484"/>
      <c r="E14" s="485"/>
      <c r="F14" s="438" t="s">
        <v>2</v>
      </c>
      <c r="G14" s="438" t="s">
        <v>184</v>
      </c>
      <c r="H14" s="438" t="s">
        <v>175</v>
      </c>
      <c r="I14" s="438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0"/>
    </row>
    <row r="16" spans="1:14" x14ac:dyDescent="0.2">
      <c r="A16" s="68" t="s">
        <v>4</v>
      </c>
      <c r="B16" s="308">
        <f>'Major Airline Stats'!I15+'Major Airline Stats'!I19</f>
        <v>8461</v>
      </c>
      <c r="C16" s="308">
        <f>'Major Airline Stats'!I16+'Major Airline Stats'!I20</f>
        <v>8452</v>
      </c>
      <c r="D16" s="47">
        <f t="shared" ref="D16:D21" si="0">SUM(B16:C16)</f>
        <v>16913</v>
      </c>
      <c r="E16" s="9">
        <f>'[1]Monthly Summary'!D16</f>
        <v>16024</v>
      </c>
      <c r="F16" s="95">
        <f t="shared" ref="F16:F22" si="1">(D16-E16)/E16</f>
        <v>5.5479281078382424E-2</v>
      </c>
      <c r="G16" s="9">
        <f>+D16+'[2]Monthly Summary'!G16</f>
        <v>213682</v>
      </c>
      <c r="H16" s="9">
        <f>'[1]Monthly Summary'!G16</f>
        <v>205635</v>
      </c>
      <c r="I16" s="261">
        <f t="shared" ref="I16:I22" si="2">(G16-H16)/H16</f>
        <v>3.9132443407007562E-2</v>
      </c>
      <c r="N16" s="130"/>
    </row>
    <row r="17" spans="1:12" x14ac:dyDescent="0.2">
      <c r="A17" s="68" t="s">
        <v>5</v>
      </c>
      <c r="B17" s="47">
        <f>'Regional Major'!L15+'Regional Major'!L18</f>
        <v>6525</v>
      </c>
      <c r="C17" s="47">
        <f>'Regional Major'!L16+'Regional Major'!L19</f>
        <v>6524</v>
      </c>
      <c r="D17" s="47">
        <f>SUM(B17:C17)</f>
        <v>13049</v>
      </c>
      <c r="E17" s="9">
        <f>'[1]Monthly Summary'!D17</f>
        <v>12874</v>
      </c>
      <c r="F17" s="95">
        <f t="shared" si="1"/>
        <v>1.359328879913003E-2</v>
      </c>
      <c r="G17" s="9">
        <f>+D17+'[2]Monthly Summary'!G17</f>
        <v>161359</v>
      </c>
      <c r="H17" s="9">
        <f>'[1]Monthly Summary'!G17</f>
        <v>162779</v>
      </c>
      <c r="I17" s="261">
        <f t="shared" si="2"/>
        <v>-8.7234839874922449E-3</v>
      </c>
    </row>
    <row r="18" spans="1:12" x14ac:dyDescent="0.2">
      <c r="A18" s="68" t="s">
        <v>10</v>
      </c>
      <c r="B18" s="47">
        <f>Charter!E10</f>
        <v>0</v>
      </c>
      <c r="C18" s="47">
        <f>Charter!E11</f>
        <v>1</v>
      </c>
      <c r="D18" s="47">
        <f t="shared" si="0"/>
        <v>1</v>
      </c>
      <c r="E18" s="9">
        <f>'[1]Monthly Summary'!D18</f>
        <v>4</v>
      </c>
      <c r="F18" s="95">
        <f t="shared" si="1"/>
        <v>-0.75</v>
      </c>
      <c r="G18" s="9">
        <f>+D18+'[2]Monthly Summary'!G18</f>
        <v>68</v>
      </c>
      <c r="H18" s="9">
        <f>'[1]Monthly Summary'!G18</f>
        <v>80</v>
      </c>
      <c r="I18" s="261">
        <f t="shared" si="2"/>
        <v>-0.15</v>
      </c>
    </row>
    <row r="19" spans="1:12" x14ac:dyDescent="0.2">
      <c r="A19" s="68" t="s">
        <v>11</v>
      </c>
      <c r="B19" s="47">
        <f>Cargo!M4</f>
        <v>806</v>
      </c>
      <c r="C19" s="47">
        <f>Cargo!M5</f>
        <v>807</v>
      </c>
      <c r="D19" s="47">
        <f t="shared" si="0"/>
        <v>1613</v>
      </c>
      <c r="E19" s="9">
        <f>'[1]Monthly Summary'!D19</f>
        <v>1403</v>
      </c>
      <c r="F19" s="95">
        <f t="shared" si="1"/>
        <v>0.14967925873129009</v>
      </c>
      <c r="G19" s="9">
        <f>+D19+'[2]Monthly Summary'!G19</f>
        <v>14400</v>
      </c>
      <c r="H19" s="9">
        <f>'[1]Monthly Summary'!G19</f>
        <v>12789</v>
      </c>
      <c r="I19" s="261">
        <f t="shared" si="2"/>
        <v>0.12596762843068263</v>
      </c>
    </row>
    <row r="20" spans="1:12" x14ac:dyDescent="0.2">
      <c r="A20" s="68" t="s">
        <v>157</v>
      </c>
      <c r="B20" s="47">
        <f>'[3]General Avation'!$EW$4</f>
        <v>769</v>
      </c>
      <c r="C20" s="47">
        <f>'[3]General Avation'!$EW$5</f>
        <v>770</v>
      </c>
      <c r="D20" s="47">
        <f t="shared" si="0"/>
        <v>1539</v>
      </c>
      <c r="E20" s="9">
        <f>'[1]Monthly Summary'!D20</f>
        <v>1874</v>
      </c>
      <c r="F20" s="95">
        <f t="shared" si="1"/>
        <v>-0.17876200640341516</v>
      </c>
      <c r="G20" s="9">
        <f>+D20+'[2]Monthly Summary'!G20</f>
        <v>22454.5</v>
      </c>
      <c r="H20" s="9">
        <f>'[1]Monthly Summary'!G20</f>
        <v>22077</v>
      </c>
      <c r="I20" s="261">
        <f t="shared" si="2"/>
        <v>1.7099243556642659E-2</v>
      </c>
    </row>
    <row r="21" spans="1:12" ht="12.75" customHeight="1" x14ac:dyDescent="0.2">
      <c r="A21" s="68" t="s">
        <v>12</v>
      </c>
      <c r="B21" s="18">
        <f>'[3]Military '!$EW$4</f>
        <v>51</v>
      </c>
      <c r="C21" s="18">
        <f>'[3]Military '!$EW$5</f>
        <v>51</v>
      </c>
      <c r="D21" s="18">
        <f t="shared" si="0"/>
        <v>102</v>
      </c>
      <c r="E21" s="120">
        <f>'[1]Monthly Summary'!D21</f>
        <v>84</v>
      </c>
      <c r="F21" s="259">
        <f t="shared" si="1"/>
        <v>0.21428571428571427</v>
      </c>
      <c r="G21" s="473">
        <f>+D21+'[2]Monthly Summary'!G21</f>
        <v>1315</v>
      </c>
      <c r="H21" s="120">
        <f>'[1]Monthly Summary'!G21</f>
        <v>1252</v>
      </c>
      <c r="I21" s="262">
        <f t="shared" si="2"/>
        <v>5.0319488817891375E-2</v>
      </c>
    </row>
    <row r="22" spans="1:12" ht="15.75" thickBot="1" x14ac:dyDescent="0.3">
      <c r="A22" s="69" t="s">
        <v>31</v>
      </c>
      <c r="B22" s="278">
        <f>SUM(B16:B21)</f>
        <v>16612</v>
      </c>
      <c r="C22" s="278">
        <f>SUM(C16:C21)</f>
        <v>16605</v>
      </c>
      <c r="D22" s="278">
        <f>SUM(D16:D21)</f>
        <v>33217</v>
      </c>
      <c r="E22" s="278">
        <f>SUM(E16:E21)</f>
        <v>32263</v>
      </c>
      <c r="F22" s="274">
        <f t="shared" si="1"/>
        <v>2.9569475870191861E-2</v>
      </c>
      <c r="G22" s="278">
        <f>SUM(G16:G21)</f>
        <v>413278.5</v>
      </c>
      <c r="H22" s="278">
        <f>SUM(H16:H21)</f>
        <v>404612</v>
      </c>
      <c r="I22" s="275">
        <f t="shared" si="2"/>
        <v>2.141928563660989E-2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3" t="s">
        <v>183</v>
      </c>
      <c r="E24" s="483" t="s">
        <v>178</v>
      </c>
      <c r="F24" s="438"/>
      <c r="G24" s="438"/>
      <c r="H24" s="438"/>
      <c r="I24" s="438"/>
    </row>
    <row r="25" spans="1:12" ht="13.5" thickBot="1" x14ac:dyDescent="0.25">
      <c r="B25" s="8" t="s">
        <v>0</v>
      </c>
      <c r="C25" s="8" t="s">
        <v>1</v>
      </c>
      <c r="D25" s="484"/>
      <c r="E25" s="485"/>
      <c r="F25" s="438" t="s">
        <v>2</v>
      </c>
      <c r="G25" s="438" t="s">
        <v>184</v>
      </c>
      <c r="H25" s="438" t="s">
        <v>175</v>
      </c>
      <c r="I25" s="438" t="s">
        <v>2</v>
      </c>
    </row>
    <row r="26" spans="1:12" ht="15" x14ac:dyDescent="0.25">
      <c r="A26" s="65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10103.78909262954</v>
      </c>
      <c r="C27" s="22">
        <f>(Cargo!M21+'Major Airline Stats'!I33+'Regional Major'!L30)*0.00045359237</f>
        <v>9055.6614098689206</v>
      </c>
      <c r="D27" s="22">
        <f>(SUM(B27:C27)+('Cargo Summary'!E17*0.00045359237))</f>
        <v>19159.450502498461</v>
      </c>
      <c r="E27" s="9">
        <f>'[1]Monthly Summary'!D27</f>
        <v>16785.598874499068</v>
      </c>
      <c r="F27" s="98">
        <f>(D27-E27)/E27</f>
        <v>0.14142192040617529</v>
      </c>
      <c r="G27" s="9">
        <f>+D27+'[2]Monthly Summary'!G27</f>
        <v>190408.67440976226</v>
      </c>
      <c r="H27" s="9">
        <f>'[1]Monthly Summary'!G27</f>
        <v>182845.80952995896</v>
      </c>
      <c r="I27" s="100">
        <f>(G27-H27)/H27</f>
        <v>4.1361980891140591E-2</v>
      </c>
    </row>
    <row r="28" spans="1:12" x14ac:dyDescent="0.2">
      <c r="A28" s="62" t="s">
        <v>18</v>
      </c>
      <c r="B28" s="22">
        <f>(Cargo!M17+'Major Airline Stats'!I29+'Regional Major'!L26)*0.00045359237</f>
        <v>951.75971579226996</v>
      </c>
      <c r="C28" s="22">
        <f>(Cargo!M22+'Major Airline Stats'!I34+'Regional Major'!L31)*0.00045359237</f>
        <v>1228.8679128803001</v>
      </c>
      <c r="D28" s="22">
        <f>SUM(B28:C28)</f>
        <v>2180.6276286725702</v>
      </c>
      <c r="E28" s="9">
        <f>'[1]Monthly Summary'!D28</f>
        <v>2141.3274785510298</v>
      </c>
      <c r="F28" s="98">
        <f>(D28-E28)/E28</f>
        <v>1.8353171345904341E-2</v>
      </c>
      <c r="G28" s="9">
        <f>+D28+'[2]Monthly Summary'!G28</f>
        <v>16533.405846771835</v>
      </c>
      <c r="H28" s="9">
        <f>'[1]Monthly Summary'!G28</f>
        <v>16494.112706466778</v>
      </c>
      <c r="I28" s="100">
        <f>(G28-H28)/H28</f>
        <v>2.3822524439069417E-3</v>
      </c>
    </row>
    <row r="29" spans="1:12" ht="15.75" thickBot="1" x14ac:dyDescent="0.3">
      <c r="A29" s="63" t="s">
        <v>66</v>
      </c>
      <c r="B29" s="54">
        <f>SUM(B27:B28)</f>
        <v>11055.54880842181</v>
      </c>
      <c r="C29" s="54">
        <f>SUM(C27:C28)</f>
        <v>10284.52932274922</v>
      </c>
      <c r="D29" s="54">
        <f>SUM(D27:D28)</f>
        <v>21340.078131171031</v>
      </c>
      <c r="E29" s="54">
        <f>SUM(E27:E28)</f>
        <v>18926.926353050098</v>
      </c>
      <c r="F29" s="99">
        <f>(D29-E29)/E29</f>
        <v>0.12749834458631212</v>
      </c>
      <c r="G29" s="54">
        <f>SUM(G27:G28)</f>
        <v>206942.0802565341</v>
      </c>
      <c r="H29" s="54">
        <f>SUM(H27:H28)</f>
        <v>199339.92223642574</v>
      </c>
      <c r="I29" s="101">
        <f>(G29-H29)/H29</f>
        <v>3.8136655893202712E-2</v>
      </c>
    </row>
    <row r="30" spans="1:12" s="7" customFormat="1" ht="4.5" customHeight="1" thickBot="1" x14ac:dyDescent="0.3">
      <c r="A30" s="59"/>
      <c r="B30" s="395"/>
      <c r="C30" s="395"/>
      <c r="D30" s="395"/>
      <c r="E30" s="395"/>
      <c r="F30" s="279"/>
      <c r="G30" s="395"/>
      <c r="H30" s="395"/>
      <c r="I30" s="279"/>
    </row>
    <row r="31" spans="1:12" ht="13.5" thickBot="1" x14ac:dyDescent="0.25">
      <c r="B31" s="482" t="s">
        <v>153</v>
      </c>
      <c r="C31" s="481"/>
      <c r="D31" s="482" t="s">
        <v>160</v>
      </c>
      <c r="E31" s="481"/>
      <c r="F31" s="418"/>
      <c r="G31" s="419"/>
      <c r="H31" s="417"/>
      <c r="I31" s="417"/>
    </row>
    <row r="32" spans="1:12" x14ac:dyDescent="0.2">
      <c r="A32" s="399" t="s">
        <v>154</v>
      </c>
      <c r="B32" s="400">
        <f>C8-B33</f>
        <v>874567</v>
      </c>
      <c r="C32" s="401">
        <f>B32/C8</f>
        <v>0.61951686345180113</v>
      </c>
      <c r="D32" s="402">
        <f>+B32+'[2]Monthly Summary'!$D$32</f>
        <v>10500930</v>
      </c>
      <c r="E32" s="403">
        <f>+D32/D34</f>
        <v>0.5782211000954145</v>
      </c>
      <c r="G32" s="425"/>
      <c r="H32" s="417"/>
      <c r="I32" s="416"/>
    </row>
    <row r="33" spans="1:14" ht="13.5" thickBot="1" x14ac:dyDescent="0.25">
      <c r="A33" s="404" t="s">
        <v>155</v>
      </c>
      <c r="B33" s="405">
        <f>'Major Airline Stats'!I51+'Regional Major'!L45</f>
        <v>537125</v>
      </c>
      <c r="C33" s="406">
        <f>+B33/C8</f>
        <v>0.38048313654819887</v>
      </c>
      <c r="D33" s="407">
        <f>+B33+'[2]Monthly Summary'!$D$33</f>
        <v>7659822</v>
      </c>
      <c r="E33" s="408">
        <f>+D33/D34</f>
        <v>0.42177889990458545</v>
      </c>
      <c r="G33" s="417"/>
      <c r="H33" s="417"/>
      <c r="I33" s="416"/>
    </row>
    <row r="34" spans="1:14" ht="13.5" thickBot="1" x14ac:dyDescent="0.25">
      <c r="B34" s="312"/>
      <c r="D34" s="409">
        <f>SUM(D32:D33)</f>
        <v>18160752</v>
      </c>
    </row>
    <row r="35" spans="1:14" ht="13.5" thickBot="1" x14ac:dyDescent="0.25">
      <c r="B35" s="480" t="s">
        <v>218</v>
      </c>
      <c r="C35" s="481"/>
      <c r="D35" s="482" t="s">
        <v>185</v>
      </c>
      <c r="E35" s="481"/>
    </row>
    <row r="36" spans="1:14" x14ac:dyDescent="0.2">
      <c r="A36" s="399" t="s">
        <v>154</v>
      </c>
      <c r="B36" s="400">
        <f>'[1]Monthly Summary'!$B$32</f>
        <v>814544</v>
      </c>
      <c r="C36" s="401">
        <f>+B36/B38</f>
        <v>0.58701431603374155</v>
      </c>
      <c r="D36" s="402">
        <f>'[1]Monthly Summary'!$D$32</f>
        <v>9752331</v>
      </c>
      <c r="E36" s="403">
        <f>+D36/D38</f>
        <v>0.54999444497394212</v>
      </c>
    </row>
    <row r="37" spans="1:14" ht="13.5" thickBot="1" x14ac:dyDescent="0.25">
      <c r="A37" s="404" t="s">
        <v>155</v>
      </c>
      <c r="B37" s="405">
        <f>'[1]Monthly Summary'!$B$33</f>
        <v>573061</v>
      </c>
      <c r="C37" s="408">
        <f>+B37/B38</f>
        <v>0.4129856839662584</v>
      </c>
      <c r="D37" s="407">
        <f>'[1]Monthly Summary'!$D$33</f>
        <v>7979359</v>
      </c>
      <c r="E37" s="408">
        <f>+D37/D38</f>
        <v>0.45000555502605788</v>
      </c>
    </row>
    <row r="38" spans="1:14" x14ac:dyDescent="0.2">
      <c r="B38" s="424">
        <f>+SUM(B36:B37)</f>
        <v>1387605</v>
      </c>
      <c r="D38" s="409">
        <f>SUM(D36:D37)</f>
        <v>17731690</v>
      </c>
      <c r="H38" s="130"/>
    </row>
    <row r="39" spans="1:14" x14ac:dyDescent="0.2">
      <c r="A39" s="413" t="s">
        <v>156</v>
      </c>
    </row>
    <row r="40" spans="1:14" x14ac:dyDescent="0.2">
      <c r="A40" s="229" t="s">
        <v>158</v>
      </c>
      <c r="I40" s="2"/>
    </row>
    <row r="41" spans="1:14" x14ac:dyDescent="0.2">
      <c r="N41" s="414"/>
    </row>
    <row r="42" spans="1:14" x14ac:dyDescent="0.2">
      <c r="G42" s="2"/>
      <c r="N42" s="414"/>
    </row>
    <row r="43" spans="1:14" x14ac:dyDescent="0.2">
      <c r="J43" s="2"/>
      <c r="N43" s="414"/>
    </row>
    <row r="44" spans="1:14" x14ac:dyDescent="0.2">
      <c r="N44" s="414"/>
    </row>
    <row r="45" spans="1:14" x14ac:dyDescent="0.2">
      <c r="J45" s="2"/>
      <c r="N45" s="414"/>
    </row>
    <row r="46" spans="1:14" x14ac:dyDescent="0.2">
      <c r="B46" s="2"/>
      <c r="F46" s="312"/>
    </row>
    <row r="47" spans="1:14" x14ac:dyDescent="0.2">
      <c r="N47" s="414"/>
    </row>
    <row r="51" spans="12:12" x14ac:dyDescent="0.2">
      <c r="L51" s="415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704"/>
  <sheetViews>
    <sheetView topLeftCell="A37" zoomScaleNormal="100" zoomScaleSheetLayoutView="85" workbookViewId="0">
      <selection activeCell="E6" sqref="E6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11" customWidth="1"/>
  </cols>
  <sheetData>
    <row r="1" spans="1:20" s="224" customFormat="1" ht="26.25" thickBot="1" x14ac:dyDescent="0.25">
      <c r="A1" s="518" t="s">
        <v>138</v>
      </c>
      <c r="B1" s="519"/>
      <c r="C1" s="264" t="s">
        <v>188</v>
      </c>
      <c r="D1" s="265" t="s">
        <v>143</v>
      </c>
      <c r="E1" s="266" t="s">
        <v>171</v>
      </c>
      <c r="F1" s="268" t="s">
        <v>102</v>
      </c>
      <c r="G1" s="267" t="s">
        <v>189</v>
      </c>
      <c r="H1" s="266" t="s">
        <v>172</v>
      </c>
      <c r="I1" s="268" t="s">
        <v>103</v>
      </c>
      <c r="J1" s="525" t="s">
        <v>142</v>
      </c>
      <c r="K1" s="526"/>
      <c r="L1" s="269" t="s">
        <v>190</v>
      </c>
      <c r="M1" s="386" t="s">
        <v>145</v>
      </c>
      <c r="N1" s="270" t="s">
        <v>173</v>
      </c>
      <c r="O1" s="345" t="s">
        <v>103</v>
      </c>
      <c r="P1" s="271" t="s">
        <v>191</v>
      </c>
      <c r="Q1" s="271" t="s">
        <v>174</v>
      </c>
      <c r="R1" s="272" t="s">
        <v>103</v>
      </c>
    </row>
    <row r="2" spans="1:20" s="224" customFormat="1" ht="13.5" thickBot="1" x14ac:dyDescent="0.25">
      <c r="A2" s="520">
        <v>42705</v>
      </c>
      <c r="B2" s="521"/>
      <c r="C2" s="522" t="s">
        <v>9</v>
      </c>
      <c r="D2" s="523"/>
      <c r="E2" s="523"/>
      <c r="F2" s="523"/>
      <c r="G2" s="523"/>
      <c r="H2" s="523"/>
      <c r="I2" s="524"/>
      <c r="J2" s="520">
        <v>42705</v>
      </c>
      <c r="K2" s="521"/>
      <c r="L2" s="515" t="s">
        <v>144</v>
      </c>
      <c r="M2" s="516"/>
      <c r="N2" s="516"/>
      <c r="O2" s="516"/>
      <c r="P2" s="516"/>
      <c r="Q2" s="516"/>
      <c r="R2" s="517"/>
    </row>
    <row r="3" spans="1:20" x14ac:dyDescent="0.2">
      <c r="A3" s="346"/>
      <c r="B3" s="347"/>
      <c r="C3" s="348"/>
      <c r="D3" s="349"/>
      <c r="E3" s="350"/>
      <c r="F3" s="351"/>
      <c r="G3" s="420"/>
      <c r="H3" s="421"/>
      <c r="I3" s="351"/>
      <c r="J3" s="352"/>
      <c r="K3" s="347"/>
      <c r="L3" s="348"/>
      <c r="M3" s="349"/>
      <c r="N3" s="350"/>
      <c r="O3" s="351"/>
      <c r="P3" s="353"/>
      <c r="Q3" s="353"/>
      <c r="R3" s="347"/>
    </row>
    <row r="4" spans="1:20" ht="14.1" customHeight="1" x14ac:dyDescent="0.2">
      <c r="A4" s="354" t="s">
        <v>105</v>
      </c>
      <c r="B4" s="55"/>
      <c r="C4" s="355">
        <f>SUM(C5:C7)</f>
        <v>168</v>
      </c>
      <c r="D4" s="356">
        <f>C4/$C$64</f>
        <v>5.6071023296175157E-3</v>
      </c>
      <c r="E4" s="357">
        <f>SUM(E5:E7)</f>
        <v>0</v>
      </c>
      <c r="F4" s="358" t="e">
        <f>(C4-E4)/E4</f>
        <v>#DIV/0!</v>
      </c>
      <c r="G4" s="355">
        <f>SUM(G5:G7)</f>
        <v>2214</v>
      </c>
      <c r="H4" s="357">
        <f>SUM(H5:H7)</f>
        <v>1945</v>
      </c>
      <c r="I4" s="358">
        <f>(G4-H4)/H4</f>
        <v>0.13830334190231364</v>
      </c>
      <c r="J4" s="354" t="s">
        <v>105</v>
      </c>
      <c r="K4" s="55"/>
      <c r="L4" s="355">
        <f>SUM(L5:L7)</f>
        <v>6556</v>
      </c>
      <c r="M4" s="356">
        <f>L4/$L$64</f>
        <v>2.3444646531544065E-3</v>
      </c>
      <c r="N4" s="357">
        <f>SUM(N5:N7)</f>
        <v>0</v>
      </c>
      <c r="O4" s="358" t="e">
        <f>(L4-N4)/N4</f>
        <v>#DIV/0!</v>
      </c>
      <c r="P4" s="355">
        <f>SUM(P5:P7)</f>
        <v>89282</v>
      </c>
      <c r="Q4" s="357">
        <f>SUM(Q5:Q7)</f>
        <v>82726</v>
      </c>
      <c r="R4" s="358">
        <f>(P4-Q4)/Q4</f>
        <v>7.9249570872518924E-2</v>
      </c>
      <c r="T4" s="20"/>
    </row>
    <row r="5" spans="1:20" ht="14.1" customHeight="1" x14ac:dyDescent="0.2">
      <c r="A5" s="354"/>
      <c r="B5" s="439" t="s">
        <v>105</v>
      </c>
      <c r="C5" s="359">
        <v>0</v>
      </c>
      <c r="D5" s="39">
        <f>C5/$C$64</f>
        <v>0</v>
      </c>
      <c r="E5" s="9">
        <v>0</v>
      </c>
      <c r="F5" s="86" t="e">
        <f>(C5-E5)/E5</f>
        <v>#DIV/0!</v>
      </c>
      <c r="G5" s="298">
        <v>0</v>
      </c>
      <c r="H5" s="298">
        <v>0</v>
      </c>
      <c r="I5" s="448" t="e">
        <f>(G5-H5)/H5</f>
        <v>#DIV/0!</v>
      </c>
      <c r="J5" s="354"/>
      <c r="K5" s="439" t="s">
        <v>105</v>
      </c>
      <c r="L5" s="446">
        <v>0</v>
      </c>
      <c r="M5" s="447">
        <f>L5/$L$64</f>
        <v>0</v>
      </c>
      <c r="N5" s="298">
        <v>0</v>
      </c>
      <c r="O5" s="448" t="e">
        <f>(L5-N5)/N5</f>
        <v>#DIV/0!</v>
      </c>
      <c r="P5" s="298">
        <v>0</v>
      </c>
      <c r="Q5" s="298">
        <v>0</v>
      </c>
      <c r="R5" s="448" t="e">
        <f>(P5-Q5)/Q5</f>
        <v>#DIV/0!</v>
      </c>
      <c r="T5" s="20"/>
    </row>
    <row r="6" spans="1:20" ht="14.1" customHeight="1" x14ac:dyDescent="0.2">
      <c r="A6" s="354"/>
      <c r="B6" s="439" t="s">
        <v>192</v>
      </c>
      <c r="C6" s="446">
        <f>'[3]Jazz Air'!$EW$19</f>
        <v>0</v>
      </c>
      <c r="D6" s="447">
        <f>C6/$C$64</f>
        <v>0</v>
      </c>
      <c r="E6" s="298">
        <f>[3]AirCanada!$EI$19</f>
        <v>0</v>
      </c>
      <c r="F6" s="448" t="e">
        <f>(C6-E6)/E6</f>
        <v>#DIV/0!</v>
      </c>
      <c r="G6" s="298">
        <f>SUM('[3]Jazz Air'!$EL$19:$EW$19)</f>
        <v>185</v>
      </c>
      <c r="H6" s="298">
        <f>SUM('[3]Jazz Air'!$DX$19:$EI$19)</f>
        <v>1945</v>
      </c>
      <c r="I6" s="448">
        <f>(G6-H6)/H6</f>
        <v>-0.90488431876606679</v>
      </c>
      <c r="J6" s="449"/>
      <c r="K6" s="439" t="s">
        <v>192</v>
      </c>
      <c r="L6" s="446">
        <f>'[3]Jazz Air'!$EW$41</f>
        <v>0</v>
      </c>
      <c r="M6" s="447">
        <f>L6/$L$64</f>
        <v>0</v>
      </c>
      <c r="N6" s="298">
        <f>[3]AirCanada!$EI$41</f>
        <v>0</v>
      </c>
      <c r="O6" s="448" t="e">
        <f>(L6-N6)/N6</f>
        <v>#DIV/0!</v>
      </c>
      <c r="P6" s="298">
        <f>SUM('[3]Jazz Air'!$EL$41:$EW$41)</f>
        <v>6759</v>
      </c>
      <c r="Q6" s="298">
        <f>SUM([3]AirCanada!$DX$41:$EI$41)</f>
        <v>82726</v>
      </c>
      <c r="R6" s="448">
        <f>(P6-Q6)/Q6</f>
        <v>-0.91829654522157489</v>
      </c>
      <c r="T6" s="20"/>
    </row>
    <row r="7" spans="1:20" ht="14.1" customHeight="1" x14ac:dyDescent="0.2">
      <c r="A7" s="354"/>
      <c r="B7" s="478" t="s">
        <v>193</v>
      </c>
      <c r="C7" s="359">
        <f>'[3]Air Georgian'!$EW$19</f>
        <v>168</v>
      </c>
      <c r="D7" s="39">
        <f>C7/$C$64</f>
        <v>5.6071023296175157E-3</v>
      </c>
      <c r="E7" s="9">
        <f>'[3]Air Georgian'!$EI$19</f>
        <v>0</v>
      </c>
      <c r="F7" s="86" t="e">
        <f>(C7-E7)/E7</f>
        <v>#DIV/0!</v>
      </c>
      <c r="G7" s="298">
        <f>SUM('[3]Air Georgian'!$EL$19:$EW$19)</f>
        <v>2029</v>
      </c>
      <c r="H7" s="298">
        <f>SUM('[3]Air Georgian'!$DX$19:$EI$19)</f>
        <v>0</v>
      </c>
      <c r="I7" s="448" t="e">
        <f>(G7-H7)/H7</f>
        <v>#DIV/0!</v>
      </c>
      <c r="J7" s="354"/>
      <c r="K7" s="439" t="s">
        <v>193</v>
      </c>
      <c r="L7" s="359">
        <f>'[3]Air Georgian'!$EW$41</f>
        <v>6556</v>
      </c>
      <c r="M7" s="39">
        <f>L7/$L$64</f>
        <v>2.3444646531544065E-3</v>
      </c>
      <c r="N7" s="9">
        <f>'[3]Air Georgian'!$EI$41</f>
        <v>0</v>
      </c>
      <c r="O7" s="86" t="e">
        <f>(L7-N7)/N7</f>
        <v>#DIV/0!</v>
      </c>
      <c r="P7" s="9">
        <f>SUM('[3]Air Georgian'!$EL$41:$EW$41)</f>
        <v>82523</v>
      </c>
      <c r="Q7" s="9">
        <f>SUM('[3]Air Georgian'!$DX$41:$EI$41)</f>
        <v>0</v>
      </c>
      <c r="R7" s="86" t="e">
        <f>(P7-Q7)/Q7</f>
        <v>#DIV/0!</v>
      </c>
      <c r="T7" s="20"/>
    </row>
    <row r="8" spans="1:20" ht="14.1" customHeight="1" x14ac:dyDescent="0.2">
      <c r="A8" s="354"/>
      <c r="B8" s="369"/>
      <c r="C8" s="355"/>
      <c r="D8" s="356"/>
      <c r="E8" s="357"/>
      <c r="F8" s="358"/>
      <c r="G8" s="357"/>
      <c r="H8" s="357"/>
      <c r="I8" s="358"/>
      <c r="J8" s="354"/>
      <c r="K8" s="55"/>
      <c r="L8" s="359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4" t="s">
        <v>214</v>
      </c>
      <c r="B9" s="369"/>
      <c r="C9" s="355">
        <f>'[3]Air Choice One'!$EW$19</f>
        <v>250</v>
      </c>
      <c r="D9" s="356">
        <f t="shared" ref="D9" si="0">C9/$C$64</f>
        <v>8.3439022762165412E-3</v>
      </c>
      <c r="E9" s="357">
        <f>'[3]Air Choice One'!$EI$19</f>
        <v>0</v>
      </c>
      <c r="F9" s="358" t="e">
        <f t="shared" ref="F9" si="1">(C9-E9)/E9</f>
        <v>#DIV/0!</v>
      </c>
      <c r="G9" s="357">
        <f>SUM('[3]Air Choice One'!$EL$19:$EW$19)</f>
        <v>678</v>
      </c>
      <c r="H9" s="357">
        <f>SUM('[3]Air Choice One'!$DX$19:$EI$19)</f>
        <v>0</v>
      </c>
      <c r="I9" s="358" t="e">
        <f t="shared" ref="I9" si="2">(G9-H9)/H9</f>
        <v>#DIV/0!</v>
      </c>
      <c r="J9" s="354" t="s">
        <v>214</v>
      </c>
      <c r="K9" s="55"/>
      <c r="L9" s="355">
        <f>'[3]Air Choice One'!$EW$41</f>
        <v>1025</v>
      </c>
      <c r="M9" s="356">
        <f t="shared" ref="M9" si="3">L9/$L$64</f>
        <v>3.6654610577841162E-4</v>
      </c>
      <c r="N9" s="357">
        <f>'[3]Air Choice One'!$EI$41</f>
        <v>0</v>
      </c>
      <c r="O9" s="358" t="e">
        <f t="shared" ref="O9" si="4">(L9-N9)/N9</f>
        <v>#DIV/0!</v>
      </c>
      <c r="P9" s="357">
        <f>SUM('[3]Air Choice One'!$EL$41:$EW$41)</f>
        <v>3113</v>
      </c>
      <c r="Q9" s="357">
        <f>SUM('[3]Air Choice One'!$DX$41:$EI$41)</f>
        <v>0</v>
      </c>
      <c r="R9" s="358" t="e">
        <f t="shared" ref="R9" si="5">(P9-Q9)/Q9</f>
        <v>#DIV/0!</v>
      </c>
      <c r="T9" s="20"/>
    </row>
    <row r="10" spans="1:20" ht="14.1" customHeight="1" x14ac:dyDescent="0.2">
      <c r="A10" s="354"/>
      <c r="B10" s="369"/>
      <c r="C10" s="355"/>
      <c r="D10" s="356"/>
      <c r="E10" s="357"/>
      <c r="F10" s="358"/>
      <c r="G10" s="357"/>
      <c r="H10" s="357"/>
      <c r="I10" s="358"/>
      <c r="J10" s="354"/>
      <c r="K10" s="55"/>
      <c r="L10" s="359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4" t="s">
        <v>165</v>
      </c>
      <c r="B11" s="369"/>
      <c r="C11" s="355">
        <f>'[3]Air France'!$EW$19</f>
        <v>0</v>
      </c>
      <c r="D11" s="356">
        <f>C11/$C$64</f>
        <v>0</v>
      </c>
      <c r="E11" s="357">
        <f>'[3]Air France'!$EI$19</f>
        <v>0</v>
      </c>
      <c r="F11" s="358" t="e">
        <f>(C11-E11)/E11</f>
        <v>#DIV/0!</v>
      </c>
      <c r="G11" s="357">
        <f>SUM('[3]Air France'!$EL$19:$EW$19)</f>
        <v>250</v>
      </c>
      <c r="H11" s="357">
        <f>SUM('[3]Air France'!$DX$19:$EI$19)</f>
        <v>244</v>
      </c>
      <c r="I11" s="358">
        <f>(G11-H11)/H11</f>
        <v>2.4590163934426229E-2</v>
      </c>
      <c r="J11" s="354" t="s">
        <v>165</v>
      </c>
      <c r="K11" s="55"/>
      <c r="L11" s="355">
        <f>'[3]Air France'!$EW$41</f>
        <v>0</v>
      </c>
      <c r="M11" s="356">
        <f>L11/$L$64</f>
        <v>0</v>
      </c>
      <c r="N11" s="357">
        <f>'[3]Air France'!$EI$41</f>
        <v>0</v>
      </c>
      <c r="O11" s="358" t="e">
        <f>(L11-N11)/N11</f>
        <v>#DIV/0!</v>
      </c>
      <c r="P11" s="357">
        <f>SUM('[3]Air France'!$EL$41:$EW$41)</f>
        <v>52845</v>
      </c>
      <c r="Q11" s="357">
        <f>SUM('[3]Air France'!$DX$41:$EI$41)</f>
        <v>60100</v>
      </c>
      <c r="R11" s="358">
        <f>(P11-Q11)/Q11</f>
        <v>-0.12071547420965058</v>
      </c>
      <c r="T11" s="20"/>
    </row>
    <row r="12" spans="1:20" ht="14.1" customHeight="1" x14ac:dyDescent="0.2">
      <c r="A12" s="354"/>
      <c r="B12" s="369"/>
      <c r="C12" s="355"/>
      <c r="D12" s="356"/>
      <c r="E12" s="357"/>
      <c r="F12" s="358"/>
      <c r="G12" s="357"/>
      <c r="H12" s="357"/>
      <c r="I12" s="358"/>
      <c r="J12" s="354"/>
      <c r="K12" s="55"/>
      <c r="L12" s="359"/>
      <c r="M12" s="39"/>
      <c r="N12" s="9"/>
      <c r="O12" s="86"/>
      <c r="P12" s="9"/>
      <c r="Q12" s="9"/>
      <c r="R12" s="86"/>
      <c r="T12" s="20"/>
    </row>
    <row r="13" spans="1:20" ht="14.1" customHeight="1" x14ac:dyDescent="0.2">
      <c r="A13" s="354" t="s">
        <v>135</v>
      </c>
      <c r="B13" s="369"/>
      <c r="C13" s="355">
        <f>SUM(C14:C15)</f>
        <v>174</v>
      </c>
      <c r="D13" s="356">
        <f>C13/$C$64</f>
        <v>5.8073559842467129E-3</v>
      </c>
      <c r="E13" s="357">
        <f>SUM(E14:E15)</f>
        <v>92</v>
      </c>
      <c r="F13" s="358">
        <f>(C13-E13)/E13</f>
        <v>0.89130434782608692</v>
      </c>
      <c r="G13" s="357">
        <f>SUM(G14:G15)</f>
        <v>2198</v>
      </c>
      <c r="H13" s="357">
        <f>SUM(H14:H15)</f>
        <v>1308</v>
      </c>
      <c r="I13" s="358">
        <f>(G13-H13)/H13</f>
        <v>0.68042813455657492</v>
      </c>
      <c r="J13" s="354" t="s">
        <v>135</v>
      </c>
      <c r="K13" s="55"/>
      <c r="L13" s="355">
        <f>SUM(L14:L15)</f>
        <v>20065</v>
      </c>
      <c r="M13" s="356">
        <f>L13/$L$64</f>
        <v>7.1753635243354428E-3</v>
      </c>
      <c r="N13" s="357">
        <f>SUM(N14:N15)</f>
        <v>14407</v>
      </c>
      <c r="O13" s="358">
        <f>(L13-N13)/N13</f>
        <v>0.39272575831193168</v>
      </c>
      <c r="P13" s="357">
        <f>SUM(P14:P15)</f>
        <v>276412</v>
      </c>
      <c r="Q13" s="357">
        <f>SUM(Q14:Q15)</f>
        <v>193548</v>
      </c>
      <c r="R13" s="358">
        <f>(P13-Q13)/Q13</f>
        <v>0.42813152292971252</v>
      </c>
      <c r="T13" s="20"/>
    </row>
    <row r="14" spans="1:20" ht="14.1" customHeight="1" x14ac:dyDescent="0.2">
      <c r="A14" s="354"/>
      <c r="B14" s="478" t="s">
        <v>135</v>
      </c>
      <c r="C14" s="446">
        <f>[3]Alaska!$EW$19</f>
        <v>114</v>
      </c>
      <c r="D14" s="447">
        <f>C14/$C$64</f>
        <v>3.8048194379547429E-3</v>
      </c>
      <c r="E14" s="298">
        <f>[3]Alaska!$EI$19</f>
        <v>92</v>
      </c>
      <c r="F14" s="448">
        <f>(C14-E14)/E14</f>
        <v>0.2391304347826087</v>
      </c>
      <c r="G14" s="298">
        <f>SUM([3]Alaska!$EL$19:$EW$19)</f>
        <v>1588</v>
      </c>
      <c r="H14" s="298">
        <f>SUM([3]Alaska!$DX$19:$EI$19)</f>
        <v>1308</v>
      </c>
      <c r="I14" s="448">
        <f>(G14-H14)/H14</f>
        <v>0.21406727828746178</v>
      </c>
      <c r="J14" s="354"/>
      <c r="K14" s="439" t="s">
        <v>135</v>
      </c>
      <c r="L14" s="446">
        <f>[3]Alaska!$EW$41</f>
        <v>16069</v>
      </c>
      <c r="M14" s="447">
        <f>L14/$L$64</f>
        <v>5.7463701207349236E-3</v>
      </c>
      <c r="N14" s="298">
        <f>[3]Alaska!$EI$41</f>
        <v>14407</v>
      </c>
      <c r="O14" s="448">
        <f>(L14-N14)/N14</f>
        <v>0.11536058860276255</v>
      </c>
      <c r="P14" s="298">
        <f>SUM([3]Alaska!$EL$41:$EW$41)</f>
        <v>235417</v>
      </c>
      <c r="Q14" s="298">
        <f>SUM([3]Alaska!$DX$41:$EI$41)</f>
        <v>193548</v>
      </c>
      <c r="R14" s="448">
        <f>(P14-Q14)/Q14</f>
        <v>0.2163235993138653</v>
      </c>
      <c r="T14" s="20"/>
    </row>
    <row r="15" spans="1:20" ht="14.1" customHeight="1" x14ac:dyDescent="0.2">
      <c r="A15" s="354"/>
      <c r="B15" s="478" t="s">
        <v>104</v>
      </c>
      <c r="C15" s="359">
        <f>'[3]Sky West_AS'!$EW$19</f>
        <v>60</v>
      </c>
      <c r="D15" s="39">
        <f>C15/$C$64</f>
        <v>2.0025365462919696E-3</v>
      </c>
      <c r="E15" s="9">
        <f>'[3]Sky West_AS'!$EI$19</f>
        <v>0</v>
      </c>
      <c r="F15" s="86" t="e">
        <f>(C15-E15)/E15</f>
        <v>#DIV/0!</v>
      </c>
      <c r="G15" s="9">
        <f>SUM('[3]Sky West_AS'!$EL$19:$EW$19)</f>
        <v>610</v>
      </c>
      <c r="H15" s="9">
        <f>SUM('[3]Sky West_AS'!$DX$19:$EI$19)</f>
        <v>0</v>
      </c>
      <c r="I15" s="86" t="e">
        <f>(G15-H15)/H15</f>
        <v>#DIV/0!</v>
      </c>
      <c r="J15" s="354"/>
      <c r="K15" s="439" t="s">
        <v>104</v>
      </c>
      <c r="L15" s="359">
        <f>'[3]Sky West_AS'!$EW$41</f>
        <v>3996</v>
      </c>
      <c r="M15" s="39">
        <f>L15/$L$64</f>
        <v>1.4289934036005199E-3</v>
      </c>
      <c r="N15" s="9">
        <f>'[3]Sky West_AS'!$EI$41</f>
        <v>0</v>
      </c>
      <c r="O15" s="86" t="e">
        <f>(L15-N15)/N15</f>
        <v>#DIV/0!</v>
      </c>
      <c r="P15" s="9">
        <f>SUM('[3]Sky West_AS'!$EL$41:$EW$41)</f>
        <v>40995</v>
      </c>
      <c r="Q15" s="9">
        <f>SUM('[3]Sky West_AS'!$DX$41:$EI$41)</f>
        <v>0</v>
      </c>
      <c r="R15" s="86" t="e">
        <f>(P15-Q15)/Q15</f>
        <v>#DIV/0!</v>
      </c>
      <c r="T15" s="20"/>
    </row>
    <row r="16" spans="1:20" ht="14.1" customHeight="1" x14ac:dyDescent="0.2">
      <c r="A16" s="354"/>
      <c r="B16" s="369"/>
      <c r="C16" s="355"/>
      <c r="D16" s="356"/>
      <c r="E16" s="360"/>
      <c r="F16" s="358"/>
      <c r="G16" s="360"/>
      <c r="H16" s="360"/>
      <c r="I16" s="358"/>
      <c r="J16" s="354"/>
      <c r="K16" s="55"/>
      <c r="L16" s="361"/>
      <c r="M16" s="39"/>
      <c r="N16" s="146"/>
      <c r="O16" s="86"/>
      <c r="P16" s="146"/>
      <c r="Q16" s="146"/>
      <c r="R16" s="86"/>
      <c r="T16" s="20"/>
    </row>
    <row r="17" spans="1:20" ht="14.1" customHeight="1" x14ac:dyDescent="0.2">
      <c r="A17" s="354" t="s">
        <v>19</v>
      </c>
      <c r="B17" s="367"/>
      <c r="C17" s="355">
        <f>SUM(C18:C24)</f>
        <v>1806</v>
      </c>
      <c r="D17" s="356">
        <f t="shared" ref="D17:D24" si="6">C17/$C$64</f>
        <v>6.0276350043388292E-2</v>
      </c>
      <c r="E17" s="357">
        <f>SUM(E18:E24)</f>
        <v>1416</v>
      </c>
      <c r="F17" s="358">
        <f t="shared" ref="F17:F24" si="7">(C17-E17)/E17</f>
        <v>0.27542372881355931</v>
      </c>
      <c r="G17" s="355">
        <f>SUM(G18:G24)</f>
        <v>21870</v>
      </c>
      <c r="H17" s="357">
        <f>SUM(H18:H24)</f>
        <v>19228</v>
      </c>
      <c r="I17" s="358">
        <f t="shared" ref="I17:I24" si="8">(G17-H17)/H17</f>
        <v>0.1374037861452049</v>
      </c>
      <c r="J17" s="354" t="s">
        <v>19</v>
      </c>
      <c r="K17" s="362"/>
      <c r="L17" s="355">
        <f>SUM(L18:L24)</f>
        <v>181277</v>
      </c>
      <c r="M17" s="356">
        <f t="shared" ref="M17:M24" si="9">L17/$L$64</f>
        <v>6.4825735041164026E-2</v>
      </c>
      <c r="N17" s="357">
        <f>SUM(N18:N24)</f>
        <v>166525</v>
      </c>
      <c r="O17" s="358">
        <f t="shared" ref="O17:O24" si="10">(L17-N17)/N17</f>
        <v>8.8587299204323677E-2</v>
      </c>
      <c r="P17" s="355">
        <f>SUM(P18:P24)</f>
        <v>2403295</v>
      </c>
      <c r="Q17" s="357">
        <f>SUM(Q18:Q24)</f>
        <v>2244409</v>
      </c>
      <c r="R17" s="358">
        <f t="shared" ref="R17:R24" si="11">(P17-Q17)/Q17</f>
        <v>7.0791910030658406E-2</v>
      </c>
      <c r="T17" s="20"/>
    </row>
    <row r="18" spans="1:20" ht="14.1" customHeight="1" x14ac:dyDescent="0.2">
      <c r="A18" s="53"/>
      <c r="B18" s="364" t="s">
        <v>19</v>
      </c>
      <c r="C18" s="359">
        <f>[3]American!$EW$19</f>
        <v>1482</v>
      </c>
      <c r="D18" s="39">
        <f t="shared" si="6"/>
        <v>4.9462652693411657E-2</v>
      </c>
      <c r="E18" s="9">
        <f>[3]American!$EI$19</f>
        <v>656</v>
      </c>
      <c r="F18" s="86">
        <f t="shared" si="7"/>
        <v>1.2591463414634145</v>
      </c>
      <c r="G18" s="9">
        <f>SUM([3]American!$EL$19:$EW$19)</f>
        <v>17348</v>
      </c>
      <c r="H18" s="9">
        <f>SUM([3]American!$DX$19:$EI$19)</f>
        <v>8719</v>
      </c>
      <c r="I18" s="86">
        <f t="shared" si="8"/>
        <v>0.98967771533432736</v>
      </c>
      <c r="J18" s="53"/>
      <c r="K18" s="363" t="s">
        <v>19</v>
      </c>
      <c r="L18" s="359">
        <f>[3]American!$EW$41</f>
        <v>166669</v>
      </c>
      <c r="M18" s="39">
        <f t="shared" si="9"/>
        <v>5.9601827223397158E-2</v>
      </c>
      <c r="N18" s="9">
        <f>[3]American!$EI$41</f>
        <v>160717</v>
      </c>
      <c r="O18" s="86">
        <f t="shared" si="10"/>
        <v>3.7034041202859684E-2</v>
      </c>
      <c r="P18" s="9">
        <f>SUM([3]American!$EL$41:$EW$41)</f>
        <v>2148747</v>
      </c>
      <c r="Q18" s="9">
        <f>SUM([3]American!$DX$41:$EI$41)</f>
        <v>1182258</v>
      </c>
      <c r="R18" s="86">
        <f t="shared" si="11"/>
        <v>0.81749415102287315</v>
      </c>
      <c r="T18" s="20"/>
    </row>
    <row r="19" spans="1:20" ht="14.1" customHeight="1" x14ac:dyDescent="0.2">
      <c r="A19" s="53"/>
      <c r="B19" s="440" t="s">
        <v>22</v>
      </c>
      <c r="C19" s="359">
        <f>'[3]US Airways'!$EW$19</f>
        <v>0</v>
      </c>
      <c r="D19" s="39">
        <f t="shared" si="6"/>
        <v>0</v>
      </c>
      <c r="E19" s="9">
        <f>'[3]US Airways'!$EI$19</f>
        <v>636</v>
      </c>
      <c r="F19" s="86">
        <f t="shared" si="7"/>
        <v>-1</v>
      </c>
      <c r="G19" s="9">
        <f>SUM('[3]US Airways'!$EL$19:$EW$19)</f>
        <v>0</v>
      </c>
      <c r="H19" s="9">
        <f>SUM('[3]US Airways'!$DX$19:$EI$19)</f>
        <v>8317</v>
      </c>
      <c r="I19" s="86">
        <f t="shared" si="8"/>
        <v>-1</v>
      </c>
      <c r="J19" s="370"/>
      <c r="K19" s="363" t="s">
        <v>22</v>
      </c>
      <c r="L19" s="359">
        <f>'[3]US Airways'!$EW$41</f>
        <v>0</v>
      </c>
      <c r="M19" s="39">
        <f t="shared" si="9"/>
        <v>0</v>
      </c>
      <c r="N19" s="9">
        <f>'[3]US Airways'!$EI$41</f>
        <v>0</v>
      </c>
      <c r="O19" s="86" t="e">
        <f t="shared" si="10"/>
        <v>#DIV/0!</v>
      </c>
      <c r="P19" s="9">
        <f>SUM('[3]US Airways'!$EL$41:$EW$41)</f>
        <v>0</v>
      </c>
      <c r="Q19" s="9">
        <f>SUM('[3]US Airways'!$DX$41:$EI$41)</f>
        <v>924497</v>
      </c>
      <c r="R19" s="86">
        <f t="shared" si="11"/>
        <v>-1</v>
      </c>
      <c r="T19" s="20"/>
    </row>
    <row r="20" spans="1:20" ht="14.1" customHeight="1" x14ac:dyDescent="0.2">
      <c r="A20" s="53"/>
      <c r="B20" s="440" t="s">
        <v>194</v>
      </c>
      <c r="C20" s="359">
        <f>'[3]American Eagle'!$EW$19</f>
        <v>12</v>
      </c>
      <c r="D20" s="39">
        <f t="shared" si="6"/>
        <v>4.0050730925839399E-4</v>
      </c>
      <c r="E20" s="9">
        <f>'[3]American Eagle'!$EI$19</f>
        <v>0</v>
      </c>
      <c r="F20" s="86" t="e">
        <f t="shared" si="7"/>
        <v>#DIV/0!</v>
      </c>
      <c r="G20" s="9">
        <f>SUM('[3]American Eagle'!$EL$19:$EW$19)</f>
        <v>188</v>
      </c>
      <c r="H20" s="9">
        <f>SUM('[3]American Eagle'!$DX$19:$EI$19)</f>
        <v>1814</v>
      </c>
      <c r="I20" s="86">
        <f t="shared" si="8"/>
        <v>-0.89636163175303196</v>
      </c>
      <c r="J20" s="53"/>
      <c r="K20" s="437" t="s">
        <v>194</v>
      </c>
      <c r="L20" s="359">
        <f>'[3]American Eagle'!$EW$41</f>
        <v>512</v>
      </c>
      <c r="M20" s="39">
        <f t="shared" si="9"/>
        <v>1.8309424991077731E-4</v>
      </c>
      <c r="N20" s="9">
        <f>'[3]American Eagle'!$EI$41</f>
        <v>0</v>
      </c>
      <c r="O20" s="86" t="e">
        <f t="shared" si="10"/>
        <v>#DIV/0!</v>
      </c>
      <c r="P20" s="9">
        <f>SUM('[3]American Eagle'!$EL$41:$EW$41)</f>
        <v>9339</v>
      </c>
      <c r="Q20" s="9">
        <f>SUM('[3]American Eagle'!$DX$41:$EI$41)</f>
        <v>116498</v>
      </c>
      <c r="R20" s="86">
        <f t="shared" si="11"/>
        <v>-0.91983553365723014</v>
      </c>
      <c r="T20" s="20"/>
    </row>
    <row r="21" spans="1:20" ht="14.1" customHeight="1" x14ac:dyDescent="0.2">
      <c r="A21" s="53"/>
      <c r="B21" s="440" t="s">
        <v>56</v>
      </c>
      <c r="C21" s="359">
        <f>[3]Republic!$EW$19</f>
        <v>306</v>
      </c>
      <c r="D21" s="39">
        <f t="shared" si="6"/>
        <v>1.0212936386089047E-2</v>
      </c>
      <c r="E21" s="9">
        <f>[3]Republic!$EI$19</f>
        <v>24</v>
      </c>
      <c r="F21" s="86">
        <f t="shared" si="7"/>
        <v>11.75</v>
      </c>
      <c r="G21" s="9">
        <f>SUM([3]Republic!$EL$19:$EW$19)</f>
        <v>4070</v>
      </c>
      <c r="H21" s="9">
        <f>SUM([3]Republic!$DX$19:$EI$19)</f>
        <v>220</v>
      </c>
      <c r="I21" s="86">
        <f t="shared" si="8"/>
        <v>17.5</v>
      </c>
      <c r="J21" s="370"/>
      <c r="K21" s="365" t="s">
        <v>56</v>
      </c>
      <c r="L21" s="359">
        <f>[3]Republic!$EW$41</f>
        <v>13934</v>
      </c>
      <c r="M21" s="39">
        <f t="shared" si="9"/>
        <v>4.9828814028452561E-3</v>
      </c>
      <c r="N21" s="9">
        <f>[3]Republic!$EI$41</f>
        <v>1603</v>
      </c>
      <c r="O21" s="86">
        <f t="shared" si="10"/>
        <v>7.6924516531503428</v>
      </c>
      <c r="P21" s="9">
        <f>SUM([3]Republic!$EL$41:$EW$41)</f>
        <v>231845</v>
      </c>
      <c r="Q21" s="9">
        <f>SUM([3]Republic!$DX$41:$EI$41)</f>
        <v>14205</v>
      </c>
      <c r="R21" s="86">
        <f t="shared" si="11"/>
        <v>15.321365716297079</v>
      </c>
      <c r="T21" s="20"/>
    </row>
    <row r="22" spans="1:20" ht="14.1" customHeight="1" x14ac:dyDescent="0.2">
      <c r="A22" s="53"/>
      <c r="B22" s="440" t="s">
        <v>217</v>
      </c>
      <c r="C22" s="359">
        <f>[3]PSA!$EW$19</f>
        <v>6</v>
      </c>
      <c r="D22" s="39">
        <f t="shared" ref="D22" si="12">C22/$C$64</f>
        <v>2.00253654629197E-4</v>
      </c>
      <c r="E22" s="9">
        <f>[3]PSA!$EI$19</f>
        <v>0</v>
      </c>
      <c r="F22" s="86" t="e">
        <f t="shared" ref="F22" si="13">(C22-E22)/E22</f>
        <v>#DIV/0!</v>
      </c>
      <c r="G22" s="9">
        <f>SUM([3]PSA!$EL$19:$EW$19)</f>
        <v>142</v>
      </c>
      <c r="H22" s="9">
        <f>SUM([3]PSA!$DX$19:$EI$19)</f>
        <v>0</v>
      </c>
      <c r="I22" s="86" t="e">
        <f t="shared" ref="I22" si="14">(G22-H22)/H22</f>
        <v>#DIV/0!</v>
      </c>
      <c r="J22" s="370"/>
      <c r="K22" s="476" t="s">
        <v>217</v>
      </c>
      <c r="L22" s="359">
        <f>[3]PSA!$EW$41</f>
        <v>162</v>
      </c>
      <c r="M22" s="39">
        <f t="shared" ref="M22" si="15">L22/$L$64</f>
        <v>5.7932165010831883E-5</v>
      </c>
      <c r="N22" s="9">
        <f>[3]PSA!$EI$41</f>
        <v>0</v>
      </c>
      <c r="O22" s="86" t="e">
        <f t="shared" ref="O22" si="16">(L22-N22)/N22</f>
        <v>#DIV/0!</v>
      </c>
      <c r="P22" s="9">
        <f>SUM([3]PSA!$EL$41:$EW$41)</f>
        <v>8411</v>
      </c>
      <c r="Q22" s="9">
        <f>SUM([3]PSA!$DX$41:$EI$41)</f>
        <v>0</v>
      </c>
      <c r="R22" s="86" t="e">
        <f t="shared" ref="R22" si="17">(P22-Q22)/Q22</f>
        <v>#DIV/0!</v>
      </c>
      <c r="T22" s="20"/>
    </row>
    <row r="23" spans="1:20" ht="14.1" customHeight="1" x14ac:dyDescent="0.2">
      <c r="A23" s="53"/>
      <c r="B23" s="440" t="s">
        <v>55</v>
      </c>
      <c r="C23" s="359">
        <f>[3]MESA!$EW$19</f>
        <v>0</v>
      </c>
      <c r="D23" s="39">
        <f t="shared" si="6"/>
        <v>0</v>
      </c>
      <c r="E23" s="9">
        <f>[3]MESA!$EI$19</f>
        <v>0</v>
      </c>
      <c r="F23" s="86" t="e">
        <f t="shared" si="7"/>
        <v>#DIV/0!</v>
      </c>
      <c r="G23" s="9">
        <f>SUM([3]MESA!$EL$19:$EW$19)</f>
        <v>14</v>
      </c>
      <c r="H23" s="9">
        <f>SUM([3]MESA!$DX$19:$EI$19)</f>
        <v>12</v>
      </c>
      <c r="I23" s="86">
        <f t="shared" si="8"/>
        <v>0.16666666666666666</v>
      </c>
      <c r="J23" s="370"/>
      <c r="K23" s="437" t="s">
        <v>55</v>
      </c>
      <c r="L23" s="359">
        <f>[3]MESA!$EW$41</f>
        <v>0</v>
      </c>
      <c r="M23" s="39">
        <f t="shared" si="9"/>
        <v>0</v>
      </c>
      <c r="N23" s="9">
        <f>[3]MESA!$EI$41</f>
        <v>0</v>
      </c>
      <c r="O23" s="86" t="e">
        <f t="shared" si="10"/>
        <v>#DIV/0!</v>
      </c>
      <c r="P23" s="9">
        <f>SUM([3]MESA!$EL$41:$EW$41)</f>
        <v>1079</v>
      </c>
      <c r="Q23" s="9">
        <f>SUM([3]MESA!$DX$41:$EI$41)</f>
        <v>697</v>
      </c>
      <c r="R23" s="86">
        <f t="shared" si="11"/>
        <v>0.54806312769010046</v>
      </c>
      <c r="T23" s="20"/>
    </row>
    <row r="24" spans="1:20" ht="14.1" customHeight="1" x14ac:dyDescent="0.2">
      <c r="A24" s="53"/>
      <c r="B24" s="440" t="s">
        <v>53</v>
      </c>
      <c r="C24" s="359">
        <f>'[3]Air Wisconsin'!$EW$19</f>
        <v>0</v>
      </c>
      <c r="D24" s="39">
        <f t="shared" si="6"/>
        <v>0</v>
      </c>
      <c r="E24" s="9">
        <f>'[3]Air Wisconsin'!$EI$19</f>
        <v>100</v>
      </c>
      <c r="F24" s="86">
        <f t="shared" si="7"/>
        <v>-1</v>
      </c>
      <c r="G24" s="9">
        <f>SUM('[3]Air Wisconsin'!$EL$19:$EW$19)</f>
        <v>108</v>
      </c>
      <c r="H24" s="9">
        <f>SUM('[3]Air Wisconsin'!$DX$19:$EI$19)</f>
        <v>146</v>
      </c>
      <c r="I24" s="441">
        <f t="shared" si="8"/>
        <v>-0.26027397260273971</v>
      </c>
      <c r="J24" s="53"/>
      <c r="K24" s="442" t="s">
        <v>53</v>
      </c>
      <c r="L24" s="359">
        <f>'[3]Air Wisconsin'!$EW$41</f>
        <v>0</v>
      </c>
      <c r="M24" s="39">
        <f t="shared" si="9"/>
        <v>0</v>
      </c>
      <c r="N24" s="9">
        <f>'[3]Air Wisconsin'!$EI$41</f>
        <v>4205</v>
      </c>
      <c r="O24" s="86">
        <f t="shared" si="10"/>
        <v>-1</v>
      </c>
      <c r="P24" s="9">
        <f>SUM('[3]Air Wisconsin'!$EL$41:$EW$41)</f>
        <v>3874</v>
      </c>
      <c r="Q24" s="9">
        <f>SUM('[3]Air Wisconsin'!$DX$41:$EI$41)</f>
        <v>6254</v>
      </c>
      <c r="R24" s="86">
        <f t="shared" si="11"/>
        <v>-0.38055644387591941</v>
      </c>
      <c r="T24" s="20"/>
    </row>
    <row r="25" spans="1:20" ht="14.1" customHeight="1" x14ac:dyDescent="0.2">
      <c r="A25" s="53"/>
      <c r="B25" s="364"/>
      <c r="C25" s="359"/>
      <c r="D25" s="39"/>
      <c r="E25" s="9"/>
      <c r="F25" s="86"/>
      <c r="G25" s="9"/>
      <c r="H25" s="9"/>
      <c r="I25" s="86"/>
      <c r="J25" s="53"/>
      <c r="K25" s="364"/>
      <c r="L25" s="359"/>
      <c r="M25" s="39"/>
      <c r="N25" s="9"/>
      <c r="O25" s="86"/>
      <c r="P25" s="9"/>
      <c r="Q25" s="9"/>
      <c r="R25" s="86"/>
      <c r="T25" s="20"/>
    </row>
    <row r="26" spans="1:20" ht="14.1" customHeight="1" x14ac:dyDescent="0.2">
      <c r="A26" s="354" t="s">
        <v>215</v>
      </c>
      <c r="B26" s="364"/>
      <c r="C26" s="355">
        <f>'[3]Boutique Air'!$EW$19</f>
        <v>159</v>
      </c>
      <c r="D26" s="356">
        <f t="shared" ref="D26" si="18">C26/$C$64</f>
        <v>5.3067218476737198E-3</v>
      </c>
      <c r="E26" s="357">
        <f>'[3]Boutique Air'!$EI$19</f>
        <v>0</v>
      </c>
      <c r="F26" s="358" t="e">
        <f t="shared" ref="F26" si="19">(C26-E26)/E26</f>
        <v>#DIV/0!</v>
      </c>
      <c r="G26" s="357">
        <f>SUM('[3]Boutique Air'!$EL$19:$EW$19)</f>
        <v>992</v>
      </c>
      <c r="H26" s="357">
        <f>SUM('[3]Boutique Air'!$DX$19:$EI$19)</f>
        <v>0</v>
      </c>
      <c r="I26" s="358" t="e">
        <f t="shared" ref="I26" si="20">(G26-H26)/H26</f>
        <v>#DIV/0!</v>
      </c>
      <c r="J26" s="354" t="s">
        <v>215</v>
      </c>
      <c r="K26" s="364"/>
      <c r="L26" s="355">
        <f>'[3]Boutique Air'!$EW$41</f>
        <v>1041</v>
      </c>
      <c r="M26" s="356">
        <f t="shared" ref="M26" si="21">L26/$L$64</f>
        <v>3.7226780108812343E-4</v>
      </c>
      <c r="N26" s="357">
        <f>'[3]Boutique Air'!$EI$41</f>
        <v>0</v>
      </c>
      <c r="O26" s="358" t="e">
        <f t="shared" ref="O26" si="22">(L26-N26)/N26</f>
        <v>#DIV/0!</v>
      </c>
      <c r="P26" s="357">
        <f>SUM('[3]Boutique Air'!$EL$41:$EW$41)</f>
        <v>6458</v>
      </c>
      <c r="Q26" s="357">
        <f>SUM('[3]Boutique Air'!$DX$41:$EI$41)</f>
        <v>0</v>
      </c>
      <c r="R26" s="358" t="e">
        <f t="shared" ref="R26" si="23">(P26-Q26)/Q26</f>
        <v>#DIV/0!</v>
      </c>
      <c r="T26" s="20"/>
    </row>
    <row r="27" spans="1:20" ht="14.1" customHeight="1" x14ac:dyDescent="0.2">
      <c r="A27" s="53"/>
      <c r="B27" s="364"/>
      <c r="C27" s="359"/>
      <c r="D27" s="39"/>
      <c r="E27" s="9"/>
      <c r="F27" s="86"/>
      <c r="G27" s="9"/>
      <c r="H27" s="9"/>
      <c r="I27" s="86"/>
      <c r="J27" s="53"/>
      <c r="K27" s="364"/>
      <c r="L27" s="359"/>
      <c r="M27" s="39"/>
      <c r="N27" s="9"/>
      <c r="O27" s="86"/>
      <c r="P27" s="9"/>
      <c r="Q27" s="9"/>
      <c r="R27" s="86"/>
      <c r="T27" s="20"/>
    </row>
    <row r="28" spans="1:20" ht="14.1" customHeight="1" x14ac:dyDescent="0.2">
      <c r="A28" s="354" t="s">
        <v>179</v>
      </c>
      <c r="B28" s="364"/>
      <c r="C28" s="355">
        <f>[3]Condor!$EW$19</f>
        <v>0</v>
      </c>
      <c r="D28" s="356">
        <f t="shared" ref="D28" si="24">C28/$C$64</f>
        <v>0</v>
      </c>
      <c r="E28" s="357">
        <f>[3]Condor!$EI$19</f>
        <v>0</v>
      </c>
      <c r="F28" s="358" t="e">
        <f t="shared" ref="F28" si="25">(C28-E28)/E28</f>
        <v>#DIV/0!</v>
      </c>
      <c r="G28" s="357">
        <f>SUM([3]Condor!$EL$19:$EW$19)</f>
        <v>84</v>
      </c>
      <c r="H28" s="357">
        <f>SUM([3]Condor!$DX$19:$EI$19)</f>
        <v>44</v>
      </c>
      <c r="I28" s="358">
        <f t="shared" ref="I28" si="26">(G28-H28)/H28</f>
        <v>0.90909090909090906</v>
      </c>
      <c r="J28" s="354" t="s">
        <v>179</v>
      </c>
      <c r="K28" s="364"/>
      <c r="L28" s="355">
        <f>[3]Condor!$EW$41</f>
        <v>0</v>
      </c>
      <c r="M28" s="356">
        <f t="shared" ref="M28" si="27">L28/$L$64</f>
        <v>0</v>
      </c>
      <c r="N28" s="357">
        <f>[3]Condor!$EI$41</f>
        <v>0</v>
      </c>
      <c r="O28" s="358" t="e">
        <f t="shared" ref="O28" si="28">(L28-N28)/N28</f>
        <v>#DIV/0!</v>
      </c>
      <c r="P28" s="357">
        <f>SUM([3]Condor!$EL$41:$EW$41)</f>
        <v>18861</v>
      </c>
      <c r="Q28" s="357">
        <f>SUM([3]Condor!$DX$41:$EI$41)</f>
        <v>10581</v>
      </c>
      <c r="R28" s="358">
        <f t="shared" ref="R28" si="29">(P28-Q28)/Q28</f>
        <v>0.78253473206691238</v>
      </c>
      <c r="T28" s="20"/>
    </row>
    <row r="29" spans="1:20" ht="14.1" customHeight="1" x14ac:dyDescent="0.2">
      <c r="A29" s="53"/>
      <c r="B29" s="364"/>
      <c r="C29" s="359"/>
      <c r="D29" s="39"/>
      <c r="E29" s="9"/>
      <c r="F29" s="86"/>
      <c r="G29" s="9"/>
      <c r="H29" s="9"/>
      <c r="I29" s="86"/>
      <c r="J29" s="53"/>
      <c r="K29" s="364"/>
      <c r="L29" s="359"/>
      <c r="M29" s="39"/>
      <c r="N29" s="9"/>
      <c r="O29" s="86"/>
      <c r="P29" s="9"/>
      <c r="Q29" s="9"/>
      <c r="R29" s="86"/>
      <c r="T29" s="20"/>
    </row>
    <row r="30" spans="1:20" ht="14.1" customHeight="1" x14ac:dyDescent="0.2">
      <c r="A30" s="354" t="s">
        <v>20</v>
      </c>
      <c r="B30" s="367"/>
      <c r="C30" s="355">
        <f>SUM(C31:C37)</f>
        <v>21764</v>
      </c>
      <c r="D30" s="356">
        <f t="shared" ref="D30:D37" si="30">C30/$C$64</f>
        <v>0.7263867565583072</v>
      </c>
      <c r="E30" s="357">
        <f>SUM(E31:E37)</f>
        <v>21751</v>
      </c>
      <c r="F30" s="358">
        <f t="shared" ref="F30:F37" si="31">(C30-E30)/E30</f>
        <v>5.9767367017608385E-4</v>
      </c>
      <c r="G30" s="360">
        <f>SUM(G31:G37)</f>
        <v>277951</v>
      </c>
      <c r="H30" s="360">
        <f>SUM(H31:H37)</f>
        <v>277797</v>
      </c>
      <c r="I30" s="358">
        <f>(G30-H30)/H30</f>
        <v>5.5436163817463831E-4</v>
      </c>
      <c r="J30" s="354" t="s">
        <v>20</v>
      </c>
      <c r="K30" s="367"/>
      <c r="L30" s="355">
        <f>SUM(L31:L37)</f>
        <v>1972522</v>
      </c>
      <c r="M30" s="356">
        <f t="shared" ref="M30:M37" si="32">L30/$L$64</f>
        <v>0.70538561723145754</v>
      </c>
      <c r="N30" s="357">
        <f>SUM(N31:N37)</f>
        <v>1962446</v>
      </c>
      <c r="O30" s="358">
        <f t="shared" ref="O30:O37" si="33">(L30-N30)/N30</f>
        <v>5.1344087939235016E-3</v>
      </c>
      <c r="P30" s="357">
        <f>SUM(P31:P37)</f>
        <v>25843245</v>
      </c>
      <c r="Q30" s="357">
        <f>SUM(Q31:Q37)</f>
        <v>25844791</v>
      </c>
      <c r="R30" s="358">
        <f t="shared" ref="R30:R37" si="34">(P30-Q30)/Q30</f>
        <v>-5.9818630377007113E-5</v>
      </c>
      <c r="T30" s="423"/>
    </row>
    <row r="31" spans="1:20" ht="14.1" customHeight="1" x14ac:dyDescent="0.2">
      <c r="A31" s="53"/>
      <c r="B31" s="364" t="s">
        <v>20</v>
      </c>
      <c r="C31" s="359">
        <f>[3]Delta!$EW$19</f>
        <v>10115</v>
      </c>
      <c r="D31" s="39">
        <f t="shared" si="30"/>
        <v>0.33759428609572123</v>
      </c>
      <c r="E31" s="9">
        <f>[3]Delta!$EI$19</f>
        <v>10067</v>
      </c>
      <c r="F31" s="86">
        <f t="shared" si="31"/>
        <v>4.7680540379457636E-3</v>
      </c>
      <c r="G31" s="9">
        <f>SUM([3]Delta!$EL$19:$EW$19)</f>
        <v>136098</v>
      </c>
      <c r="H31" s="9">
        <f>SUM([3]Delta!$DX$19:$EI$19)</f>
        <v>131473</v>
      </c>
      <c r="I31" s="86">
        <f t="shared" ref="I31:I37" si="35">(G31-H31)/H31</f>
        <v>3.5178325587763265E-2</v>
      </c>
      <c r="J31" s="53"/>
      <c r="K31" s="363" t="s">
        <v>20</v>
      </c>
      <c r="L31" s="359">
        <f>[3]Delta!$EW$41</f>
        <v>1375588</v>
      </c>
      <c r="M31" s="39">
        <f t="shared" si="32"/>
        <v>0.49191846298098896</v>
      </c>
      <c r="N31" s="9">
        <f>[3]Delta!$EI$41</f>
        <v>1358867</v>
      </c>
      <c r="O31" s="86">
        <f t="shared" si="33"/>
        <v>1.2305104178701816E-2</v>
      </c>
      <c r="P31" s="9">
        <f>SUM([3]Delta!$EL$41:$EW$41)</f>
        <v>18661587</v>
      </c>
      <c r="Q31" s="9">
        <f>SUM([3]Delta!$DX$41:$EI$41)</f>
        <v>18286879</v>
      </c>
      <c r="R31" s="86">
        <f t="shared" si="34"/>
        <v>2.049053859874066E-2</v>
      </c>
      <c r="T31" s="20"/>
    </row>
    <row r="32" spans="1:20" ht="14.1" customHeight="1" x14ac:dyDescent="0.2">
      <c r="A32" s="53"/>
      <c r="B32" s="365" t="s">
        <v>124</v>
      </c>
      <c r="C32" s="359">
        <f>[3]Compass!$EW$19</f>
        <v>1202</v>
      </c>
      <c r="D32" s="39">
        <f t="shared" si="30"/>
        <v>4.011748214404913E-2</v>
      </c>
      <c r="E32" s="9">
        <f>[3]Compass!$EI$19</f>
        <v>1233</v>
      </c>
      <c r="F32" s="86">
        <f t="shared" si="31"/>
        <v>-2.5141930251419302E-2</v>
      </c>
      <c r="G32" s="9">
        <f>SUM([3]Compass!$EL$19:$EW$19)</f>
        <v>17349</v>
      </c>
      <c r="H32" s="9">
        <f>SUM([3]Compass!$DX$19:$EI$19)</f>
        <v>16849</v>
      </c>
      <c r="I32" s="86">
        <f t="shared" si="35"/>
        <v>2.9675351652917088E-2</v>
      </c>
      <c r="J32" s="53"/>
      <c r="K32" s="365" t="s">
        <v>124</v>
      </c>
      <c r="L32" s="359">
        <f>[3]Compass!$EW$41</f>
        <v>69144</v>
      </c>
      <c r="M32" s="39">
        <f t="shared" si="32"/>
        <v>2.4726306280919506E-2</v>
      </c>
      <c r="N32" s="9">
        <f>[3]Compass!$EI$41</f>
        <v>75405</v>
      </c>
      <c r="O32" s="86">
        <f t="shared" si="33"/>
        <v>-8.3031629202307541E-2</v>
      </c>
      <c r="P32" s="9">
        <f>SUM([3]Compass!$EL$41:$EW$41)</f>
        <v>1023548</v>
      </c>
      <c r="Q32" s="9">
        <f>SUM([3]Compass!$DX$41:$EI$41)</f>
        <v>1017865</v>
      </c>
      <c r="R32" s="86">
        <f t="shared" si="34"/>
        <v>5.5832551468023755E-3</v>
      </c>
      <c r="T32" s="9"/>
    </row>
    <row r="33" spans="1:20" ht="14.1" customHeight="1" x14ac:dyDescent="0.2">
      <c r="A33" s="53"/>
      <c r="B33" s="364" t="s">
        <v>167</v>
      </c>
      <c r="C33" s="359">
        <f>[3]Pinnacle!$EW$19</f>
        <v>3777</v>
      </c>
      <c r="D33" s="39">
        <f t="shared" si="30"/>
        <v>0.12605967558907949</v>
      </c>
      <c r="E33" s="9">
        <f>[3]Pinnacle!$EI$19</f>
        <v>4472</v>
      </c>
      <c r="F33" s="86">
        <f t="shared" si="31"/>
        <v>-0.15541144901610018</v>
      </c>
      <c r="G33" s="9">
        <f>SUM([3]Pinnacle!$EL$19:$EW$19)</f>
        <v>46482</v>
      </c>
      <c r="H33" s="9">
        <f>SUM([3]Pinnacle!$DX$19:$EI$19)</f>
        <v>57749</v>
      </c>
      <c r="I33" s="86">
        <f t="shared" si="35"/>
        <v>-0.19510294550554988</v>
      </c>
      <c r="J33" s="53"/>
      <c r="K33" s="364" t="s">
        <v>167</v>
      </c>
      <c r="L33" s="359">
        <f>[3]Pinnacle!$EW$41</f>
        <v>196471</v>
      </c>
      <c r="M33" s="39">
        <f t="shared" si="32"/>
        <v>7.0259199949649076E-2</v>
      </c>
      <c r="N33" s="9">
        <f>[3]Pinnacle!$EI$41</f>
        <v>255057</v>
      </c>
      <c r="O33" s="86">
        <f t="shared" si="33"/>
        <v>-0.22969767542157243</v>
      </c>
      <c r="P33" s="9">
        <f>SUM([3]Pinnacle!$EL$41:$EW$41)</f>
        <v>2493688</v>
      </c>
      <c r="Q33" s="9">
        <f>SUM([3]Pinnacle!$DX$41:$EI$41)</f>
        <v>3238137</v>
      </c>
      <c r="R33" s="86">
        <f t="shared" si="34"/>
        <v>-0.22990040260804284</v>
      </c>
      <c r="T33" s="20"/>
    </row>
    <row r="34" spans="1:20" ht="14.1" customHeight="1" x14ac:dyDescent="0.2">
      <c r="A34" s="53"/>
      <c r="B34" s="364" t="s">
        <v>163</v>
      </c>
      <c r="C34" s="359">
        <f>'[3]Go Jet'!$EW$19</f>
        <v>482</v>
      </c>
      <c r="D34" s="39">
        <f t="shared" si="30"/>
        <v>1.6087043588545492E-2</v>
      </c>
      <c r="E34" s="9">
        <f>'[3]Go Jet'!$EI$19</f>
        <v>0</v>
      </c>
      <c r="F34" s="86" t="e">
        <f>(C34-E34)/E34</f>
        <v>#DIV/0!</v>
      </c>
      <c r="G34" s="9">
        <f>SUM('[3]Go Jet'!$EL$19:$EW$19)</f>
        <v>1329</v>
      </c>
      <c r="H34" s="9">
        <f>SUM('[3]Go Jet'!$DX$19:$EI$19)</f>
        <v>74</v>
      </c>
      <c r="I34" s="86">
        <f>(G34-H34)/H34</f>
        <v>16.95945945945946</v>
      </c>
      <c r="J34" s="53"/>
      <c r="K34" s="363" t="s">
        <v>163</v>
      </c>
      <c r="L34" s="359">
        <f>'[3]Go Jet'!$EW$41</f>
        <v>26902</v>
      </c>
      <c r="M34" s="39">
        <f t="shared" si="32"/>
        <v>9.6203154513666619E-3</v>
      </c>
      <c r="N34" s="9">
        <f>'[3]Go Jet'!$EI$41</f>
        <v>0</v>
      </c>
      <c r="O34" s="86" t="e">
        <f>(L34-N34)/N34</f>
        <v>#DIV/0!</v>
      </c>
      <c r="P34" s="9">
        <f>SUM('[3]Go Jet'!$EL$41:$EW$41)</f>
        <v>79817</v>
      </c>
      <c r="Q34" s="9">
        <f>SUM('[3]Go Jet'!$DX$41:$EI$41)</f>
        <v>4356</v>
      </c>
      <c r="R34" s="86">
        <f>(P34-Q34)/Q34</f>
        <v>17.32346189164371</v>
      </c>
      <c r="T34" s="334"/>
    </row>
    <row r="35" spans="1:20" ht="14.1" customHeight="1" x14ac:dyDescent="0.2">
      <c r="A35" s="53"/>
      <c r="B35" s="364" t="s">
        <v>104</v>
      </c>
      <c r="C35" s="359">
        <f>'[3]Sky West'!$EW$19</f>
        <v>5054</v>
      </c>
      <c r="D35" s="39">
        <f t="shared" si="30"/>
        <v>0.16868032841599359</v>
      </c>
      <c r="E35" s="9">
        <f>'[3]Sky West'!$EI$19</f>
        <v>4736</v>
      </c>
      <c r="F35" s="86">
        <f t="shared" si="31"/>
        <v>6.7145270270270271E-2</v>
      </c>
      <c r="G35" s="9">
        <f>SUM('[3]Sky West'!$EL$19:$EW$19)</f>
        <v>66285</v>
      </c>
      <c r="H35" s="9">
        <f>SUM('[3]Sky West'!$DX$19:$EI$19)</f>
        <v>54869</v>
      </c>
      <c r="I35" s="86">
        <f t="shared" si="35"/>
        <v>0.20805919553846433</v>
      </c>
      <c r="J35" s="53"/>
      <c r="K35" s="364" t="s">
        <v>104</v>
      </c>
      <c r="L35" s="359">
        <f>'[3]Sky West'!$EW$41</f>
        <v>239623</v>
      </c>
      <c r="M35" s="39">
        <f t="shared" si="32"/>
        <v>8.5690612199941785E-2</v>
      </c>
      <c r="N35" s="9">
        <f>'[3]Sky West'!$EI$41</f>
        <v>206466</v>
      </c>
      <c r="O35" s="86">
        <f t="shared" si="33"/>
        <v>0.16059302742340142</v>
      </c>
      <c r="P35" s="9">
        <f>SUM('[3]Sky West'!$EL$41:$EW$41)</f>
        <v>2996242</v>
      </c>
      <c r="Q35" s="9">
        <f>SUM('[3]Sky West'!$DX$41:$EI$41)</f>
        <v>2371208</v>
      </c>
      <c r="R35" s="86">
        <f t="shared" si="34"/>
        <v>0.26359307154834161</v>
      </c>
      <c r="T35" s="20"/>
    </row>
    <row r="36" spans="1:20" ht="14.1" customHeight="1" x14ac:dyDescent="0.2">
      <c r="A36" s="53"/>
      <c r="B36" s="364" t="s">
        <v>137</v>
      </c>
      <c r="C36" s="359">
        <f>'[3]Shuttle America_Delta'!$EW$19</f>
        <v>356</v>
      </c>
      <c r="D36" s="39">
        <f t="shared" si="30"/>
        <v>1.1881716841332355E-2</v>
      </c>
      <c r="E36" s="9">
        <f>'[3]Shuttle America_Delta'!$EI$19</f>
        <v>154</v>
      </c>
      <c r="F36" s="86">
        <f t="shared" si="31"/>
        <v>1.3116883116883118</v>
      </c>
      <c r="G36" s="9">
        <f>SUM('[3]Shuttle America_Delta'!$EL$19:$EW$19)</f>
        <v>1904</v>
      </c>
      <c r="H36" s="9">
        <f>SUM('[3]Shuttle America_Delta'!$DX$19:$EI$19)</f>
        <v>4005</v>
      </c>
      <c r="I36" s="86">
        <f t="shared" si="35"/>
        <v>-0.52459425717852681</v>
      </c>
      <c r="J36" s="53"/>
      <c r="K36" s="364" t="s">
        <v>137</v>
      </c>
      <c r="L36" s="359">
        <f>'[3]Shuttle America_Delta'!$EW$41</f>
        <v>21317</v>
      </c>
      <c r="M36" s="39">
        <f t="shared" si="32"/>
        <v>7.6230861823203908E-3</v>
      </c>
      <c r="N36" s="9">
        <f>'[3]Shuttle America_Delta'!$EI$41</f>
        <v>6547</v>
      </c>
      <c r="O36" s="86">
        <f t="shared" si="33"/>
        <v>2.2559951122651598</v>
      </c>
      <c r="P36" s="9">
        <f>SUM('[3]Shuttle America_Delta'!$EL$41:$EW$41)</f>
        <v>109951</v>
      </c>
      <c r="Q36" s="9">
        <f>SUM('[3]Shuttle America_Delta'!$DX$41:$EI$41)</f>
        <v>203703</v>
      </c>
      <c r="R36" s="86">
        <f t="shared" si="34"/>
        <v>-0.46023868082453373</v>
      </c>
      <c r="T36" s="20"/>
    </row>
    <row r="37" spans="1:20" ht="14.1" customHeight="1" x14ac:dyDescent="0.2">
      <c r="A37" s="53"/>
      <c r="B37" s="440" t="s">
        <v>195</v>
      </c>
      <c r="C37" s="359">
        <f>'[3]Atlantic Southeast'!$EW$19</f>
        <v>778</v>
      </c>
      <c r="D37" s="39">
        <f t="shared" si="30"/>
        <v>2.5966223883585875E-2</v>
      </c>
      <c r="E37" s="9">
        <f>'[3]Atlantic Southeast'!$EI$19</f>
        <v>1089</v>
      </c>
      <c r="F37" s="86">
        <f t="shared" si="31"/>
        <v>-0.28558310376492196</v>
      </c>
      <c r="G37" s="9">
        <f>SUM('[3]Atlantic Southeast'!$EL$19:$EW$19)</f>
        <v>8504</v>
      </c>
      <c r="H37" s="9">
        <f>SUM('[3]Atlantic Southeast'!$DX$19:$EI$19)</f>
        <v>12778</v>
      </c>
      <c r="I37" s="86">
        <f t="shared" si="35"/>
        <v>-0.33448113945844421</v>
      </c>
      <c r="J37" s="53"/>
      <c r="K37" s="440" t="s">
        <v>195</v>
      </c>
      <c r="L37" s="359">
        <f>'[3]Atlantic Southeast'!$EW$41</f>
        <v>43477</v>
      </c>
      <c r="M37" s="39">
        <f t="shared" si="32"/>
        <v>1.5547634186271222E-2</v>
      </c>
      <c r="N37" s="9">
        <f>'[3]Atlantic Southeast'!$EI$41</f>
        <v>60104</v>
      </c>
      <c r="O37" s="86">
        <f t="shared" si="33"/>
        <v>-0.27663716225209639</v>
      </c>
      <c r="P37" s="9">
        <f>SUM('[3]Atlantic Southeast'!$EL$41:$EW$41)</f>
        <v>478412</v>
      </c>
      <c r="Q37" s="9">
        <f>SUM('[3]Atlantic Southeast'!$DX$41:$EI$41)</f>
        <v>722643</v>
      </c>
      <c r="R37" s="86">
        <f t="shared" si="34"/>
        <v>-0.33796909400630742</v>
      </c>
      <c r="T37" s="331"/>
    </row>
    <row r="38" spans="1:20" ht="14.1" customHeight="1" x14ac:dyDescent="0.2">
      <c r="A38" s="53"/>
      <c r="B38" s="368"/>
      <c r="C38" s="359"/>
      <c r="D38" s="39"/>
      <c r="E38" s="9"/>
      <c r="F38" s="86"/>
      <c r="G38" s="9"/>
      <c r="H38" s="9"/>
      <c r="I38" s="86"/>
      <c r="J38" s="53"/>
      <c r="K38" s="368"/>
      <c r="L38" s="359"/>
      <c r="M38" s="39"/>
      <c r="N38" s="9"/>
      <c r="O38" s="86"/>
      <c r="P38" s="9"/>
      <c r="Q38" s="9"/>
      <c r="R38" s="86"/>
      <c r="T38" s="331"/>
    </row>
    <row r="39" spans="1:20" s="7" customFormat="1" ht="14.1" customHeight="1" x14ac:dyDescent="0.2">
      <c r="A39" s="354" t="s">
        <v>50</v>
      </c>
      <c r="B39" s="369"/>
      <c r="C39" s="355">
        <f>[3]Frontier!$EW$19</f>
        <v>174</v>
      </c>
      <c r="D39" s="356">
        <f>C39/$C$64</f>
        <v>5.8073559842467129E-3</v>
      </c>
      <c r="E39" s="357">
        <f>[3]Frontier!$EI$19</f>
        <v>224</v>
      </c>
      <c r="F39" s="358">
        <f>(C39-E39)/E39</f>
        <v>-0.22321428571428573</v>
      </c>
      <c r="G39" s="357">
        <f>SUM([3]Frontier!$EL$19:$EW$19)</f>
        <v>2164</v>
      </c>
      <c r="H39" s="357">
        <f>SUM([3]Frontier!$DX$19:$EI$19)</f>
        <v>3403</v>
      </c>
      <c r="I39" s="358">
        <f>(G39-H39)/H39</f>
        <v>-0.36409050837496326</v>
      </c>
      <c r="J39" s="354" t="s">
        <v>50</v>
      </c>
      <c r="K39" s="369"/>
      <c r="L39" s="355">
        <f>[3]Frontier!$EW$41</f>
        <v>27332</v>
      </c>
      <c r="M39" s="356">
        <f>L39/$L$64</f>
        <v>9.7740860128151669E-3</v>
      </c>
      <c r="N39" s="357">
        <f>[3]Frontier!$EI$41</f>
        <v>31924</v>
      </c>
      <c r="O39" s="358">
        <f>(L39-N39)/N39</f>
        <v>-0.14384162385665958</v>
      </c>
      <c r="P39" s="357">
        <f>SUM([3]Frontier!$EL$41:$EW$41)</f>
        <v>327798</v>
      </c>
      <c r="Q39" s="357">
        <f>SUM([3]Frontier!$DX$41:$EI$41)</f>
        <v>453762</v>
      </c>
      <c r="R39" s="358">
        <f>(P39-Q39)/Q39</f>
        <v>-0.27759927010194774</v>
      </c>
      <c r="T39" s="333"/>
    </row>
    <row r="40" spans="1:20" s="7" customFormat="1" ht="14.1" customHeight="1" x14ac:dyDescent="0.2">
      <c r="A40" s="354"/>
      <c r="B40" s="369"/>
      <c r="C40" s="355"/>
      <c r="D40" s="356"/>
      <c r="E40" s="357"/>
      <c r="F40" s="358"/>
      <c r="G40" s="357"/>
      <c r="H40" s="357"/>
      <c r="I40" s="358"/>
      <c r="J40" s="354"/>
      <c r="K40" s="369"/>
      <c r="L40" s="359"/>
      <c r="M40" s="39"/>
      <c r="N40" s="9"/>
      <c r="O40" s="86"/>
      <c r="P40" s="9"/>
      <c r="Q40" s="9"/>
      <c r="R40" s="86"/>
      <c r="T40" s="333"/>
    </row>
    <row r="41" spans="1:20" s="7" customFormat="1" ht="14.1" customHeight="1" x14ac:dyDescent="0.2">
      <c r="A41" s="354" t="s">
        <v>162</v>
      </c>
      <c r="B41" s="369"/>
      <c r="C41" s="355">
        <f>'[3]Great Lakes'!$EW$19</f>
        <v>0</v>
      </c>
      <c r="D41" s="356">
        <f>C41/$C$64</f>
        <v>0</v>
      </c>
      <c r="E41" s="357">
        <f>'[3]Great Lakes'!$EI$19</f>
        <v>139</v>
      </c>
      <c r="F41" s="358">
        <f>(C41-E41)/E41</f>
        <v>-1</v>
      </c>
      <c r="G41" s="357">
        <f>SUM('[3]Great Lakes'!$EL$19:$EW$19)</f>
        <v>571</v>
      </c>
      <c r="H41" s="357">
        <f>SUM('[3]Great Lakes'!$DX$19:$EI$19)</f>
        <v>2648</v>
      </c>
      <c r="I41" s="358">
        <f>(G41-H41)/H41</f>
        <v>-0.78436555891238668</v>
      </c>
      <c r="J41" s="354" t="s">
        <v>162</v>
      </c>
      <c r="K41" s="369"/>
      <c r="L41" s="355">
        <f>'[3]Great Lakes'!$EW$41</f>
        <v>0</v>
      </c>
      <c r="M41" s="356">
        <f>L41/$L$64</f>
        <v>0</v>
      </c>
      <c r="N41" s="357">
        <f>'[3]Great Lakes'!$EI$41</f>
        <v>446</v>
      </c>
      <c r="O41" s="358">
        <f>(L41-N41)/N41</f>
        <v>-1</v>
      </c>
      <c r="P41" s="357">
        <f>SUM('[3]Great Lakes'!$EL$41:$EW$41)</f>
        <v>1557</v>
      </c>
      <c r="Q41" s="357">
        <f>SUM('[3]Great Lakes'!$DX$41:$EI$41)</f>
        <v>8765</v>
      </c>
      <c r="R41" s="358">
        <f>(P41-Q41)/Q41</f>
        <v>-0.82236166571591562</v>
      </c>
      <c r="T41" s="333"/>
    </row>
    <row r="42" spans="1:20" s="7" customFormat="1" ht="14.1" customHeight="1" x14ac:dyDescent="0.2">
      <c r="A42" s="354"/>
      <c r="B42" s="369"/>
      <c r="C42" s="355"/>
      <c r="D42" s="356"/>
      <c r="E42" s="357"/>
      <c r="F42" s="358"/>
      <c r="G42" s="357"/>
      <c r="H42" s="357"/>
      <c r="I42" s="358"/>
      <c r="J42" s="354"/>
      <c r="K42" s="369"/>
      <c r="L42" s="359"/>
      <c r="M42" s="39"/>
      <c r="N42" s="9"/>
      <c r="O42" s="86"/>
      <c r="P42" s="9"/>
      <c r="Q42" s="9"/>
      <c r="R42" s="86"/>
      <c r="T42" s="333"/>
    </row>
    <row r="43" spans="1:20" s="7" customFormat="1" ht="14.1" customHeight="1" x14ac:dyDescent="0.2">
      <c r="A43" s="354" t="s">
        <v>51</v>
      </c>
      <c r="B43" s="369"/>
      <c r="C43" s="355">
        <f>[3]Icelandair!$EW$19</f>
        <v>32</v>
      </c>
      <c r="D43" s="356">
        <f>C43/$C$64</f>
        <v>1.0680194913557173E-3</v>
      </c>
      <c r="E43" s="357">
        <f>[3]Icelandair!$EI$19</f>
        <v>32</v>
      </c>
      <c r="F43" s="358">
        <f>(C43-E43)/E43</f>
        <v>0</v>
      </c>
      <c r="G43" s="357">
        <f>SUM([3]Icelandair!$EL$19:$EW$19)</f>
        <v>418</v>
      </c>
      <c r="H43" s="357">
        <f>SUM([3]Icelandair!$DX$19:$EI$19)</f>
        <v>370</v>
      </c>
      <c r="I43" s="358">
        <f>(G43-H43)/H43</f>
        <v>0.12972972972972974</v>
      </c>
      <c r="J43" s="354" t="s">
        <v>51</v>
      </c>
      <c r="K43" s="369"/>
      <c r="L43" s="355">
        <f>[3]Icelandair!$EW$41</f>
        <v>4473</v>
      </c>
      <c r="M43" s="356">
        <f>L43/$L$64</f>
        <v>1.5995714450213025E-3</v>
      </c>
      <c r="N43" s="357">
        <f>[3]Icelandair!$EI$41</f>
        <v>4041</v>
      </c>
      <c r="O43" s="358">
        <f>(L43-N43)/N43</f>
        <v>0.10690423162583519</v>
      </c>
      <c r="P43" s="357">
        <f>SUM([3]Icelandair!$EL$41:$EW$41)</f>
        <v>74564</v>
      </c>
      <c r="Q43" s="357">
        <f>SUM([3]Icelandair!$DX$41:$EI$41)</f>
        <v>56795</v>
      </c>
      <c r="R43" s="358">
        <f>(P43-Q43)/Q43</f>
        <v>0.31286204771546788</v>
      </c>
      <c r="T43" s="20"/>
    </row>
    <row r="44" spans="1:20" s="7" customFormat="1" ht="14.1" customHeight="1" x14ac:dyDescent="0.2">
      <c r="A44" s="354"/>
      <c r="B44" s="369"/>
      <c r="C44" s="355"/>
      <c r="D44" s="356"/>
      <c r="E44" s="357"/>
      <c r="F44" s="358"/>
      <c r="G44" s="357"/>
      <c r="H44" s="357"/>
      <c r="I44" s="358"/>
      <c r="J44" s="354"/>
      <c r="K44" s="369"/>
      <c r="L44" s="359"/>
      <c r="M44" s="39"/>
      <c r="N44" s="9"/>
      <c r="O44" s="86"/>
      <c r="P44" s="9"/>
      <c r="Q44" s="9"/>
      <c r="R44" s="86"/>
      <c r="T44" s="20"/>
    </row>
    <row r="45" spans="1:20" ht="14.1" customHeight="1" x14ac:dyDescent="0.2">
      <c r="A45" s="366" t="s">
        <v>136</v>
      </c>
      <c r="B45" s="369"/>
      <c r="C45" s="355">
        <f>SUM(C46:C46)</f>
        <v>1304</v>
      </c>
      <c r="D45" s="356">
        <f>C45/$C$64</f>
        <v>4.3521794272745475E-2</v>
      </c>
      <c r="E45" s="357">
        <f>SUM(E46:E46)</f>
        <v>1285</v>
      </c>
      <c r="F45" s="358">
        <f>(C45-E45)/E45</f>
        <v>1.4785992217898832E-2</v>
      </c>
      <c r="G45" s="355">
        <f>SUM(G46:G46)</f>
        <v>17197</v>
      </c>
      <c r="H45" s="357">
        <f>SUM(H46:H46)</f>
        <v>15874</v>
      </c>
      <c r="I45" s="358">
        <f>(G45-H45)/H45</f>
        <v>8.3343832682373692E-2</v>
      </c>
      <c r="J45" s="354" t="s">
        <v>136</v>
      </c>
      <c r="K45" s="55"/>
      <c r="L45" s="355">
        <f>SUM(L46:L46)</f>
        <v>157979</v>
      </c>
      <c r="M45" s="356">
        <f>L45/$L$64</f>
        <v>5.6494231458309938E-2</v>
      </c>
      <c r="N45" s="357">
        <f>SUM(N46:N46)</f>
        <v>148317</v>
      </c>
      <c r="O45" s="358">
        <f>(L45-N45)/N45</f>
        <v>6.5144251838966535E-2</v>
      </c>
      <c r="P45" s="355">
        <f>SUM(P46:P46)</f>
        <v>2109637</v>
      </c>
      <c r="Q45" s="357">
        <f>SUM(Q46:Q46)</f>
        <v>1885984</v>
      </c>
      <c r="R45" s="358">
        <f>(P45-Q45)/Q45</f>
        <v>0.11858690211581858</v>
      </c>
      <c r="T45" s="20"/>
    </row>
    <row r="46" spans="1:20" ht="14.1" customHeight="1" x14ac:dyDescent="0.2">
      <c r="A46" s="366"/>
      <c r="B46" s="369" t="s">
        <v>136</v>
      </c>
      <c r="C46" s="433">
        <f>[3]Southwest!$EW$19</f>
        <v>1304</v>
      </c>
      <c r="D46" s="434">
        <f>C46/$C$64</f>
        <v>4.3521794272745475E-2</v>
      </c>
      <c r="E46" s="299">
        <f>[3]Southwest!$EI$19</f>
        <v>1285</v>
      </c>
      <c r="F46" s="435">
        <f>(C46-E46)/E46</f>
        <v>1.4785992217898832E-2</v>
      </c>
      <c r="G46" s="299">
        <f>SUM([3]Southwest!$EL$19:$EW$19)</f>
        <v>17197</v>
      </c>
      <c r="H46" s="299">
        <f>SUM([3]Southwest!$DX$19:$EI$19)</f>
        <v>15874</v>
      </c>
      <c r="I46" s="435">
        <f>(G46-H46)/H46</f>
        <v>8.3343832682373692E-2</v>
      </c>
      <c r="J46" s="354"/>
      <c r="K46" s="55" t="s">
        <v>136</v>
      </c>
      <c r="L46" s="433">
        <f>[3]Southwest!$EW$41</f>
        <v>157979</v>
      </c>
      <c r="M46" s="434">
        <f>L46/$L$64</f>
        <v>5.6494231458309938E-2</v>
      </c>
      <c r="N46" s="299">
        <f>[3]Southwest!$EI$41</f>
        <v>148317</v>
      </c>
      <c r="O46" s="435">
        <f>(L46-N46)/N46</f>
        <v>6.5144251838966535E-2</v>
      </c>
      <c r="P46" s="299">
        <f>SUM([3]Southwest!$EL$41:$EW$41)</f>
        <v>2109637</v>
      </c>
      <c r="Q46" s="299">
        <f>SUM([3]Southwest!$DX$41:$EI$41)</f>
        <v>1885984</v>
      </c>
      <c r="R46" s="435">
        <f>(P46-Q46)/Q46</f>
        <v>0.11858690211581858</v>
      </c>
      <c r="T46" s="20"/>
    </row>
    <row r="47" spans="1:20" ht="14.1" customHeight="1" x14ac:dyDescent="0.2">
      <c r="A47" s="354"/>
      <c r="B47" s="369"/>
      <c r="C47" s="355"/>
      <c r="D47" s="356"/>
      <c r="E47" s="357"/>
      <c r="F47" s="358"/>
      <c r="G47" s="357"/>
      <c r="H47" s="357"/>
      <c r="I47" s="358"/>
      <c r="J47" s="354"/>
      <c r="K47" s="55"/>
      <c r="L47" s="359"/>
      <c r="M47" s="39"/>
      <c r="N47" s="9"/>
      <c r="O47" s="86"/>
      <c r="P47" s="9"/>
      <c r="Q47" s="9"/>
      <c r="R47" s="86"/>
      <c r="T47" s="20"/>
    </row>
    <row r="48" spans="1:20" ht="14.1" customHeight="1" x14ac:dyDescent="0.2">
      <c r="A48" s="354" t="s">
        <v>164</v>
      </c>
      <c r="B48" s="369"/>
      <c r="C48" s="355">
        <f>[3]Spirit!$EW$19</f>
        <v>766</v>
      </c>
      <c r="D48" s="356">
        <f>C48/$C$64</f>
        <v>2.556571657432748E-2</v>
      </c>
      <c r="E48" s="357">
        <f>[3]Spirit!$EI$19</f>
        <v>674</v>
      </c>
      <c r="F48" s="358">
        <f>(C48-E48)/E48</f>
        <v>0.13649851632047477</v>
      </c>
      <c r="G48" s="357">
        <f>SUM([3]Spirit!$EL$19:$EW$19)</f>
        <v>8851</v>
      </c>
      <c r="H48" s="357">
        <f>SUM([3]Spirit!$DX$19:$EI$19)</f>
        <v>7501</v>
      </c>
      <c r="I48" s="358">
        <f>(G48-H48)/H48</f>
        <v>0.17997600319957338</v>
      </c>
      <c r="J48" s="354" t="s">
        <v>164</v>
      </c>
      <c r="K48" s="55"/>
      <c r="L48" s="355">
        <f>[3]Spirit!$EW$41</f>
        <v>93073</v>
      </c>
      <c r="M48" s="356">
        <f>L48/$L$64</f>
        <v>3.3283459222550348E-2</v>
      </c>
      <c r="N48" s="357">
        <f>[3]Spirit!$EI$41</f>
        <v>105474</v>
      </c>
      <c r="O48" s="358">
        <f>(L48-N48)/N48</f>
        <v>-0.11757399927944327</v>
      </c>
      <c r="P48" s="357">
        <f>SUM([3]Spirit!$EL$41:$EW$41)</f>
        <v>1200623</v>
      </c>
      <c r="Q48" s="357">
        <f>SUM([3]Spirit!$DX$41:$EI$41)</f>
        <v>1029510</v>
      </c>
      <c r="R48" s="358">
        <f>(P48-Q48)/Q48</f>
        <v>0.16620819613214052</v>
      </c>
      <c r="T48" s="20"/>
    </row>
    <row r="49" spans="1:20" ht="14.1" customHeight="1" x14ac:dyDescent="0.2">
      <c r="A49" s="354"/>
      <c r="B49" s="369"/>
      <c r="C49" s="355"/>
      <c r="D49" s="356"/>
      <c r="E49" s="357"/>
      <c r="F49" s="358"/>
      <c r="G49" s="357"/>
      <c r="H49" s="357"/>
      <c r="I49" s="358"/>
      <c r="J49" s="354"/>
      <c r="K49" s="55"/>
      <c r="L49" s="359"/>
      <c r="M49" s="39"/>
      <c r="N49" s="9"/>
      <c r="O49" s="86"/>
      <c r="P49" s="9"/>
      <c r="Q49" s="9"/>
      <c r="R49" s="86"/>
      <c r="T49" s="20"/>
    </row>
    <row r="50" spans="1:20" s="7" customFormat="1" ht="14.1" customHeight="1" x14ac:dyDescent="0.2">
      <c r="A50" s="354" t="s">
        <v>52</v>
      </c>
      <c r="B50" s="369"/>
      <c r="C50" s="355">
        <f>'[3]Sun Country'!$EW$19</f>
        <v>1913</v>
      </c>
      <c r="D50" s="356">
        <f>C50/$C$64</f>
        <v>6.3847540217608967E-2</v>
      </c>
      <c r="E50" s="357">
        <f>'[3]Sun Country'!$EI$19</f>
        <v>1717</v>
      </c>
      <c r="F50" s="358">
        <f>(C50-E50)/E50</f>
        <v>0.11415259172976121</v>
      </c>
      <c r="G50" s="357">
        <f>SUM('[3]Sun Country'!$EL$19:$EW$19)</f>
        <v>19545</v>
      </c>
      <c r="H50" s="357">
        <f>SUM('[3]Sun Country'!$DX$19:$EI$19)</f>
        <v>18492</v>
      </c>
      <c r="I50" s="358">
        <f>(G50-H50)/H50</f>
        <v>5.6943543153796239E-2</v>
      </c>
      <c r="J50" s="354" t="s">
        <v>52</v>
      </c>
      <c r="K50" s="369"/>
      <c r="L50" s="355">
        <f>'[3]Sun Country'!$EW$41</f>
        <v>203168</v>
      </c>
      <c r="M50" s="356">
        <f>L50/$L$64</f>
        <v>7.2654087042720319E-2</v>
      </c>
      <c r="N50" s="357">
        <f>'[3]Sun Country'!$EI$41</f>
        <v>181752</v>
      </c>
      <c r="O50" s="358">
        <f>(L50-N50)/N50</f>
        <v>0.11783089044412166</v>
      </c>
      <c r="P50" s="357">
        <f>SUM('[3]Sun Country'!$EL$41:$EW$41)</f>
        <v>2197819</v>
      </c>
      <c r="Q50" s="357">
        <f>SUM('[3]Sun Country'!$DX$41:$EI$41)</f>
        <v>2051651</v>
      </c>
      <c r="R50" s="358">
        <f>(P50-Q50)/Q50</f>
        <v>7.124408586060689E-2</v>
      </c>
      <c r="T50" s="20"/>
    </row>
    <row r="51" spans="1:20" s="7" customFormat="1" ht="14.1" customHeight="1" x14ac:dyDescent="0.2">
      <c r="A51" s="354"/>
      <c r="B51" s="369"/>
      <c r="C51" s="355"/>
      <c r="D51" s="356"/>
      <c r="E51" s="357"/>
      <c r="F51" s="358"/>
      <c r="G51" s="357"/>
      <c r="H51" s="357"/>
      <c r="I51" s="358"/>
      <c r="J51" s="354"/>
      <c r="K51" s="369"/>
      <c r="L51" s="359"/>
      <c r="M51" s="39"/>
      <c r="N51" s="9"/>
      <c r="O51" s="86"/>
      <c r="P51" s="9"/>
      <c r="Q51" s="9"/>
      <c r="R51" s="86"/>
      <c r="T51" s="20"/>
    </row>
    <row r="52" spans="1:20" s="7" customFormat="1" ht="14.1" customHeight="1" x14ac:dyDescent="0.2">
      <c r="A52" s="354" t="s">
        <v>21</v>
      </c>
      <c r="B52" s="367"/>
      <c r="C52" s="355">
        <f>SUM(C53:C59)</f>
        <v>1452</v>
      </c>
      <c r="D52" s="356">
        <f>C52/$C$64</f>
        <v>4.8461384420265673E-2</v>
      </c>
      <c r="E52" s="357">
        <f>SUM(E53:E59)</f>
        <v>1568</v>
      </c>
      <c r="F52" s="358">
        <f t="shared" ref="F52:F59" si="36">(C52-E52)/E52</f>
        <v>-7.3979591836734693E-2</v>
      </c>
      <c r="G52" s="357">
        <f>SUM(G53:G59)</f>
        <v>20058</v>
      </c>
      <c r="H52" s="357">
        <f>SUM(H53:H59)</f>
        <v>19560</v>
      </c>
      <c r="I52" s="358">
        <f t="shared" ref="I52:I59" si="37">(G52-H52)/H52</f>
        <v>2.5460122699386502E-2</v>
      </c>
      <c r="J52" s="354" t="s">
        <v>21</v>
      </c>
      <c r="K52" s="362"/>
      <c r="L52" s="355">
        <f>SUM(L53:L59)</f>
        <v>127863</v>
      </c>
      <c r="M52" s="356">
        <f>L52/$L$64</f>
        <v>4.572457046160492E-2</v>
      </c>
      <c r="N52" s="357">
        <f>SUM(N53:N59)</f>
        <v>122627</v>
      </c>
      <c r="O52" s="358">
        <f t="shared" ref="O52:O59" si="38">(L52-N52)/N52</f>
        <v>4.2698590033190077E-2</v>
      </c>
      <c r="P52" s="357">
        <f>SUM(P53:P59)</f>
        <v>1736055</v>
      </c>
      <c r="Q52" s="357">
        <f>SUM(Q53:Q59)</f>
        <v>1567854</v>
      </c>
      <c r="R52" s="358">
        <f t="shared" ref="R52:R59" si="39">(P52-Q52)/Q52</f>
        <v>0.10728103509638015</v>
      </c>
      <c r="T52" s="20"/>
    </row>
    <row r="53" spans="1:20" s="7" customFormat="1" ht="14.1" customHeight="1" x14ac:dyDescent="0.2">
      <c r="A53" s="370"/>
      <c r="B53" s="440" t="s">
        <v>21</v>
      </c>
      <c r="C53" s="359">
        <f>[3]United!$EW$19</f>
        <v>604</v>
      </c>
      <c r="D53" s="39">
        <f>C53/$C$64</f>
        <v>2.0158867899339163E-2</v>
      </c>
      <c r="E53" s="9">
        <f>[3]United!$EI$19+[3]Continental!$EI$19</f>
        <v>502</v>
      </c>
      <c r="F53" s="86">
        <f t="shared" si="36"/>
        <v>0.20318725099601595</v>
      </c>
      <c r="G53" s="9">
        <f>SUM([3]United!$EL$19:$EW$19)</f>
        <v>7898</v>
      </c>
      <c r="H53" s="9">
        <f>SUM([3]United!$DX$19:$EI$19)+SUM([3]Continental!$DX$19:$EI$19)</f>
        <v>7242</v>
      </c>
      <c r="I53" s="86">
        <f t="shared" si="37"/>
        <v>9.0582711958022644E-2</v>
      </c>
      <c r="J53" s="370"/>
      <c r="K53" s="437" t="s">
        <v>21</v>
      </c>
      <c r="L53" s="359">
        <f>[3]United!$EW$41</f>
        <v>74473</v>
      </c>
      <c r="M53" s="39">
        <f>L53/$L$64</f>
        <v>2.6631988425010387E-2</v>
      </c>
      <c r="N53" s="9">
        <f>[3]United!$EI$41+[3]Continental!$EI$41</f>
        <v>58281</v>
      </c>
      <c r="O53" s="86">
        <f t="shared" si="38"/>
        <v>0.27782639282098798</v>
      </c>
      <c r="P53" s="9">
        <f>SUM([3]United!$EL$41:$EW$41)</f>
        <v>977939</v>
      </c>
      <c r="Q53" s="9">
        <f>SUM([3]United!$DX$41:$EI$41)+SUM([3]Continental!$DX$41:$EI$41)</f>
        <v>851638</v>
      </c>
      <c r="R53" s="86">
        <f t="shared" si="39"/>
        <v>0.1483036219614437</v>
      </c>
      <c r="T53" s="20"/>
    </row>
    <row r="54" spans="1:20" s="7" customFormat="1" ht="14.1" customHeight="1" x14ac:dyDescent="0.2">
      <c r="A54" s="370"/>
      <c r="B54" s="440" t="s">
        <v>195</v>
      </c>
      <c r="C54" s="359">
        <f>'[3]Continental Express'!$EW$19</f>
        <v>16</v>
      </c>
      <c r="D54" s="39">
        <f>C54/$C$63</f>
        <v>1.2261475975170512E-3</v>
      </c>
      <c r="E54" s="9">
        <f>'[3]Continental Express'!$EI$19</f>
        <v>1066</v>
      </c>
      <c r="F54" s="86">
        <f t="shared" si="36"/>
        <v>-0.98499061913696062</v>
      </c>
      <c r="G54" s="9">
        <f>SUM('[3]Continental Express'!$EL$19:$EW$19)</f>
        <v>1194</v>
      </c>
      <c r="H54" s="9">
        <f>SUM('[3]Continental Express'!$DX$19:$EI$19)</f>
        <v>6446</v>
      </c>
      <c r="I54" s="86">
        <f t="shared" si="37"/>
        <v>-0.81476884889854173</v>
      </c>
      <c r="J54" s="53"/>
      <c r="K54" s="437" t="s">
        <v>195</v>
      </c>
      <c r="L54" s="359">
        <f>'[3]Continental Express'!$EW$41</f>
        <v>607</v>
      </c>
      <c r="M54" s="39">
        <f>L54/$L$63</f>
        <v>8.9861491908024469E-4</v>
      </c>
      <c r="N54" s="9">
        <f>'[3]Continental Express'!$EI$41</f>
        <v>64346</v>
      </c>
      <c r="O54" s="86">
        <f t="shared" si="38"/>
        <v>-0.99056662418798369</v>
      </c>
      <c r="P54" s="9">
        <f>SUM('[3]Continental Express'!$EL$41:$EW$41)</f>
        <v>76649</v>
      </c>
      <c r="Q54" s="9">
        <f>SUM('[3]Continental Express'!$DX$41:$EI$41)</f>
        <v>356526</v>
      </c>
      <c r="R54" s="86">
        <f t="shared" si="39"/>
        <v>-0.78501147181411735</v>
      </c>
      <c r="T54" s="20"/>
    </row>
    <row r="55" spans="1:20" s="7" customFormat="1" ht="14.1" customHeight="1" x14ac:dyDescent="0.2">
      <c r="A55" s="370"/>
      <c r="B55" s="364" t="s">
        <v>163</v>
      </c>
      <c r="C55" s="359">
        <f>'[3]Go Jet_UA'!$EW$19</f>
        <v>64</v>
      </c>
      <c r="D55" s="39">
        <f>C55/$C$64</f>
        <v>2.1360389827114346E-3</v>
      </c>
      <c r="E55" s="9">
        <f>'[3]Go Jet_UA'!$EI$19</f>
        <v>0</v>
      </c>
      <c r="F55" s="86" t="e">
        <f t="shared" si="36"/>
        <v>#DIV/0!</v>
      </c>
      <c r="G55" s="9">
        <f>SUM('[3]Go Jet_UA'!$EL$19:$EW$19)</f>
        <v>344</v>
      </c>
      <c r="H55" s="9">
        <f>SUM('[3]Go Jet_UA'!$DX$19:$EI$19)</f>
        <v>292</v>
      </c>
      <c r="I55" s="86">
        <f t="shared" si="37"/>
        <v>0.17808219178082191</v>
      </c>
      <c r="J55" s="370"/>
      <c r="K55" s="363" t="s">
        <v>163</v>
      </c>
      <c r="L55" s="359">
        <f>'[3]Go Jet_UA'!$EW$41</f>
        <v>3659</v>
      </c>
      <c r="M55" s="39">
        <f>L55/$L$64</f>
        <v>1.3084801961397152E-3</v>
      </c>
      <c r="N55" s="9">
        <f>'[3]Go Jet_UA'!$EI$41</f>
        <v>0</v>
      </c>
      <c r="O55" s="86" t="e">
        <f t="shared" si="38"/>
        <v>#DIV/0!</v>
      </c>
      <c r="P55" s="9">
        <f>SUM('[3]Go Jet_UA'!$EL$41:$EW$41)</f>
        <v>21445</v>
      </c>
      <c r="Q55" s="9">
        <f>SUM('[3]Go Jet_UA'!$DX$41:$EI$41)</f>
        <v>17949</v>
      </c>
      <c r="R55" s="86">
        <f t="shared" si="39"/>
        <v>0.19477408212156666</v>
      </c>
      <c r="T55" s="20"/>
    </row>
    <row r="56" spans="1:20" s="7" customFormat="1" ht="14.1" customHeight="1" x14ac:dyDescent="0.2">
      <c r="A56" s="370"/>
      <c r="B56" s="364" t="s">
        <v>55</v>
      </c>
      <c r="C56" s="359">
        <f>[3]MESA_UA!$EW$19</f>
        <v>288</v>
      </c>
      <c r="D56" s="39">
        <f>C56/$C$64</f>
        <v>9.6121754222014549E-3</v>
      </c>
      <c r="E56" s="9">
        <f>[3]MESA_UA!$EI$19</f>
        <v>0</v>
      </c>
      <c r="F56" s="86" t="e">
        <f>(C56-E56)/E56</f>
        <v>#DIV/0!</v>
      </c>
      <c r="G56" s="9">
        <f>SUM([3]MESA_UA!$EL$19:$EW$19)</f>
        <v>3568</v>
      </c>
      <c r="H56" s="9">
        <f>SUM([3]MESA_UA!$DX$19:$EI$19)</f>
        <v>2256</v>
      </c>
      <c r="I56" s="86">
        <f>(G56-H56)/H56</f>
        <v>0.58156028368794321</v>
      </c>
      <c r="J56" s="370"/>
      <c r="K56" s="363" t="s">
        <v>55</v>
      </c>
      <c r="L56" s="359">
        <f>[3]MESA_UA!$EW$41</f>
        <v>18129</v>
      </c>
      <c r="M56" s="39">
        <f>L56/$L$64</f>
        <v>6.4830383918603159E-3</v>
      </c>
      <c r="N56" s="9">
        <f>[3]MESA_UA!$EI$41</f>
        <v>0</v>
      </c>
      <c r="O56" s="86" t="e">
        <f>(L56-N56)/N56</f>
        <v>#DIV/0!</v>
      </c>
      <c r="P56" s="9">
        <f>SUM([3]MESA_UA!$EL$41:$EW$41)</f>
        <v>210329</v>
      </c>
      <c r="Q56" s="9">
        <f>SUM([3]MESA_UA!$DX$41:$EI$41)</f>
        <v>136219</v>
      </c>
      <c r="R56" s="86">
        <f t="shared" si="39"/>
        <v>0.54405038944640616</v>
      </c>
      <c r="T56" s="20"/>
    </row>
    <row r="57" spans="1:20" ht="14.1" customHeight="1" x14ac:dyDescent="0.2">
      <c r="A57" s="53"/>
      <c r="B57" s="440" t="s">
        <v>56</v>
      </c>
      <c r="C57" s="359">
        <f>[3]Republic_UA!$EW$19</f>
        <v>228</v>
      </c>
      <c r="D57" s="39">
        <f t="shared" ref="D57" si="40">C57/$C$64</f>
        <v>7.6096388759094857E-3</v>
      </c>
      <c r="E57" s="9">
        <f>[3]Republic_UA!$EI$19</f>
        <v>0</v>
      </c>
      <c r="F57" s="86" t="e">
        <f t="shared" ref="F57" si="41">(C57-E57)/E57</f>
        <v>#DIV/0!</v>
      </c>
      <c r="G57" s="9">
        <f>SUM([3]Republic_UA!$EL$19:$EW$19)</f>
        <v>2346</v>
      </c>
      <c r="H57" s="9">
        <f>SUM([3]Republic_UA!$DX$19:$EI$19)</f>
        <v>0</v>
      </c>
      <c r="I57" s="86" t="e">
        <f t="shared" ref="I57" si="42">(G57-H57)/H57</f>
        <v>#DIV/0!</v>
      </c>
      <c r="J57" s="370"/>
      <c r="K57" s="365" t="s">
        <v>210</v>
      </c>
      <c r="L57" s="359">
        <f>[3]Republic_UA!$EW$41</f>
        <v>14180</v>
      </c>
      <c r="M57" s="39">
        <f t="shared" ref="M57" si="43">L57/$L$64</f>
        <v>5.0708524682320745E-3</v>
      </c>
      <c r="N57" s="9">
        <f>[3]Republic_UA!$EI$41</f>
        <v>0</v>
      </c>
      <c r="O57" s="86" t="e">
        <f t="shared" ref="O57" si="44">(L57-N57)/N57</f>
        <v>#DIV/0!</v>
      </c>
      <c r="P57" s="9">
        <f>SUM([3]Republic_UA!$EL$41:$EW$41)</f>
        <v>141797</v>
      </c>
      <c r="Q57" s="9">
        <f>SUM([3]Republic_UA!$DX$41:$EI$41)</f>
        <v>0</v>
      </c>
      <c r="R57" s="86" t="e">
        <f t="shared" si="39"/>
        <v>#DIV/0!</v>
      </c>
      <c r="T57" s="20"/>
    </row>
    <row r="58" spans="1:20" s="7" customFormat="1" ht="14.1" customHeight="1" x14ac:dyDescent="0.2">
      <c r="A58" s="370"/>
      <c r="B58" s="364" t="s">
        <v>104</v>
      </c>
      <c r="C58" s="359">
        <f>'[3]Sky West_UA'!$EW$19</f>
        <v>236</v>
      </c>
      <c r="D58" s="39">
        <f>C58/$C$64</f>
        <v>7.8766437487484148E-3</v>
      </c>
      <c r="E58" s="9">
        <f>'[3]Sky West_UA'!$EI$19+'[3]Sky West_CO'!$EI$19</f>
        <v>0</v>
      </c>
      <c r="F58" s="86" t="e">
        <f t="shared" si="36"/>
        <v>#DIV/0!</v>
      </c>
      <c r="G58" s="9">
        <f>SUM('[3]Sky West_UA'!$EL$19:$EW$19)</f>
        <v>4042</v>
      </c>
      <c r="H58" s="9">
        <f>SUM('[3]Sky West_UA'!$DX$19:$EI$19)+SUM('[3]Sky West_CO'!$DX$19:$EI$19)</f>
        <v>2074</v>
      </c>
      <c r="I58" s="86">
        <f t="shared" si="37"/>
        <v>0.94889103182256507</v>
      </c>
      <c r="J58" s="370"/>
      <c r="K58" s="363" t="s">
        <v>104</v>
      </c>
      <c r="L58" s="359">
        <f>'[3]Sky West_UA'!$EW$41</f>
        <v>15834</v>
      </c>
      <c r="M58" s="39">
        <f>L58/$L$64</f>
        <v>5.662332720873531E-3</v>
      </c>
      <c r="N58" s="9">
        <f>'[3]Sky West_UA'!$EI$41+'[3]Sky West_CO'!$EI$41</f>
        <v>0</v>
      </c>
      <c r="O58" s="86" t="e">
        <f t="shared" si="38"/>
        <v>#DIV/0!</v>
      </c>
      <c r="P58" s="9">
        <f>SUM('[3]Sky West_UA'!$EL$41:$EW$41)</f>
        <v>269463</v>
      </c>
      <c r="Q58" s="9">
        <f>SUM('[3]Sky West_UA'!$DX$41:$EI$41)+SUM('[3]Sky West_CO'!$DX$41:$EI$41)</f>
        <v>131384</v>
      </c>
      <c r="R58" s="86">
        <f t="shared" si="39"/>
        <v>1.0509574986299701</v>
      </c>
      <c r="T58" s="20"/>
    </row>
    <row r="59" spans="1:20" s="7" customFormat="1" ht="14.1" customHeight="1" x14ac:dyDescent="0.2">
      <c r="A59" s="370"/>
      <c r="B59" s="365" t="s">
        <v>137</v>
      </c>
      <c r="C59" s="359">
        <f>'[3]Shuttle America'!$EW$19</f>
        <v>16</v>
      </c>
      <c r="D59" s="39">
        <f>C59/$C$64</f>
        <v>5.3400974567785866E-4</v>
      </c>
      <c r="E59" s="9">
        <f>'[3]Shuttle America'!$EI$19</f>
        <v>0</v>
      </c>
      <c r="F59" s="86" t="e">
        <f t="shared" si="36"/>
        <v>#DIV/0!</v>
      </c>
      <c r="G59" s="9">
        <f>SUM('[3]Shuttle America'!$EL$19:$EW$19)</f>
        <v>666</v>
      </c>
      <c r="H59" s="9">
        <f>SUM('[3]Shuttle America'!$DX$19:$EI$19)</f>
        <v>1250</v>
      </c>
      <c r="I59" s="86">
        <f t="shared" si="37"/>
        <v>-0.4672</v>
      </c>
      <c r="J59" s="370"/>
      <c r="K59" s="365" t="s">
        <v>137</v>
      </c>
      <c r="L59" s="359">
        <f>'[3]Shuttle America'!$EW$41</f>
        <v>981</v>
      </c>
      <c r="M59" s="39">
        <f>L59/$L$64</f>
        <v>3.5081144367670418E-4</v>
      </c>
      <c r="N59" s="9">
        <f>'[3]Shuttle America'!$EI$41</f>
        <v>0</v>
      </c>
      <c r="O59" s="86" t="e">
        <f t="shared" si="38"/>
        <v>#DIV/0!</v>
      </c>
      <c r="P59" s="9">
        <f>SUM('[3]Shuttle America'!$EL$41:$EW$41)</f>
        <v>38433</v>
      </c>
      <c r="Q59" s="9">
        <f>SUM('[3]Shuttle America'!$DX$41:$EI$41)</f>
        <v>74138</v>
      </c>
      <c r="R59" s="86">
        <f t="shared" si="39"/>
        <v>-0.48160187757964878</v>
      </c>
      <c r="T59" s="20"/>
    </row>
    <row r="60" spans="1:20" s="7" customFormat="1" ht="14.1" customHeight="1" thickBot="1" x14ac:dyDescent="0.25">
      <c r="A60" s="370"/>
      <c r="B60" s="365"/>
      <c r="C60" s="371"/>
      <c r="D60" s="372"/>
      <c r="E60" s="373"/>
      <c r="F60" s="374"/>
      <c r="G60" s="375"/>
      <c r="H60" s="375"/>
      <c r="I60" s="374"/>
      <c r="J60" s="444"/>
      <c r="K60" s="445"/>
      <c r="L60" s="371"/>
      <c r="M60" s="372"/>
      <c r="N60" s="375"/>
      <c r="O60" s="374"/>
      <c r="P60" s="375"/>
      <c r="Q60" s="375"/>
      <c r="R60" s="374"/>
      <c r="T60" s="20"/>
    </row>
    <row r="61" spans="1:20" s="229" customFormat="1" ht="14.1" customHeight="1" thickBot="1" x14ac:dyDescent="0.25">
      <c r="B61" s="263"/>
      <c r="C61" s="357"/>
      <c r="D61" s="356"/>
      <c r="E61" s="357"/>
      <c r="F61" s="356"/>
      <c r="G61" s="443"/>
      <c r="H61" s="357"/>
      <c r="I61" s="356"/>
      <c r="J61" s="376"/>
      <c r="K61" s="263"/>
      <c r="L61" s="377"/>
      <c r="M61" s="376"/>
      <c r="N61" s="378"/>
      <c r="O61" s="376"/>
      <c r="P61" s="230"/>
      <c r="Q61" s="230"/>
      <c r="R61" s="230"/>
      <c r="T61" s="228"/>
    </row>
    <row r="62" spans="1:20" ht="14.1" customHeight="1" x14ac:dyDescent="0.2">
      <c r="B62" s="379" t="s">
        <v>139</v>
      </c>
      <c r="C62" s="456">
        <f>+C64-C63</f>
        <v>16913</v>
      </c>
      <c r="D62" s="468">
        <f>C62/$C$64</f>
        <v>0.56448167679060146</v>
      </c>
      <c r="E62" s="458">
        <f>+E64-E63</f>
        <v>16024</v>
      </c>
      <c r="F62" s="459">
        <f>(C62-E62)/E62</f>
        <v>5.5479281078382424E-2</v>
      </c>
      <c r="G62" s="456">
        <f>+G64-G63</f>
        <v>213682</v>
      </c>
      <c r="H62" s="458">
        <f>+H64-H63</f>
        <v>205635</v>
      </c>
      <c r="I62" s="465">
        <f>(G62-H62)/H62</f>
        <v>3.9132443407007562E-2</v>
      </c>
      <c r="K62" s="379" t="s">
        <v>139</v>
      </c>
      <c r="L62" s="456">
        <f>+L64-L63</f>
        <v>2120890</v>
      </c>
      <c r="M62" s="457">
        <f>+L62/L64</f>
        <v>0.75844289783841501</v>
      </c>
      <c r="N62" s="458">
        <f>+N64-N63</f>
        <v>2064226</v>
      </c>
      <c r="O62" s="459">
        <f>(L62-N62)/N62</f>
        <v>2.7450482650639998E-2</v>
      </c>
      <c r="P62" s="456">
        <f>+P64-P63</f>
        <v>28016965</v>
      </c>
      <c r="Q62" s="458">
        <f>+Q64-Q63</f>
        <v>26995968</v>
      </c>
      <c r="R62" s="465">
        <f>(P62-Q62)/Q62</f>
        <v>3.7820351542867441E-2</v>
      </c>
    </row>
    <row r="63" spans="1:20" ht="14.1" customHeight="1" x14ac:dyDescent="0.2">
      <c r="B63" s="263" t="s">
        <v>140</v>
      </c>
      <c r="C63" s="460">
        <f>C59+C37+C35+C33+C32+C36+C20+C58+C55+C34+C54+C56+C24+C23+C21+C15+C7+C6+C57+C22</f>
        <v>13049</v>
      </c>
      <c r="D63" s="432">
        <f>C63/$C$64</f>
        <v>0.43551832320939859</v>
      </c>
      <c r="E63" s="380">
        <f>E59+E37+E35+E33+E32+E36+E20+E58+E55+E34+E54+E56+E24+E23+E21+E15+E7+E6+E57+E22</f>
        <v>12874</v>
      </c>
      <c r="F63" s="382">
        <f>(C63-E63)/E63</f>
        <v>1.359328879913003E-2</v>
      </c>
      <c r="G63" s="460">
        <f>G59+G37+G35+G33+G32+G36+G20+G58+G55+G34+G54+G56+G24+G23+G21+G15+G7+G6+G57+G22</f>
        <v>161359</v>
      </c>
      <c r="H63" s="380">
        <f>H59+H37+H35+H33+H32+H36+H20+H58+H55+H34+H54+H56+H24+H23+H21+H15+H7+H6+H57+H22</f>
        <v>162779</v>
      </c>
      <c r="I63" s="466">
        <f>(G63-H63)/H63</f>
        <v>-8.7234839874922449E-3</v>
      </c>
      <c r="K63" s="332" t="s">
        <v>140</v>
      </c>
      <c r="L63" s="460">
        <f>L59+L37+L35+L33+L32+L36+L20+L58+L55+L34+L54+L56+L24+L23+L21+L15+L7+L6+L57+L22</f>
        <v>675484</v>
      </c>
      <c r="M63" s="381">
        <f>+L63/L64</f>
        <v>0.24155710216158496</v>
      </c>
      <c r="N63" s="380">
        <f>N59+N37+N35+N33+N32+N36+N20+N58+N55+N34+N54+N56+N24+N23+N21+N15+N7+N6+N57+N22</f>
        <v>673733</v>
      </c>
      <c r="O63" s="382">
        <f>(L63-N63)/N63</f>
        <v>2.5989524039938669E-3</v>
      </c>
      <c r="P63" s="460">
        <f>P59+P37+P35+P33+P32+P36+P20+P58+P55+P34+P54+P56+P24+P23+P21+P15+P7+P6+P57+P22</f>
        <v>8324599</v>
      </c>
      <c r="Q63" s="380">
        <f>Q59+Q37+Q35+Q33+Q32+Q36+Q20+Q58+Q55+Q34+Q54+Q56+Q24+Q23+Q21+Q15+Q7+Q6+Q57+Q22</f>
        <v>8494508</v>
      </c>
      <c r="R63" s="466">
        <f>(P63-Q63)/Q63</f>
        <v>-2.0002217903614901E-2</v>
      </c>
    </row>
    <row r="64" spans="1:20" ht="14.1" customHeight="1" thickBot="1" x14ac:dyDescent="0.25">
      <c r="B64" s="263" t="s">
        <v>141</v>
      </c>
      <c r="C64" s="461">
        <f>C52+C50+C45+C43+C39+C30+C17+C13+C4+C41+C48+C28+C26+C9+C11</f>
        <v>29962</v>
      </c>
      <c r="D64" s="469">
        <f>+C64/C64</f>
        <v>1</v>
      </c>
      <c r="E64" s="463">
        <f>E52+E50+E45+E43+E39+E30+E17+E13+E4+E41+E48+E28+E26+E11+E9</f>
        <v>28898</v>
      </c>
      <c r="F64" s="464">
        <f>(C64-E64)/E64</f>
        <v>3.6819157035088937E-2</v>
      </c>
      <c r="G64" s="461">
        <f>G52+G50+G45+G43+G39+G30+G17+G13+G4+G41+G48+G28+G26+G11+G9</f>
        <v>375041</v>
      </c>
      <c r="H64" s="463">
        <f>H52+H50+H45+H43+H39+H30+H17+H13+H4+H41+H48+H11+H9+H26+H28</f>
        <v>368414</v>
      </c>
      <c r="I64" s="467">
        <f>(G64-H64)/H64</f>
        <v>1.7987915768673285E-2</v>
      </c>
      <c r="K64" s="332" t="s">
        <v>141</v>
      </c>
      <c r="L64" s="461">
        <f>L52+L50+L45+L43+L39+L30+L17+L13+L4+L41+L48+L9+L11+L26+L28</f>
        <v>2796374</v>
      </c>
      <c r="M64" s="462">
        <f>+L64/L64</f>
        <v>1</v>
      </c>
      <c r="N64" s="463">
        <f>N52+N50+N45+N43+N39+N30+N17+N13+N4+N41+N48+N9+N11+N26+N28</f>
        <v>2737959</v>
      </c>
      <c r="O64" s="464">
        <f>(L64-N64)/N64</f>
        <v>2.1335235480151454E-2</v>
      </c>
      <c r="P64" s="461">
        <f>P52+P50+P45+P43+P39+P30+P17+P13+P4+P41+P48+P11+P9+P26+P28</f>
        <v>36341564</v>
      </c>
      <c r="Q64" s="461">
        <f>Q52+Q50+Q45+Q43+Q39+Q30+Q17+Q13+Q4+Q41+Q48+Q11+Q9+Q26+Q28</f>
        <v>35490476</v>
      </c>
      <c r="R64" s="467">
        <f>(P64-Q64)/Q64</f>
        <v>2.3980743453539479E-2</v>
      </c>
    </row>
    <row r="65" spans="2:18" x14ac:dyDescent="0.2">
      <c r="B65" s="263"/>
      <c r="F65" s="37"/>
      <c r="G65" s="231"/>
      <c r="H65" s="5"/>
      <c r="I65" s="37"/>
      <c r="K65" s="11"/>
      <c r="L65" s="4"/>
      <c r="M65" s="227"/>
      <c r="N65" s="4"/>
      <c r="O65" s="227"/>
      <c r="P65" s="4"/>
      <c r="Q65" s="7"/>
      <c r="R65" s="7"/>
    </row>
    <row r="66" spans="2:18" x14ac:dyDescent="0.2">
      <c r="B66" s="7"/>
      <c r="D66" s="4"/>
      <c r="E66" s="227"/>
      <c r="F66" s="227"/>
      <c r="G66" s="4"/>
      <c r="H66" s="7"/>
      <c r="I66"/>
      <c r="J66"/>
      <c r="K66"/>
      <c r="M66"/>
      <c r="N66"/>
      <c r="O66"/>
    </row>
    <row r="67" spans="2:18" x14ac:dyDescent="0.2">
      <c r="B67" s="7"/>
      <c r="D67" s="4"/>
      <c r="E67" s="3"/>
      <c r="G67" s="4"/>
      <c r="H67"/>
      <c r="I67"/>
      <c r="J67"/>
      <c r="K67"/>
      <c r="L67"/>
      <c r="M67"/>
      <c r="N67"/>
      <c r="O67"/>
    </row>
    <row r="68" spans="2:18" x14ac:dyDescent="0.2">
      <c r="B68" s="7"/>
      <c r="D68" s="2"/>
      <c r="E68" s="3"/>
      <c r="G68"/>
      <c r="H68"/>
      <c r="I68"/>
      <c r="J68"/>
      <c r="K68"/>
      <c r="L68"/>
      <c r="M68"/>
      <c r="N68"/>
      <c r="O68"/>
    </row>
    <row r="69" spans="2:18" x14ac:dyDescent="0.2">
      <c r="B69" s="7"/>
      <c r="D69" s="2"/>
      <c r="E69" s="3"/>
      <c r="G69"/>
      <c r="H69"/>
      <c r="I69"/>
      <c r="J69"/>
      <c r="K69"/>
      <c r="L69"/>
      <c r="M69"/>
      <c r="N69"/>
      <c r="O69"/>
    </row>
    <row r="70" spans="2:18" x14ac:dyDescent="0.2">
      <c r="B70" s="7"/>
      <c r="D70" s="2"/>
      <c r="E70" s="3"/>
      <c r="G70"/>
      <c r="H70"/>
      <c r="I70"/>
      <c r="J70"/>
      <c r="K70"/>
      <c r="L70"/>
      <c r="M70"/>
      <c r="N70"/>
      <c r="O70"/>
    </row>
    <row r="71" spans="2:18" x14ac:dyDescent="0.2">
      <c r="B71" s="7"/>
      <c r="D71" s="2"/>
      <c r="E71" s="3"/>
      <c r="G71"/>
      <c r="H71"/>
      <c r="I71"/>
      <c r="J71"/>
      <c r="K71"/>
      <c r="L71"/>
      <c r="M71"/>
      <c r="N71"/>
      <c r="O71"/>
    </row>
    <row r="72" spans="2:18" x14ac:dyDescent="0.2">
      <c r="B72" s="7"/>
      <c r="D72" s="2"/>
      <c r="E72" s="3"/>
      <c r="G72"/>
      <c r="H72"/>
      <c r="I72"/>
      <c r="J72"/>
      <c r="K72"/>
      <c r="L72"/>
      <c r="M72"/>
      <c r="N72"/>
      <c r="O72"/>
    </row>
    <row r="73" spans="2:18" x14ac:dyDescent="0.2">
      <c r="B73" s="7"/>
      <c r="D73" s="2"/>
      <c r="E73" s="3"/>
      <c r="G73"/>
      <c r="H73"/>
      <c r="I73"/>
      <c r="J73"/>
      <c r="K73"/>
      <c r="L73"/>
      <c r="M73"/>
      <c r="N73"/>
      <c r="O73"/>
    </row>
    <row r="74" spans="2:18" x14ac:dyDescent="0.2">
      <c r="B74" s="7"/>
      <c r="D74" s="2"/>
      <c r="E74" s="3"/>
      <c r="G74"/>
      <c r="H74"/>
      <c r="I74"/>
      <c r="J74"/>
      <c r="K74"/>
      <c r="L74"/>
      <c r="M74"/>
      <c r="N74"/>
      <c r="O74"/>
    </row>
    <row r="75" spans="2:18" x14ac:dyDescent="0.2">
      <c r="B75" s="7"/>
      <c r="D75" s="2"/>
      <c r="E75" s="3"/>
      <c r="G75"/>
      <c r="H75"/>
      <c r="I75"/>
      <c r="J75"/>
      <c r="K75"/>
      <c r="L75"/>
      <c r="M75"/>
      <c r="N75"/>
      <c r="O75"/>
    </row>
    <row r="76" spans="2:18" x14ac:dyDescent="0.2">
      <c r="B76" s="7"/>
      <c r="D76" s="2"/>
      <c r="E76" s="3"/>
      <c r="G76"/>
      <c r="H76"/>
      <c r="I76"/>
      <c r="J76"/>
      <c r="K76"/>
      <c r="L76"/>
      <c r="M76"/>
      <c r="N76"/>
      <c r="O76"/>
    </row>
    <row r="77" spans="2:18" x14ac:dyDescent="0.2">
      <c r="B77" s="7"/>
      <c r="D77" s="2"/>
      <c r="E77" s="3"/>
      <c r="G77"/>
      <c r="H77"/>
      <c r="I77"/>
      <c r="J77"/>
      <c r="K77"/>
      <c r="L77"/>
      <c r="M77"/>
      <c r="N77"/>
      <c r="O77"/>
    </row>
    <row r="78" spans="2:18" x14ac:dyDescent="0.2">
      <c r="B78" s="7"/>
      <c r="D78" s="2"/>
      <c r="E78" s="3"/>
      <c r="G78"/>
      <c r="H78"/>
      <c r="I78"/>
      <c r="J78"/>
      <c r="K78"/>
      <c r="L78"/>
      <c r="M78"/>
      <c r="N78"/>
      <c r="O78"/>
    </row>
    <row r="79" spans="2:18" x14ac:dyDescent="0.2">
      <c r="B79" s="7"/>
      <c r="D79" s="2"/>
      <c r="E79" s="3"/>
      <c r="G79"/>
      <c r="H79"/>
      <c r="I79"/>
      <c r="J79"/>
      <c r="K79"/>
      <c r="L79"/>
      <c r="M79"/>
      <c r="N79"/>
      <c r="O79"/>
    </row>
    <row r="80" spans="2:18" x14ac:dyDescent="0.2">
      <c r="B80" s="7"/>
      <c r="D80" s="2"/>
      <c r="E80" s="3"/>
      <c r="G80"/>
      <c r="H80"/>
      <c r="I80"/>
      <c r="J80"/>
      <c r="K80"/>
      <c r="L80"/>
      <c r="M80"/>
      <c r="N80"/>
      <c r="O80"/>
    </row>
    <row r="81" spans="2:15" x14ac:dyDescent="0.2">
      <c r="B81" s="7"/>
      <c r="D81" s="2"/>
      <c r="E81" s="3"/>
      <c r="G81"/>
      <c r="H81"/>
      <c r="I81"/>
      <c r="J81"/>
      <c r="K81"/>
      <c r="L81"/>
      <c r="M81"/>
      <c r="N81"/>
      <c r="O81"/>
    </row>
    <row r="82" spans="2:15" x14ac:dyDescent="0.2">
      <c r="B82" s="7"/>
      <c r="D82" s="2"/>
      <c r="E82" s="3"/>
      <c r="G82"/>
      <c r="H82"/>
      <c r="I82"/>
      <c r="J82"/>
      <c r="K82"/>
      <c r="L82"/>
      <c r="M82"/>
      <c r="N82"/>
      <c r="O82"/>
    </row>
    <row r="83" spans="2:15" x14ac:dyDescent="0.2">
      <c r="B83" s="7"/>
      <c r="D83" s="2"/>
      <c r="E83" s="3"/>
      <c r="G83"/>
      <c r="H83"/>
      <c r="I83"/>
      <c r="J83"/>
      <c r="K83"/>
      <c r="L83"/>
      <c r="M83"/>
      <c r="N83"/>
      <c r="O83"/>
    </row>
    <row r="84" spans="2:15" x14ac:dyDescent="0.2">
      <c r="B84" s="7"/>
      <c r="D84" s="2"/>
      <c r="E84" s="3"/>
      <c r="G84"/>
      <c r="H84"/>
      <c r="I84"/>
      <c r="J84"/>
      <c r="K84"/>
      <c r="L84"/>
      <c r="M84"/>
      <c r="N84"/>
      <c r="O84"/>
    </row>
    <row r="85" spans="2:15" x14ac:dyDescent="0.2">
      <c r="B85" s="7"/>
      <c r="D85" s="2"/>
      <c r="E85" s="3"/>
      <c r="G85"/>
      <c r="H85"/>
      <c r="I85"/>
      <c r="J85"/>
      <c r="K85"/>
      <c r="L85"/>
      <c r="M85"/>
      <c r="N85"/>
      <c r="O85"/>
    </row>
    <row r="86" spans="2:15" x14ac:dyDescent="0.2">
      <c r="B86" s="7"/>
      <c r="D86" s="2"/>
      <c r="E86" s="3"/>
      <c r="G86"/>
      <c r="H86"/>
      <c r="I86"/>
      <c r="J86"/>
      <c r="K86"/>
      <c r="L86"/>
      <c r="M86"/>
      <c r="N86"/>
      <c r="O86"/>
    </row>
    <row r="87" spans="2:15" x14ac:dyDescent="0.2">
      <c r="B87" s="7"/>
      <c r="D87" s="2"/>
      <c r="E87" s="3"/>
      <c r="G87"/>
      <c r="H87"/>
      <c r="I87"/>
      <c r="J87"/>
      <c r="K87"/>
      <c r="L87"/>
      <c r="M87"/>
      <c r="N87"/>
      <c r="O87"/>
    </row>
    <row r="88" spans="2:15" x14ac:dyDescent="0.2">
      <c r="B88" s="7"/>
      <c r="D88" s="2"/>
      <c r="E88" s="3"/>
      <c r="G88"/>
      <c r="H88"/>
      <c r="I88"/>
      <c r="J88"/>
      <c r="K88"/>
      <c r="L88"/>
      <c r="M88"/>
      <c r="N88"/>
      <c r="O88"/>
    </row>
    <row r="89" spans="2:15" x14ac:dyDescent="0.2">
      <c r="B89" s="7"/>
      <c r="D89" s="2"/>
      <c r="E89" s="3"/>
      <c r="G89"/>
      <c r="H89"/>
      <c r="I89"/>
      <c r="J89"/>
      <c r="K89"/>
      <c r="L89"/>
      <c r="M89"/>
      <c r="N89"/>
      <c r="O89"/>
    </row>
    <row r="90" spans="2:15" x14ac:dyDescent="0.2">
      <c r="B90" s="7"/>
      <c r="D90" s="2"/>
      <c r="E90" s="3"/>
      <c r="G90"/>
      <c r="H90"/>
      <c r="I90"/>
      <c r="J90"/>
      <c r="K90"/>
      <c r="L90"/>
      <c r="M90"/>
      <c r="N90"/>
      <c r="O90"/>
    </row>
    <row r="91" spans="2:15" x14ac:dyDescent="0.2">
      <c r="B91" s="7"/>
      <c r="D91" s="2"/>
      <c r="E91" s="3"/>
      <c r="G91"/>
      <c r="H91"/>
      <c r="I91"/>
      <c r="J91"/>
      <c r="K91"/>
      <c r="L91"/>
      <c r="M91"/>
      <c r="N91"/>
      <c r="O91"/>
    </row>
    <row r="92" spans="2:15" x14ac:dyDescent="0.2">
      <c r="B92" s="7"/>
      <c r="D92" s="2"/>
      <c r="E92" s="3"/>
      <c r="G92"/>
      <c r="H92"/>
      <c r="I92"/>
      <c r="J92"/>
      <c r="K92"/>
      <c r="L92"/>
      <c r="M92"/>
      <c r="N92"/>
      <c r="O92"/>
    </row>
    <row r="93" spans="2:15" x14ac:dyDescent="0.2">
      <c r="B93" s="7"/>
      <c r="D93" s="2"/>
      <c r="E93" s="3"/>
      <c r="G93"/>
      <c r="H93"/>
      <c r="I93"/>
      <c r="J93"/>
      <c r="K93"/>
      <c r="L93"/>
      <c r="M93"/>
      <c r="N93"/>
      <c r="O93"/>
    </row>
    <row r="94" spans="2:15" x14ac:dyDescent="0.2">
      <c r="B94" s="7"/>
      <c r="D94" s="2"/>
      <c r="E94" s="3"/>
      <c r="G94"/>
      <c r="H94"/>
      <c r="I94"/>
      <c r="J94"/>
      <c r="K94"/>
      <c r="L94"/>
      <c r="M94"/>
      <c r="N94"/>
      <c r="O94"/>
    </row>
    <row r="95" spans="2:15" x14ac:dyDescent="0.2">
      <c r="B95" s="7"/>
      <c r="D95" s="2"/>
      <c r="E95" s="3"/>
      <c r="G95"/>
      <c r="H95"/>
      <c r="I95"/>
      <c r="J95"/>
      <c r="K95"/>
      <c r="L95"/>
      <c r="M95"/>
      <c r="N95"/>
      <c r="O95"/>
    </row>
    <row r="96" spans="2:15" x14ac:dyDescent="0.2">
      <c r="B96" s="7"/>
      <c r="D96" s="2"/>
      <c r="E96" s="3"/>
      <c r="G96"/>
      <c r="H96"/>
      <c r="I96"/>
      <c r="J96"/>
      <c r="K96"/>
      <c r="L96"/>
      <c r="M96"/>
      <c r="N96"/>
      <c r="O96"/>
    </row>
    <row r="97" spans="2:15" x14ac:dyDescent="0.2">
      <c r="B97" s="7"/>
      <c r="D97" s="2"/>
      <c r="E97" s="3"/>
      <c r="G97"/>
      <c r="H97"/>
      <c r="I97"/>
      <c r="J97"/>
      <c r="K97"/>
      <c r="L97"/>
      <c r="M97"/>
      <c r="N97"/>
      <c r="O97"/>
    </row>
    <row r="98" spans="2:15" x14ac:dyDescent="0.2">
      <c r="B98" s="7"/>
      <c r="D98" s="2"/>
      <c r="E98" s="3"/>
      <c r="G98"/>
      <c r="H98"/>
      <c r="I98"/>
      <c r="J98"/>
      <c r="K98"/>
      <c r="L98"/>
      <c r="M98"/>
      <c r="N98"/>
      <c r="O98"/>
    </row>
    <row r="99" spans="2:15" x14ac:dyDescent="0.2">
      <c r="B99" s="7"/>
      <c r="D99" s="2"/>
      <c r="E99" s="3"/>
      <c r="G99"/>
      <c r="H99"/>
      <c r="I99"/>
      <c r="J99"/>
      <c r="K99"/>
      <c r="L99"/>
      <c r="M99"/>
      <c r="N99"/>
      <c r="O99"/>
    </row>
    <row r="100" spans="2:15" x14ac:dyDescent="0.2">
      <c r="B100" s="7"/>
      <c r="D100" s="2"/>
      <c r="E100" s="3"/>
      <c r="G100"/>
      <c r="H100"/>
      <c r="I100"/>
      <c r="J100"/>
      <c r="K100"/>
      <c r="L100"/>
      <c r="M100"/>
      <c r="N100"/>
      <c r="O100"/>
    </row>
    <row r="101" spans="2:15" x14ac:dyDescent="0.2">
      <c r="B101" s="7"/>
      <c r="D101" s="2"/>
      <c r="E101" s="3"/>
      <c r="G101"/>
      <c r="H101"/>
      <c r="I101"/>
      <c r="J101"/>
      <c r="K101"/>
      <c r="L101"/>
      <c r="M101"/>
      <c r="N101"/>
      <c r="O101"/>
    </row>
    <row r="102" spans="2:15" x14ac:dyDescent="0.2">
      <c r="B102" s="7"/>
      <c r="D102" s="2"/>
      <c r="E102" s="3"/>
      <c r="G102"/>
      <c r="H102"/>
      <c r="I102"/>
      <c r="J102"/>
      <c r="K102"/>
      <c r="L102"/>
      <c r="M102"/>
      <c r="N102"/>
      <c r="O102"/>
    </row>
    <row r="103" spans="2:15" x14ac:dyDescent="0.2">
      <c r="B103" s="7"/>
      <c r="D103" s="2"/>
      <c r="E103" s="3"/>
      <c r="G103"/>
      <c r="H103"/>
      <c r="I103"/>
      <c r="J103"/>
      <c r="K103"/>
      <c r="L103"/>
      <c r="M103"/>
      <c r="N103"/>
      <c r="O103"/>
    </row>
    <row r="104" spans="2:15" x14ac:dyDescent="0.2">
      <c r="B104" s="7"/>
      <c r="D104" s="2"/>
      <c r="E104" s="3"/>
      <c r="G104"/>
      <c r="H104"/>
      <c r="I104"/>
      <c r="J104"/>
      <c r="K104"/>
      <c r="L104"/>
      <c r="M104"/>
      <c r="N104"/>
      <c r="O104"/>
    </row>
    <row r="105" spans="2:15" x14ac:dyDescent="0.2">
      <c r="B105" s="7"/>
      <c r="D105" s="2"/>
      <c r="E105" s="3"/>
      <c r="G105"/>
      <c r="H105"/>
      <c r="I105"/>
      <c r="J105"/>
      <c r="K105"/>
      <c r="L105"/>
      <c r="M105"/>
      <c r="N105"/>
      <c r="O105"/>
    </row>
    <row r="106" spans="2:15" x14ac:dyDescent="0.2">
      <c r="B106" s="7"/>
      <c r="D106" s="2"/>
      <c r="E106" s="3"/>
      <c r="G106"/>
      <c r="H106"/>
      <c r="I106"/>
      <c r="J106"/>
      <c r="K106"/>
      <c r="L106"/>
      <c r="M106"/>
      <c r="N106"/>
      <c r="O106"/>
    </row>
    <row r="107" spans="2:15" x14ac:dyDescent="0.2">
      <c r="B107" s="7"/>
      <c r="D107" s="2"/>
      <c r="E107" s="3"/>
      <c r="G107"/>
      <c r="H107"/>
      <c r="I107"/>
      <c r="J107"/>
      <c r="K107"/>
      <c r="L107"/>
      <c r="M107"/>
      <c r="N107"/>
      <c r="O107"/>
    </row>
    <row r="108" spans="2:15" x14ac:dyDescent="0.2">
      <c r="B108" s="7"/>
      <c r="D108" s="2"/>
      <c r="E108" s="3"/>
      <c r="G108"/>
      <c r="H108"/>
      <c r="I108"/>
      <c r="J108"/>
      <c r="K108"/>
      <c r="L108"/>
      <c r="M108"/>
      <c r="N108"/>
      <c r="O108"/>
    </row>
    <row r="109" spans="2:15" x14ac:dyDescent="0.2">
      <c r="B109" s="7"/>
      <c r="D109" s="2"/>
      <c r="E109" s="3"/>
      <c r="G109"/>
      <c r="H109"/>
      <c r="I109"/>
      <c r="J109"/>
      <c r="K109"/>
      <c r="L109"/>
      <c r="M109"/>
      <c r="N109"/>
      <c r="O109"/>
    </row>
    <row r="110" spans="2:15" x14ac:dyDescent="0.2">
      <c r="B110" s="7"/>
      <c r="D110" s="2"/>
      <c r="E110" s="3"/>
      <c r="G110"/>
      <c r="H110"/>
      <c r="I110"/>
      <c r="J110"/>
      <c r="K110"/>
      <c r="L110"/>
      <c r="M110"/>
      <c r="N110"/>
      <c r="O110"/>
    </row>
    <row r="111" spans="2:15" x14ac:dyDescent="0.2">
      <c r="B111" s="7"/>
      <c r="D111" s="2"/>
      <c r="E111" s="3"/>
      <c r="G111"/>
      <c r="H111"/>
      <c r="I111"/>
      <c r="J111"/>
      <c r="K111"/>
      <c r="L111"/>
      <c r="M111"/>
      <c r="N111"/>
      <c r="O111"/>
    </row>
    <row r="112" spans="2:15" x14ac:dyDescent="0.2">
      <c r="B112" s="7"/>
      <c r="D112" s="2"/>
      <c r="E112" s="3"/>
      <c r="G112"/>
      <c r="H112"/>
      <c r="I112"/>
      <c r="J112"/>
      <c r="K112"/>
      <c r="L112"/>
      <c r="M112"/>
      <c r="N112"/>
      <c r="O112"/>
    </row>
    <row r="113" spans="2:15" x14ac:dyDescent="0.2">
      <c r="B113" s="7"/>
      <c r="D113" s="2"/>
      <c r="E113" s="3"/>
      <c r="G113"/>
      <c r="H113"/>
      <c r="I113"/>
      <c r="J113"/>
      <c r="K113"/>
      <c r="L113"/>
      <c r="M113"/>
      <c r="N113"/>
      <c r="O113"/>
    </row>
    <row r="114" spans="2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2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2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2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2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2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2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2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2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2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2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2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2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2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2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D134" s="2"/>
      <c r="E134" s="3"/>
      <c r="G134"/>
      <c r="H134"/>
      <c r="I134"/>
      <c r="J134"/>
      <c r="K134"/>
      <c r="L134"/>
      <c r="M134"/>
      <c r="N134"/>
      <c r="O134"/>
    </row>
    <row r="135" spans="4:15" x14ac:dyDescent="0.2">
      <c r="D135" s="2"/>
      <c r="E135" s="3"/>
      <c r="G135"/>
      <c r="H135"/>
      <c r="I135"/>
      <c r="J135"/>
      <c r="K135"/>
      <c r="L135"/>
      <c r="M135"/>
      <c r="N135"/>
      <c r="O135"/>
    </row>
    <row r="136" spans="4:15" x14ac:dyDescent="0.2">
      <c r="D136" s="2"/>
      <c r="E136" s="3"/>
      <c r="G136"/>
      <c r="H136"/>
      <c r="I136"/>
      <c r="J136"/>
      <c r="K136"/>
      <c r="L136"/>
      <c r="M136"/>
      <c r="N136"/>
      <c r="O136"/>
    </row>
    <row r="137" spans="4:15" x14ac:dyDescent="0.2">
      <c r="F137" s="37"/>
      <c r="G137" s="231"/>
      <c r="H137" s="5"/>
      <c r="I137" s="37"/>
      <c r="K137" s="11"/>
    </row>
    <row r="138" spans="4:15" x14ac:dyDescent="0.2">
      <c r="F138" s="37"/>
      <c r="G138" s="231"/>
      <c r="H138" s="5"/>
      <c r="I138" s="37"/>
      <c r="K138" s="11"/>
    </row>
    <row r="139" spans="4:15" x14ac:dyDescent="0.2">
      <c r="F139" s="37"/>
      <c r="G139" s="231"/>
      <c r="H139" s="5"/>
      <c r="I139" s="37"/>
      <c r="K139" s="11"/>
    </row>
    <row r="140" spans="4:15" x14ac:dyDescent="0.2">
      <c r="F140" s="37"/>
      <c r="G140" s="231"/>
      <c r="H140" s="5"/>
      <c r="I140" s="37"/>
      <c r="K140" s="11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F1187" s="37"/>
      <c r="G1187" s="231"/>
      <c r="H1187" s="5"/>
      <c r="I1187" s="37"/>
      <c r="K1187" s="11"/>
    </row>
    <row r="1188" spans="6:11" x14ac:dyDescent="0.2">
      <c r="F1188" s="37"/>
      <c r="G1188" s="231"/>
      <c r="H1188" s="5"/>
      <c r="I1188" s="37"/>
      <c r="K1188" s="11"/>
    </row>
    <row r="1189" spans="6:11" x14ac:dyDescent="0.2">
      <c r="F1189" s="37"/>
      <c r="G1189" s="231"/>
      <c r="H1189" s="5"/>
      <c r="I1189" s="37"/>
      <c r="K1189" s="11"/>
    </row>
    <row r="1190" spans="6:11" x14ac:dyDescent="0.2">
      <c r="G1190" s="231"/>
      <c r="H1190" s="5"/>
      <c r="I1190" s="37"/>
      <c r="K1190" s="11"/>
    </row>
    <row r="1191" spans="6:11" x14ac:dyDescent="0.2">
      <c r="G1191" s="231"/>
      <c r="H1191" s="5"/>
      <c r="I1191" s="37"/>
      <c r="K1191" s="11"/>
    </row>
    <row r="1192" spans="6:11" x14ac:dyDescent="0.2">
      <c r="G1192" s="231"/>
      <c r="H1192" s="5"/>
      <c r="I1192" s="37"/>
      <c r="K1192" s="11"/>
    </row>
    <row r="1193" spans="6:11" x14ac:dyDescent="0.2"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  <row r="4702" spans="7:11" x14ac:dyDescent="0.2">
      <c r="G4702" s="231"/>
      <c r="H4702" s="5"/>
      <c r="I4702" s="37"/>
      <c r="K4702" s="11"/>
    </row>
    <row r="4703" spans="7:11" x14ac:dyDescent="0.2">
      <c r="G4703" s="231"/>
      <c r="H4703" s="5"/>
      <c r="I4703" s="37"/>
      <c r="K4703" s="11"/>
    </row>
    <row r="4704" spans="7:11" x14ac:dyDescent="0.2">
      <c r="G4704" s="231"/>
      <c r="H4704" s="5"/>
      <c r="I4704" s="37"/>
      <c r="K4704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53" orientation="landscape" r:id="rId1"/>
  <headerFooter alignWithMargins="0">
    <oddHeader>&amp;L
Schedule 10
&amp;CMinneapolis-St. Paul International Airport
&amp;"Arial,Bold"&amp;A
December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F33" sqref="F3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7">
        <v>42705</v>
      </c>
      <c r="B1" s="453" t="s">
        <v>19</v>
      </c>
      <c r="C1" s="453" t="s">
        <v>20</v>
      </c>
      <c r="D1" s="453" t="s">
        <v>21</v>
      </c>
      <c r="E1" s="453" t="s">
        <v>164</v>
      </c>
      <c r="F1" s="453" t="s">
        <v>179</v>
      </c>
      <c r="G1" s="453" t="s">
        <v>165</v>
      </c>
      <c r="H1" s="453" t="s">
        <v>23</v>
      </c>
      <c r="I1" s="454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4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[3]American!$EW$22</f>
        <v>82331</v>
      </c>
      <c r="C4" s="21">
        <f>[3]Delta!$EW$22+[3]Delta!$EW$32</f>
        <v>682745</v>
      </c>
      <c r="D4" s="21">
        <f>[3]United!$EW$22</f>
        <v>35824</v>
      </c>
      <c r="E4" s="21">
        <f>[3]Spirit!$EW$22</f>
        <v>43965</v>
      </c>
      <c r="F4" s="21">
        <f>[3]Condor!$EW$22+[3]Condor!$EW$32</f>
        <v>0</v>
      </c>
      <c r="G4" s="21">
        <f>'[3]Air France'!$EW$22+'[3]Air France'!$EW$32</f>
        <v>0</v>
      </c>
      <c r="H4" s="21">
        <f>'Other Major Airline Stats'!J5</f>
        <v>200466</v>
      </c>
      <c r="I4" s="285">
        <f>SUM(B4:H4)</f>
        <v>1045331</v>
      </c>
    </row>
    <row r="5" spans="1:18" x14ac:dyDescent="0.2">
      <c r="A5" s="62" t="s">
        <v>34</v>
      </c>
      <c r="B5" s="14">
        <f>[3]American!$EW$23</f>
        <v>84338</v>
      </c>
      <c r="C5" s="14">
        <f>[3]Delta!$EW$23+[3]Delta!$EW$33</f>
        <v>692843</v>
      </c>
      <c r="D5" s="14">
        <f>[3]United!$EW$23</f>
        <v>38649</v>
      </c>
      <c r="E5" s="14">
        <f>[3]Spirit!$EW$23</f>
        <v>49108</v>
      </c>
      <c r="F5" s="14">
        <f>[3]Condor!$EW$23+[3]Condor!$EW$33</f>
        <v>0</v>
      </c>
      <c r="G5" s="14">
        <f>'[3]Air France'!$EW$23+'[3]Air France'!$EW$33</f>
        <v>0</v>
      </c>
      <c r="H5" s="14">
        <f>'Other Major Airline Stats'!J6</f>
        <v>210621</v>
      </c>
      <c r="I5" s="286">
        <f>SUM(B5:H5)</f>
        <v>1075559</v>
      </c>
      <c r="K5" s="312"/>
      <c r="L5" s="312"/>
      <c r="M5" s="312"/>
      <c r="N5" s="312"/>
      <c r="O5" s="312"/>
      <c r="P5" s="312"/>
      <c r="Q5" s="312"/>
      <c r="R5" s="312"/>
    </row>
    <row r="6" spans="1:18" ht="15" x14ac:dyDescent="0.25">
      <c r="A6" s="60" t="s">
        <v>7</v>
      </c>
      <c r="B6" s="34">
        <f t="shared" ref="B6:H6" si="0">SUM(B4:B5)</f>
        <v>166669</v>
      </c>
      <c r="C6" s="34">
        <f t="shared" si="0"/>
        <v>1375588</v>
      </c>
      <c r="D6" s="34">
        <f t="shared" si="0"/>
        <v>74473</v>
      </c>
      <c r="E6" s="34">
        <f t="shared" si="0"/>
        <v>93073</v>
      </c>
      <c r="F6" s="34">
        <f t="shared" ref="F6:G6" si="1">SUM(F4:F5)</f>
        <v>0</v>
      </c>
      <c r="G6" s="34">
        <f t="shared" si="1"/>
        <v>0</v>
      </c>
      <c r="H6" s="34">
        <f t="shared" si="0"/>
        <v>411087</v>
      </c>
      <c r="I6" s="287">
        <f>SUM(B6:H6)</f>
        <v>2120890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5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5">
        <f>SUM(B8:H8)</f>
        <v>0</v>
      </c>
    </row>
    <row r="9" spans="1:18" x14ac:dyDescent="0.2">
      <c r="A9" s="62" t="s">
        <v>33</v>
      </c>
      <c r="B9" s="21">
        <f>[3]American!$EW$27</f>
        <v>3667</v>
      </c>
      <c r="C9" s="21">
        <f>[3]Delta!$EW$27+[3]Delta!$EW$37</f>
        <v>24425</v>
      </c>
      <c r="D9" s="21">
        <f>[3]United!$EW$27</f>
        <v>1251</v>
      </c>
      <c r="E9" s="21">
        <f>[3]Spirit!$EW$27</f>
        <v>391</v>
      </c>
      <c r="F9" s="21">
        <f>[3]Condor!$EW$27+[3]Condor!$EW$37</f>
        <v>0</v>
      </c>
      <c r="G9" s="21">
        <f>'[3]Air France'!$EW$27+'[3]Air France'!$EW$37</f>
        <v>0</v>
      </c>
      <c r="H9" s="21">
        <f>'Other Major Airline Stats'!J10</f>
        <v>3802</v>
      </c>
      <c r="I9" s="285">
        <f>SUM(B9:H9)</f>
        <v>33536</v>
      </c>
    </row>
    <row r="10" spans="1:18" x14ac:dyDescent="0.2">
      <c r="A10" s="62" t="s">
        <v>36</v>
      </c>
      <c r="B10" s="14">
        <f>[3]American!$EW$28</f>
        <v>3704</v>
      </c>
      <c r="C10" s="14">
        <f>[3]Delta!$EW$28+[3]Delta!$EW$38</f>
        <v>24810</v>
      </c>
      <c r="D10" s="14">
        <f>[3]United!$EW$28</f>
        <v>1194</v>
      </c>
      <c r="E10" s="14">
        <f>[3]Spirit!$EW$28</f>
        <v>370</v>
      </c>
      <c r="F10" s="14">
        <f>[3]Condor!$EW$28+[3]Condor!$EW$38</f>
        <v>0</v>
      </c>
      <c r="G10" s="14">
        <f>'[3]Air France'!$EW$28+'[3]Air France'!$EW$38</f>
        <v>0</v>
      </c>
      <c r="H10" s="14">
        <f>'Other Major Airline Stats'!J11</f>
        <v>3877</v>
      </c>
      <c r="I10" s="286">
        <f>SUM(B10:H10)</f>
        <v>33955</v>
      </c>
    </row>
    <row r="11" spans="1:18" ht="15.75" thickBot="1" x14ac:dyDescent="0.3">
      <c r="A11" s="63" t="s">
        <v>37</v>
      </c>
      <c r="B11" s="288">
        <f t="shared" ref="B11:H11" si="2">SUM(B9:B10)</f>
        <v>7371</v>
      </c>
      <c r="C11" s="288">
        <f t="shared" si="2"/>
        <v>49235</v>
      </c>
      <c r="D11" s="288">
        <f t="shared" si="2"/>
        <v>2445</v>
      </c>
      <c r="E11" s="288">
        <f t="shared" si="2"/>
        <v>761</v>
      </c>
      <c r="F11" s="288">
        <f t="shared" ref="F11:G11" si="3">SUM(F9:F10)</f>
        <v>0</v>
      </c>
      <c r="G11" s="288">
        <f t="shared" si="3"/>
        <v>0</v>
      </c>
      <c r="H11" s="288">
        <f t="shared" si="2"/>
        <v>7679</v>
      </c>
      <c r="I11" s="289">
        <f>SUM(B11:H11)</f>
        <v>67491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[3]American!$EW$4</f>
        <v>740</v>
      </c>
      <c r="C15" s="21">
        <f>[3]Delta!$EW$4+[3]Delta!$EW$15</f>
        <v>5057</v>
      </c>
      <c r="D15" s="21">
        <f>[3]United!$EW$4</f>
        <v>302</v>
      </c>
      <c r="E15" s="21">
        <f>[3]Spirit!$EW$4</f>
        <v>383</v>
      </c>
      <c r="F15" s="21">
        <f>[3]Condor!$EW$15</f>
        <v>0</v>
      </c>
      <c r="G15" s="21">
        <f>'[3]Air France'!$EW$4+'[3]Air France'!$EW$15</f>
        <v>0</v>
      </c>
      <c r="H15" s="21">
        <f>'Other Major Airline Stats'!J16</f>
        <v>1931</v>
      </c>
      <c r="I15" s="27">
        <f>SUM(B15:H15)</f>
        <v>8413</v>
      </c>
    </row>
    <row r="16" spans="1:18" x14ac:dyDescent="0.2">
      <c r="A16" s="62" t="s">
        <v>26</v>
      </c>
      <c r="B16" s="14">
        <f>[3]American!$EW$5</f>
        <v>742</v>
      </c>
      <c r="C16" s="14">
        <f>[3]Delta!$EW$5+[3]Delta!$EW$16</f>
        <v>5048</v>
      </c>
      <c r="D16" s="14">
        <f>[3]United!$EW$5</f>
        <v>302</v>
      </c>
      <c r="E16" s="14">
        <f>[3]Spirit!$EW$5</f>
        <v>383</v>
      </c>
      <c r="F16" s="14">
        <f>[3]Condor!$EW$16</f>
        <v>0</v>
      </c>
      <c r="G16" s="14">
        <f>'[3]Air France'!$EW$5+'[3]Air France'!$EW$16</f>
        <v>0</v>
      </c>
      <c r="H16" s="14">
        <f>'Other Major Airline Stats'!J17</f>
        <v>1927</v>
      </c>
      <c r="I16" s="33">
        <f>SUM(B16:H16)</f>
        <v>8402</v>
      </c>
    </row>
    <row r="17" spans="1:9" x14ac:dyDescent="0.2">
      <c r="A17" s="62" t="s">
        <v>27</v>
      </c>
      <c r="B17" s="292">
        <f t="shared" ref="B17:H17" si="4">SUM(B15:B16)</f>
        <v>1482</v>
      </c>
      <c r="C17" s="290">
        <f t="shared" si="4"/>
        <v>10105</v>
      </c>
      <c r="D17" s="290">
        <f t="shared" si="4"/>
        <v>604</v>
      </c>
      <c r="E17" s="290">
        <f t="shared" si="4"/>
        <v>766</v>
      </c>
      <c r="F17" s="290">
        <f t="shared" ref="F17:G17" si="5">SUM(F15:F16)</f>
        <v>0</v>
      </c>
      <c r="G17" s="290">
        <f t="shared" si="5"/>
        <v>0</v>
      </c>
      <c r="H17" s="290">
        <f t="shared" si="4"/>
        <v>3858</v>
      </c>
      <c r="I17" s="291">
        <f>SUM(B17:H17)</f>
        <v>16815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[3]American!$EW$8</f>
        <v>0</v>
      </c>
      <c r="C19" s="21">
        <f>[3]Delta!$EW$8</f>
        <v>1</v>
      </c>
      <c r="D19" s="21">
        <f>[3]United!$EW$8</f>
        <v>0</v>
      </c>
      <c r="E19" s="21">
        <f>[3]Spirit!$EW$8</f>
        <v>0</v>
      </c>
      <c r="F19" s="21">
        <f>[3]Condor!$EW$8</f>
        <v>0</v>
      </c>
      <c r="G19" s="21">
        <f>'[3]Air France'!$EW$8</f>
        <v>0</v>
      </c>
      <c r="H19" s="21">
        <f>'Other Major Airline Stats'!J20</f>
        <v>47</v>
      </c>
      <c r="I19" s="27">
        <f>SUM(B19:H19)</f>
        <v>48</v>
      </c>
    </row>
    <row r="20" spans="1:9" x14ac:dyDescent="0.2">
      <c r="A20" s="62" t="s">
        <v>29</v>
      </c>
      <c r="B20" s="14">
        <f>[3]American!$EW$9</f>
        <v>0</v>
      </c>
      <c r="C20" s="14">
        <f>[3]Delta!$EW$9</f>
        <v>9</v>
      </c>
      <c r="D20" s="14">
        <f>[3]United!$EW$9</f>
        <v>0</v>
      </c>
      <c r="E20" s="14">
        <f>[3]Spirit!$EW$9</f>
        <v>0</v>
      </c>
      <c r="F20" s="14">
        <f>[3]Condor!$EW$9</f>
        <v>0</v>
      </c>
      <c r="G20" s="14">
        <f>'[3]Air France'!$EW$9</f>
        <v>0</v>
      </c>
      <c r="H20" s="14">
        <f>'Other Major Airline Stats'!J21</f>
        <v>41</v>
      </c>
      <c r="I20" s="33">
        <f>SUM(B20:H20)</f>
        <v>50</v>
      </c>
    </row>
    <row r="21" spans="1:9" x14ac:dyDescent="0.2">
      <c r="A21" s="62" t="s">
        <v>30</v>
      </c>
      <c r="B21" s="292">
        <f t="shared" ref="B21:H21" si="6">SUM(B19:B20)</f>
        <v>0</v>
      </c>
      <c r="C21" s="290">
        <f t="shared" si="6"/>
        <v>10</v>
      </c>
      <c r="D21" s="290">
        <f t="shared" si="6"/>
        <v>0</v>
      </c>
      <c r="E21" s="290">
        <f t="shared" si="6"/>
        <v>0</v>
      </c>
      <c r="F21" s="290">
        <f t="shared" ref="F21:G21" si="7">SUM(F19:F20)</f>
        <v>0</v>
      </c>
      <c r="G21" s="290">
        <f t="shared" si="7"/>
        <v>0</v>
      </c>
      <c r="H21" s="290">
        <f t="shared" si="6"/>
        <v>88</v>
      </c>
      <c r="I21" s="176">
        <f>SUM(B21:H21)</f>
        <v>98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1482</v>
      </c>
      <c r="C23" s="28">
        <f t="shared" si="8"/>
        <v>10115</v>
      </c>
      <c r="D23" s="28">
        <f t="shared" si="8"/>
        <v>604</v>
      </c>
      <c r="E23" s="28">
        <f>E17+E21</f>
        <v>766</v>
      </c>
      <c r="F23" s="28">
        <f t="shared" ref="F23:G23" si="9">F17+F21</f>
        <v>0</v>
      </c>
      <c r="G23" s="28">
        <f t="shared" si="9"/>
        <v>0</v>
      </c>
      <c r="H23" s="28">
        <f t="shared" si="8"/>
        <v>3946</v>
      </c>
      <c r="I23" s="29">
        <f>SUM(B23:H23)</f>
        <v>16913</v>
      </c>
    </row>
    <row r="25" spans="1:9" ht="13.5" thickBot="1" x14ac:dyDescent="0.25">
      <c r="B25" s="422"/>
      <c r="C25" s="422"/>
      <c r="D25" s="422"/>
      <c r="E25" s="422"/>
      <c r="F25" s="422"/>
      <c r="G25" s="422"/>
      <c r="H25" s="422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[3]American!$EW$47</f>
        <v>41375</v>
      </c>
      <c r="C28" s="21">
        <f>[3]Delta!$EW$47</f>
        <v>3820366</v>
      </c>
      <c r="D28" s="21">
        <f>[3]United!$EW$47</f>
        <v>24544</v>
      </c>
      <c r="E28" s="21">
        <f>[3]Spirit!$EW$47</f>
        <v>0</v>
      </c>
      <c r="F28" s="21">
        <f>[3]Condor!$EW$47</f>
        <v>0</v>
      </c>
      <c r="G28" s="21">
        <f>'[3]Air France'!$EW$47</f>
        <v>0</v>
      </c>
      <c r="H28" s="21">
        <f>'Other Major Airline Stats'!J28</f>
        <v>602844</v>
      </c>
      <c r="I28" s="27">
        <f>SUM(B28:H28)</f>
        <v>4489129</v>
      </c>
    </row>
    <row r="29" spans="1:9" x14ac:dyDescent="0.2">
      <c r="A29" s="62" t="s">
        <v>41</v>
      </c>
      <c r="B29" s="14">
        <f>[3]American!$EW$48</f>
        <v>63083</v>
      </c>
      <c r="C29" s="14">
        <f>[3]Delta!$EW$48</f>
        <v>1303633</v>
      </c>
      <c r="D29" s="14">
        <f>[3]United!$EW$48</f>
        <v>125692</v>
      </c>
      <c r="E29" s="14">
        <f>[3]Spirit!$EW$48</f>
        <v>0</v>
      </c>
      <c r="F29" s="14">
        <f>[3]Condor!$EW$48</f>
        <v>0</v>
      </c>
      <c r="G29" s="14">
        <f>'[3]Air France'!$EW$48</f>
        <v>0</v>
      </c>
      <c r="H29" s="14">
        <f>'Other Major Airline Stats'!J29</f>
        <v>603412</v>
      </c>
      <c r="I29" s="33">
        <f>SUM(B29:H29)</f>
        <v>2095820</v>
      </c>
    </row>
    <row r="30" spans="1:9" x14ac:dyDescent="0.2">
      <c r="A30" s="66" t="s">
        <v>42</v>
      </c>
      <c r="B30" s="292">
        <f t="shared" ref="B30:H30" si="10">SUM(B28:B29)</f>
        <v>104458</v>
      </c>
      <c r="C30" s="292">
        <f t="shared" si="10"/>
        <v>5123999</v>
      </c>
      <c r="D30" s="292">
        <f t="shared" si="10"/>
        <v>150236</v>
      </c>
      <c r="E30" s="292">
        <f t="shared" si="10"/>
        <v>0</v>
      </c>
      <c r="F30" s="292">
        <f t="shared" ref="F30:G30" si="11">SUM(F28:F29)</f>
        <v>0</v>
      </c>
      <c r="G30" s="292">
        <f t="shared" si="11"/>
        <v>0</v>
      </c>
      <c r="H30" s="292">
        <f t="shared" si="10"/>
        <v>1206256</v>
      </c>
      <c r="I30" s="27">
        <f>SUM(B30:H30)</f>
        <v>6584949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[3]American!$EW$52</f>
        <v>14017</v>
      </c>
      <c r="C33" s="21">
        <f>[3]Delta!$EW$52</f>
        <v>2194938</v>
      </c>
      <c r="D33" s="21">
        <f>[3]United!$EW$52</f>
        <v>4613</v>
      </c>
      <c r="E33" s="21">
        <f>[3]Spirit!$EW$52</f>
        <v>0</v>
      </c>
      <c r="F33" s="21">
        <f>[3]Condor!$EW$52</f>
        <v>0</v>
      </c>
      <c r="G33" s="21">
        <f>'[3]Air France'!$EW$52</f>
        <v>0</v>
      </c>
      <c r="H33" s="21">
        <f>'Other Major Airline Stats'!J33</f>
        <v>363691</v>
      </c>
      <c r="I33" s="27">
        <f t="shared" si="12"/>
        <v>2577259</v>
      </c>
    </row>
    <row r="34" spans="1:9" x14ac:dyDescent="0.2">
      <c r="A34" s="62" t="s">
        <v>41</v>
      </c>
      <c r="B34" s="14">
        <f>[3]American!$EW$53</f>
        <v>39944</v>
      </c>
      <c r="C34" s="14">
        <f>[3]Delta!$EW$53</f>
        <v>1630584</v>
      </c>
      <c r="D34" s="14">
        <f>[3]United!$EW$53</f>
        <v>222306</v>
      </c>
      <c r="E34" s="14">
        <f>[3]Spirit!$EW$53</f>
        <v>0</v>
      </c>
      <c r="F34" s="14">
        <f>[3]Condor!$EW$53</f>
        <v>0</v>
      </c>
      <c r="G34" s="14">
        <f>'[3]Air France'!$EW$53</f>
        <v>0</v>
      </c>
      <c r="H34" s="14">
        <f>'Other Major Airline Stats'!J34</f>
        <v>752161</v>
      </c>
      <c r="I34" s="33">
        <f t="shared" si="12"/>
        <v>2644995</v>
      </c>
    </row>
    <row r="35" spans="1:9" x14ac:dyDescent="0.2">
      <c r="A35" s="66" t="s">
        <v>44</v>
      </c>
      <c r="B35" s="292">
        <f t="shared" ref="B35:H35" si="13">SUM(B33:B34)</f>
        <v>53961</v>
      </c>
      <c r="C35" s="292">
        <f t="shared" si="13"/>
        <v>3825522</v>
      </c>
      <c r="D35" s="292">
        <f t="shared" si="13"/>
        <v>226919</v>
      </c>
      <c r="E35" s="292">
        <f t="shared" si="13"/>
        <v>0</v>
      </c>
      <c r="F35" s="292">
        <f t="shared" ref="F35:G35" si="14">SUM(F33:F34)</f>
        <v>0</v>
      </c>
      <c r="G35" s="292">
        <f t="shared" si="14"/>
        <v>0</v>
      </c>
      <c r="H35" s="292">
        <f t="shared" si="13"/>
        <v>1115852</v>
      </c>
      <c r="I35" s="27">
        <f t="shared" si="12"/>
        <v>5222254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[3]American!$EW$57</f>
        <v>0</v>
      </c>
      <c r="C38" s="21">
        <f>[3]Delta!$EW$57</f>
        <v>0</v>
      </c>
      <c r="D38" s="21">
        <f>[3]United!$EW$57</f>
        <v>0</v>
      </c>
      <c r="E38" s="21">
        <f>[3]Spirit!$EW$57</f>
        <v>0</v>
      </c>
      <c r="F38" s="21">
        <f>[3]Condor!$EW$57</f>
        <v>0</v>
      </c>
      <c r="G38" s="21">
        <f>'[3]Air France'!$EW$57</f>
        <v>0</v>
      </c>
      <c r="H38" s="21">
        <f>'Other Major Airline Stats'!J38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[3]American!$EW$58</f>
        <v>0</v>
      </c>
      <c r="C39" s="14">
        <f>[3]Delta!$EW$58</f>
        <v>0</v>
      </c>
      <c r="D39" s="14">
        <f>[3]United!$EW$58</f>
        <v>0</v>
      </c>
      <c r="E39" s="14">
        <f>[3]Spirit!$EW$58</f>
        <v>0</v>
      </c>
      <c r="F39" s="14">
        <f>[3]Condor!$EW$58</f>
        <v>0</v>
      </c>
      <c r="G39" s="14">
        <f>'[3]Air France'!$EW$58</f>
        <v>0</v>
      </c>
      <c r="H39" s="14">
        <f>'Other Major Airline Stats'!J39</f>
        <v>0</v>
      </c>
      <c r="I39" s="33">
        <f t="shared" si="12"/>
        <v>0</v>
      </c>
    </row>
    <row r="40" spans="1:9" hidden="1" x14ac:dyDescent="0.2">
      <c r="A40" s="66" t="s">
        <v>46</v>
      </c>
      <c r="B40" s="292">
        <f t="shared" ref="B40:H40" si="15">SUM(B38:B39)</f>
        <v>0</v>
      </c>
      <c r="C40" s="292">
        <f t="shared" si="15"/>
        <v>0</v>
      </c>
      <c r="D40" s="292">
        <f t="shared" si="15"/>
        <v>0</v>
      </c>
      <c r="E40" s="292">
        <f t="shared" si="15"/>
        <v>0</v>
      </c>
      <c r="F40" s="292">
        <f t="shared" ref="F40:G40" si="16">SUM(F38:F39)</f>
        <v>0</v>
      </c>
      <c r="G40" s="292">
        <f t="shared" si="16"/>
        <v>0</v>
      </c>
      <c r="H40" s="292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55392</v>
      </c>
      <c r="C43" s="21">
        <f t="shared" si="17"/>
        <v>6015304</v>
      </c>
      <c r="D43" s="21">
        <f t="shared" si="17"/>
        <v>29157</v>
      </c>
      <c r="E43" s="21">
        <f>E28+E33+E38</f>
        <v>0</v>
      </c>
      <c r="F43" s="21">
        <f t="shared" ref="F43:G43" si="18">F28+F33+F38</f>
        <v>0</v>
      </c>
      <c r="G43" s="21">
        <f t="shared" si="18"/>
        <v>0</v>
      </c>
      <c r="H43" s="21">
        <f t="shared" si="17"/>
        <v>966535</v>
      </c>
      <c r="I43" s="27">
        <f>SUM(B43:H43)</f>
        <v>7066388</v>
      </c>
    </row>
    <row r="44" spans="1:9" x14ac:dyDescent="0.2">
      <c r="A44" s="62" t="s">
        <v>41</v>
      </c>
      <c r="B44" s="14">
        <f t="shared" si="17"/>
        <v>103027</v>
      </c>
      <c r="C44" s="14">
        <f t="shared" si="17"/>
        <v>2934217</v>
      </c>
      <c r="D44" s="14">
        <f t="shared" si="17"/>
        <v>347998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1355573</v>
      </c>
      <c r="I44" s="27">
        <f>SUM(B44:H44)</f>
        <v>4740815</v>
      </c>
    </row>
    <row r="45" spans="1:9" ht="15.75" thickBot="1" x14ac:dyDescent="0.3">
      <c r="A45" s="63" t="s">
        <v>49</v>
      </c>
      <c r="B45" s="293">
        <f t="shared" ref="B45:H45" si="20">SUM(B43:B44)</f>
        <v>158419</v>
      </c>
      <c r="C45" s="293">
        <f t="shared" si="20"/>
        <v>8949521</v>
      </c>
      <c r="D45" s="293">
        <f t="shared" si="20"/>
        <v>377155</v>
      </c>
      <c r="E45" s="293">
        <f t="shared" si="20"/>
        <v>0</v>
      </c>
      <c r="F45" s="293">
        <f t="shared" ref="F45:G45" si="21">SUM(F43:F44)</f>
        <v>0</v>
      </c>
      <c r="G45" s="293">
        <f t="shared" si="21"/>
        <v>0</v>
      </c>
      <c r="H45" s="293">
        <f t="shared" si="20"/>
        <v>2322108</v>
      </c>
      <c r="I45" s="294">
        <f>SUM(B45:H45)</f>
        <v>11807203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3" t="s">
        <v>128</v>
      </c>
      <c r="C47" s="322">
        <f>[3]Delta!$EW$70+[3]Delta!$EW$73</f>
        <v>351271</v>
      </c>
      <c r="D47" s="309"/>
      <c r="E47" s="309"/>
      <c r="F47" s="309"/>
      <c r="G47" s="309"/>
      <c r="H47" s="309"/>
      <c r="I47" s="310">
        <f>SUM(B47:H47)</f>
        <v>351271</v>
      </c>
    </row>
    <row r="48" spans="1:9" hidden="1" x14ac:dyDescent="0.2">
      <c r="A48" s="384" t="s">
        <v>129</v>
      </c>
      <c r="C48" s="322">
        <f>[3]Delta!$EW$71+[3]Delta!$EW$74</f>
        <v>341572</v>
      </c>
      <c r="D48" s="309"/>
      <c r="E48" s="309"/>
      <c r="F48" s="309"/>
      <c r="G48" s="309"/>
      <c r="H48" s="309"/>
      <c r="I48" s="310">
        <f>SUM(B48:H48)</f>
        <v>341572</v>
      </c>
    </row>
    <row r="49" spans="1:9" hidden="1" x14ac:dyDescent="0.2">
      <c r="A49" s="385" t="s">
        <v>130</v>
      </c>
      <c r="C49" s="323">
        <f>SUM(C47:C48)</f>
        <v>692843</v>
      </c>
      <c r="I49" s="310">
        <f>SUM(B49:H49)</f>
        <v>692843</v>
      </c>
    </row>
    <row r="50" spans="1:9" x14ac:dyDescent="0.2">
      <c r="A50" s="383" t="s">
        <v>128</v>
      </c>
      <c r="B50" s="396"/>
      <c r="C50" s="325">
        <f>[3]Delta!$EW$70+[3]Delta!$EW$73</f>
        <v>351271</v>
      </c>
      <c r="D50" s="396"/>
      <c r="E50" s="396"/>
      <c r="F50" s="396"/>
      <c r="G50" s="396"/>
      <c r="H50" s="324">
        <f>'Other Major Airline Stats'!J48</f>
        <v>182422</v>
      </c>
      <c r="I50" s="313">
        <f>SUM(B50:H50)</f>
        <v>533693</v>
      </c>
    </row>
    <row r="51" spans="1:9" x14ac:dyDescent="0.2">
      <c r="A51" s="398" t="s">
        <v>129</v>
      </c>
      <c r="B51" s="396"/>
      <c r="C51" s="325">
        <f>[3]Delta!$EW$71+[3]Delta!$EW$74</f>
        <v>341572</v>
      </c>
      <c r="D51" s="396"/>
      <c r="E51" s="396"/>
      <c r="F51" s="396"/>
      <c r="G51" s="396"/>
      <c r="H51" s="324">
        <f>+'Other Major Airline Stats'!J49</f>
        <v>2630</v>
      </c>
      <c r="I51" s="313">
        <f>SUM(B51:H51)</f>
        <v>344202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E5" sqref="E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1.42578125" customWidth="1"/>
    <col min="5" max="5" width="9.140625" bestFit="1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7">
        <v>42705</v>
      </c>
      <c r="B2" s="452" t="s">
        <v>50</v>
      </c>
      <c r="C2" s="452" t="s">
        <v>162</v>
      </c>
      <c r="D2" s="451" t="s">
        <v>214</v>
      </c>
      <c r="E2" s="451" t="s">
        <v>215</v>
      </c>
      <c r="F2" s="452" t="s">
        <v>51</v>
      </c>
      <c r="G2" s="451" t="s">
        <v>136</v>
      </c>
      <c r="H2" s="451" t="s">
        <v>52</v>
      </c>
      <c r="I2" s="451" t="s">
        <v>135</v>
      </c>
      <c r="J2" s="276" t="s">
        <v>65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32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33</v>
      </c>
      <c r="B5" s="146">
        <f>[3]Frontier!$EW$22</f>
        <v>13359</v>
      </c>
      <c r="C5" s="146">
        <f>'[3]Great Lakes'!$EW$22</f>
        <v>0</v>
      </c>
      <c r="D5" s="146">
        <f>'[3]Air Choice One'!$EW$22</f>
        <v>541</v>
      </c>
      <c r="E5" s="146">
        <f>'[3]Boutique Air'!$EW$22</f>
        <v>528</v>
      </c>
      <c r="F5" s="146">
        <f>[3]Icelandair!$EW$32</f>
        <v>2171</v>
      </c>
      <c r="G5" s="118">
        <f>[3]Southwest!$EW$22</f>
        <v>78655</v>
      </c>
      <c r="H5" s="118">
        <f>'[3]Sun Country'!$EW$22+'[3]Sun Country'!$EW$32</f>
        <v>97440</v>
      </c>
      <c r="I5" s="118">
        <f>[3]Alaska!$EW$22</f>
        <v>7772</v>
      </c>
      <c r="J5" s="147">
        <f>SUM(B5:I5)</f>
        <v>200466</v>
      </c>
      <c r="M5" s="130"/>
    </row>
    <row r="6" spans="1:13" x14ac:dyDescent="0.2">
      <c r="A6" s="62" t="s">
        <v>34</v>
      </c>
      <c r="B6" s="146">
        <f>[3]Frontier!$EW$23</f>
        <v>13973</v>
      </c>
      <c r="C6" s="146">
        <f>'[3]Great Lakes'!$EW$23</f>
        <v>0</v>
      </c>
      <c r="D6" s="146">
        <f>'[3]Air Choice One'!$EW$23</f>
        <v>484</v>
      </c>
      <c r="E6" s="146">
        <f>'[3]Boutique Air'!$EW$23</f>
        <v>513</v>
      </c>
      <c r="F6" s="146">
        <f>[3]Icelandair!$EW$33</f>
        <v>2302</v>
      </c>
      <c r="G6" s="118">
        <f>[3]Southwest!$EW$23</f>
        <v>79324</v>
      </c>
      <c r="H6" s="118">
        <f>'[3]Sun Country'!$EW$23+'[3]Sun Country'!$EW$33</f>
        <v>105728</v>
      </c>
      <c r="I6" s="118">
        <f>[3]Alaska!$EW$23</f>
        <v>8297</v>
      </c>
      <c r="J6" s="147">
        <f>SUM(B6:I6)</f>
        <v>210621</v>
      </c>
    </row>
    <row r="7" spans="1:13" ht="15" x14ac:dyDescent="0.25">
      <c r="A7" s="60" t="s">
        <v>7</v>
      </c>
      <c r="B7" s="155">
        <f t="shared" ref="B7:I7" si="0">SUM(B5:B6)</f>
        <v>27332</v>
      </c>
      <c r="C7" s="155">
        <f t="shared" si="0"/>
        <v>0</v>
      </c>
      <c r="D7" s="155">
        <f t="shared" ref="D7:E7" si="1">SUM(D5:D6)</f>
        <v>1025</v>
      </c>
      <c r="E7" s="155">
        <f t="shared" si="1"/>
        <v>1041</v>
      </c>
      <c r="F7" s="155">
        <f t="shared" si="0"/>
        <v>4473</v>
      </c>
      <c r="G7" s="155">
        <f t="shared" si="0"/>
        <v>157979</v>
      </c>
      <c r="H7" s="155">
        <f>SUM(H5:H6)</f>
        <v>203168</v>
      </c>
      <c r="I7" s="155">
        <f t="shared" si="0"/>
        <v>16069</v>
      </c>
      <c r="J7" s="156">
        <f>SUM(B7:I7)</f>
        <v>411087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35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33</v>
      </c>
      <c r="B10" s="154">
        <f>[3]Frontier!$EW$27</f>
        <v>83</v>
      </c>
      <c r="C10" s="154">
        <f>'[3]Great Lakes'!$EW$27</f>
        <v>0</v>
      </c>
      <c r="D10" s="154">
        <f>'[3]Air Choice One'!$EW$27</f>
        <v>0</v>
      </c>
      <c r="E10" s="154">
        <f>'[3]Boutique Air'!$EW$27</f>
        <v>0</v>
      </c>
      <c r="F10" s="154">
        <f>[3]Icelandair!$EW$37</f>
        <v>131</v>
      </c>
      <c r="G10" s="154">
        <f>[3]Southwest!$EW$27</f>
        <v>1246</v>
      </c>
      <c r="H10" s="154">
        <f>'[3]Sun Country'!$EW$27+'[3]Sun Country'!$EW$37</f>
        <v>2063</v>
      </c>
      <c r="I10" s="154">
        <f>[3]Alaska!$EW$27</f>
        <v>279</v>
      </c>
      <c r="J10" s="147">
        <f>SUM(B10:I10)</f>
        <v>3802</v>
      </c>
    </row>
    <row r="11" spans="1:13" x14ac:dyDescent="0.2">
      <c r="A11" s="62" t="s">
        <v>36</v>
      </c>
      <c r="B11" s="157">
        <f>[3]Frontier!$EW$28</f>
        <v>130</v>
      </c>
      <c r="C11" s="157">
        <f>'[3]Great Lakes'!$EW$28</f>
        <v>0</v>
      </c>
      <c r="D11" s="157">
        <f>'[3]Air Choice One'!$EW$28</f>
        <v>0</v>
      </c>
      <c r="E11" s="157">
        <f>'[3]Boutique Air'!$EW$28</f>
        <v>0</v>
      </c>
      <c r="F11" s="157">
        <f>[3]Icelandair!$EW$38</f>
        <v>132</v>
      </c>
      <c r="G11" s="157">
        <f>[3]Southwest!$EW$28</f>
        <v>1280</v>
      </c>
      <c r="H11" s="157">
        <f>'[3]Sun Country'!$EW$28+'[3]Sun Country'!$EW$38</f>
        <v>2001</v>
      </c>
      <c r="I11" s="157">
        <f>[3]Alaska!$EW$28</f>
        <v>334</v>
      </c>
      <c r="J11" s="147">
        <f>SUM(B11:I11)</f>
        <v>3877</v>
      </c>
    </row>
    <row r="12" spans="1:13" ht="15.75" thickBot="1" x14ac:dyDescent="0.3">
      <c r="A12" s="63" t="s">
        <v>37</v>
      </c>
      <c r="B12" s="150">
        <f t="shared" ref="B12:I12" si="2">SUM(B10:B11)</f>
        <v>213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263</v>
      </c>
      <c r="G12" s="150">
        <f t="shared" si="2"/>
        <v>2526</v>
      </c>
      <c r="H12" s="150">
        <f>SUM(H10:H11)</f>
        <v>4064</v>
      </c>
      <c r="I12" s="150">
        <f t="shared" si="2"/>
        <v>613</v>
      </c>
      <c r="J12" s="158">
        <f>SUM(B12:I12)</f>
        <v>7679</v>
      </c>
      <c r="M12" s="130"/>
    </row>
    <row r="13" spans="1:13" ht="15" x14ac:dyDescent="0.25">
      <c r="A13" s="59"/>
      <c r="B13" s="295"/>
      <c r="C13" s="295"/>
      <c r="D13" s="295"/>
      <c r="E13" s="295"/>
      <c r="F13" s="295"/>
      <c r="G13" s="295"/>
      <c r="H13" s="295"/>
      <c r="I13" s="295"/>
      <c r="J13" s="296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25</v>
      </c>
      <c r="B16" s="146">
        <f>[3]Frontier!$EW$4</f>
        <v>87</v>
      </c>
      <c r="C16" s="146">
        <f>'[3]Great Lakes'!$EW$4</f>
        <v>0</v>
      </c>
      <c r="D16" s="146">
        <f>'[3]Air Choice One'!$EW$4</f>
        <v>125</v>
      </c>
      <c r="E16" s="146">
        <f>'[3]Boutique Air'!$EW$4</f>
        <v>80</v>
      </c>
      <c r="F16" s="146">
        <f>[3]Icelandair!$EW$15</f>
        <v>16</v>
      </c>
      <c r="G16" s="106">
        <f>[3]Southwest!$EW$4</f>
        <v>649</v>
      </c>
      <c r="H16" s="118">
        <f>'[3]Sun Country'!$EW$4+'[3]Sun Country'!$EW$15</f>
        <v>917</v>
      </c>
      <c r="I16" s="118">
        <f>[3]Alaska!$EW$4</f>
        <v>57</v>
      </c>
      <c r="J16" s="147">
        <f>SUM(B16:I16)</f>
        <v>1931</v>
      </c>
    </row>
    <row r="17" spans="1:257" x14ac:dyDescent="0.2">
      <c r="A17" s="62" t="s">
        <v>26</v>
      </c>
      <c r="B17" s="146">
        <f>[3]Frontier!$EW$5</f>
        <v>87</v>
      </c>
      <c r="C17" s="146">
        <f>'[3]Great Lakes'!$EW$5</f>
        <v>0</v>
      </c>
      <c r="D17" s="146">
        <f>'[3]Air Choice One'!$EW$5</f>
        <v>125</v>
      </c>
      <c r="E17" s="146">
        <f>'[3]Boutique Air'!$EW$5</f>
        <v>79</v>
      </c>
      <c r="F17" s="146">
        <f>[3]Icelandair!$EW$16</f>
        <v>16</v>
      </c>
      <c r="G17" s="106">
        <f>[3]Southwest!$EW$5</f>
        <v>650</v>
      </c>
      <c r="H17" s="118">
        <f>'[3]Sun Country'!$EW$5+'[3]Sun Country'!$EW$16</f>
        <v>913</v>
      </c>
      <c r="I17" s="118">
        <f>[3]Alaska!$EW$5</f>
        <v>57</v>
      </c>
      <c r="J17" s="147">
        <f>SUM(B17:I17)</f>
        <v>1927</v>
      </c>
    </row>
    <row r="18" spans="1:257" x14ac:dyDescent="0.2">
      <c r="A18" s="66" t="s">
        <v>27</v>
      </c>
      <c r="B18" s="148">
        <f t="shared" ref="B18:I18" si="4">SUM(B16:B17)</f>
        <v>174</v>
      </c>
      <c r="C18" s="148">
        <f t="shared" si="4"/>
        <v>0</v>
      </c>
      <c r="D18" s="148">
        <f t="shared" ref="D18:E18" si="5">SUM(D16:D17)</f>
        <v>250</v>
      </c>
      <c r="E18" s="148">
        <f t="shared" si="5"/>
        <v>159</v>
      </c>
      <c r="F18" s="148">
        <f t="shared" si="4"/>
        <v>32</v>
      </c>
      <c r="G18" s="148">
        <f t="shared" si="4"/>
        <v>1299</v>
      </c>
      <c r="H18" s="148">
        <f t="shared" si="4"/>
        <v>1830</v>
      </c>
      <c r="I18" s="148">
        <f t="shared" si="4"/>
        <v>114</v>
      </c>
      <c r="J18" s="149">
        <f>SUM(B18:I18)</f>
        <v>3858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28</v>
      </c>
      <c r="B20" s="146">
        <f>[3]Frontier!$EW$8</f>
        <v>0</v>
      </c>
      <c r="C20" s="146">
        <f>'[3]Great Lakes'!$EW$8</f>
        <v>0</v>
      </c>
      <c r="D20" s="146">
        <f>'[3]Air Choice One'!$EW$8</f>
        <v>0</v>
      </c>
      <c r="E20" s="146">
        <f>'[3]Boutique Air'!$EW$8</f>
        <v>0</v>
      </c>
      <c r="F20" s="146">
        <f>[3]Icelandair!$EW$8</f>
        <v>0</v>
      </c>
      <c r="G20" s="118">
        <f>[3]Southwest!$EW$8</f>
        <v>5</v>
      </c>
      <c r="H20" s="118">
        <f>'[3]Sun Country'!$EW$8</f>
        <v>42</v>
      </c>
      <c r="I20" s="118">
        <f>[3]Alaska!$EW$8</f>
        <v>0</v>
      </c>
      <c r="J20" s="147">
        <f>SUM(B20:I20)</f>
        <v>47</v>
      </c>
    </row>
    <row r="21" spans="1:257" x14ac:dyDescent="0.2">
      <c r="A21" s="62" t="s">
        <v>29</v>
      </c>
      <c r="B21" s="146">
        <f>[3]Frontier!$EW$9</f>
        <v>0</v>
      </c>
      <c r="C21" s="146">
        <f>'[3]Great Lakes'!$EW$9</f>
        <v>0</v>
      </c>
      <c r="D21" s="146">
        <f>'[3]Air Choice One'!$EW$9</f>
        <v>0</v>
      </c>
      <c r="E21" s="146">
        <f>'[3]Boutique Air'!$EW$9</f>
        <v>0</v>
      </c>
      <c r="F21" s="146">
        <f>[3]Icelandair!$EW$9</f>
        <v>0</v>
      </c>
      <c r="G21" s="118">
        <f>[3]Southwest!$EW$9</f>
        <v>0</v>
      </c>
      <c r="H21" s="118">
        <f>'[3]Sun Country'!$EW$9</f>
        <v>41</v>
      </c>
      <c r="I21" s="118">
        <f>[3]Alaska!$EW$9</f>
        <v>0</v>
      </c>
      <c r="J21" s="147">
        <f>SUM(B21:I21)</f>
        <v>41</v>
      </c>
    </row>
    <row r="22" spans="1:257" x14ac:dyDescent="0.2">
      <c r="A22" s="66" t="s">
        <v>30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5</v>
      </c>
      <c r="H22" s="148">
        <f t="shared" si="6"/>
        <v>83</v>
      </c>
      <c r="I22" s="148">
        <f t="shared" si="6"/>
        <v>0</v>
      </c>
      <c r="J22" s="149">
        <f>SUM(B22:I22)</f>
        <v>88</v>
      </c>
    </row>
    <row r="23" spans="1:257" ht="15.75" thickBot="1" x14ac:dyDescent="0.3">
      <c r="A23" s="63" t="s">
        <v>31</v>
      </c>
      <c r="B23" s="150">
        <f t="shared" ref="B23:I23" si="8">B22+B18</f>
        <v>174</v>
      </c>
      <c r="C23" s="150">
        <f t="shared" si="8"/>
        <v>0</v>
      </c>
      <c r="D23" s="150">
        <f t="shared" ref="D23:E23" si="9">D22+D18</f>
        <v>250</v>
      </c>
      <c r="E23" s="150">
        <f t="shared" si="9"/>
        <v>159</v>
      </c>
      <c r="F23" s="150">
        <f t="shared" si="8"/>
        <v>32</v>
      </c>
      <c r="G23" s="150">
        <f t="shared" si="8"/>
        <v>1304</v>
      </c>
      <c r="H23" s="150">
        <f t="shared" si="8"/>
        <v>1913</v>
      </c>
      <c r="I23" s="150">
        <f t="shared" si="8"/>
        <v>114</v>
      </c>
      <c r="J23" s="151">
        <f>SUM(B23:I23)</f>
        <v>3946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22"/>
      <c r="C25" s="422"/>
      <c r="D25" s="422"/>
      <c r="E25" s="422"/>
      <c r="F25" s="422"/>
      <c r="G25" s="422"/>
      <c r="H25" s="422"/>
      <c r="I25" s="422"/>
      <c r="J25" s="130"/>
    </row>
    <row r="26" spans="1:257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39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40</v>
      </c>
      <c r="B28" s="146">
        <f>[3]Frontier!$EW$47</f>
        <v>0</v>
      </c>
      <c r="C28" s="146">
        <f>'[3]Great Lakes'!$EW$47</f>
        <v>0</v>
      </c>
      <c r="D28" s="146">
        <f>'[3]Air Choice One'!$EW$47</f>
        <v>0</v>
      </c>
      <c r="E28" s="146">
        <f>'[3]Boutique Air'!$EW$47</f>
        <v>0</v>
      </c>
      <c r="F28" s="146">
        <f>[3]Icelandair!$EW$47</f>
        <v>105661</v>
      </c>
      <c r="G28" s="118">
        <f>[3]Southwest!$EW$47</f>
        <v>197657</v>
      </c>
      <c r="H28" s="118">
        <f>'[3]Sun Country'!$EW$47</f>
        <v>287156</v>
      </c>
      <c r="I28" s="118">
        <f>[3]Alaska!$EW$47</f>
        <v>12370</v>
      </c>
      <c r="J28" s="147">
        <f>SUM(B28:I28)</f>
        <v>602844</v>
      </c>
    </row>
    <row r="29" spans="1:257" x14ac:dyDescent="0.2">
      <c r="A29" s="62" t="s">
        <v>41</v>
      </c>
      <c r="B29" s="146">
        <f>[3]Frontier!$EW$48</f>
        <v>0</v>
      </c>
      <c r="C29" s="146">
        <f>'[3]Great Lakes'!$EW$48</f>
        <v>0</v>
      </c>
      <c r="D29" s="146">
        <f>'[3]Air Choice One'!$EW$48</f>
        <v>0</v>
      </c>
      <c r="E29" s="146">
        <f>'[3]Boutique Air'!$EW$48</f>
        <v>0</v>
      </c>
      <c r="F29" s="146">
        <f>[3]Icelandair!$EW$48</f>
        <v>0</v>
      </c>
      <c r="G29" s="118">
        <f>[3]Southwest!$EW$48</f>
        <v>0</v>
      </c>
      <c r="H29" s="118">
        <f>'[3]Sun Country'!$EW$48</f>
        <v>603412</v>
      </c>
      <c r="I29" s="118">
        <f>[3]Alaska!$EW$48</f>
        <v>0</v>
      </c>
      <c r="J29" s="147">
        <f>SUM(B29:I29)</f>
        <v>603412</v>
      </c>
    </row>
    <row r="30" spans="1:257" x14ac:dyDescent="0.2">
      <c r="A30" s="66" t="s">
        <v>42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105661</v>
      </c>
      <c r="G30" s="162">
        <f t="shared" si="10"/>
        <v>197657</v>
      </c>
      <c r="H30" s="162">
        <f t="shared" si="10"/>
        <v>890568</v>
      </c>
      <c r="I30" s="162">
        <f t="shared" si="10"/>
        <v>12370</v>
      </c>
      <c r="J30" s="165">
        <f>SUM(B30:I30)</f>
        <v>1206256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43</v>
      </c>
      <c r="B32" s="146"/>
      <c r="C32" s="146"/>
      <c r="D32" s="146"/>
      <c r="E32" s="146"/>
      <c r="F32" s="146"/>
      <c r="G32" s="118"/>
      <c r="H32" s="118"/>
      <c r="I32" s="118"/>
      <c r="J32" s="147"/>
    </row>
    <row r="33" spans="1:10" x14ac:dyDescent="0.2">
      <c r="A33" s="62" t="s">
        <v>40</v>
      </c>
      <c r="B33" s="146">
        <f>[3]Frontier!$EW$52</f>
        <v>0</v>
      </c>
      <c r="C33" s="146">
        <f>'[3]Great Lakes'!$EW$52</f>
        <v>0</v>
      </c>
      <c r="D33" s="146">
        <f>'[3]Air Choice One'!$EW$52</f>
        <v>0</v>
      </c>
      <c r="E33" s="146">
        <f>'[3]Boutique Air'!$EW$52</f>
        <v>0</v>
      </c>
      <c r="F33" s="146">
        <f>[3]Icelandair!$EW$52</f>
        <v>0</v>
      </c>
      <c r="G33" s="118">
        <f>[3]Southwest!$EW$52</f>
        <v>117253</v>
      </c>
      <c r="H33" s="118">
        <f>'[3]Sun Country'!$EW$52</f>
        <v>238221</v>
      </c>
      <c r="I33" s="118">
        <f>[3]Alaska!$EW$52</f>
        <v>8217</v>
      </c>
      <c r="J33" s="147">
        <f>SUM(B33:I33)</f>
        <v>363691</v>
      </c>
    </row>
    <row r="34" spans="1:10" x14ac:dyDescent="0.2">
      <c r="A34" s="62" t="s">
        <v>41</v>
      </c>
      <c r="B34" s="146">
        <f>[3]Frontier!$EW$53</f>
        <v>0</v>
      </c>
      <c r="C34" s="146">
        <f>'[3]Great Lakes'!$EW$53</f>
        <v>0</v>
      </c>
      <c r="D34" s="146">
        <f>'[3]Air Choice One'!$EW$53</f>
        <v>0</v>
      </c>
      <c r="E34" s="146">
        <f>'[3]Boutique Air'!$EW$53</f>
        <v>0</v>
      </c>
      <c r="F34" s="146">
        <f>[3]Icelandair!$EW$53</f>
        <v>0</v>
      </c>
      <c r="G34" s="118">
        <f>[3]Southwest!$EW$53</f>
        <v>0</v>
      </c>
      <c r="H34" s="118">
        <f>'[3]Sun Country'!$EW$53</f>
        <v>752161</v>
      </c>
      <c r="I34" s="118">
        <f>[3]Alaska!$EW$53</f>
        <v>0</v>
      </c>
      <c r="J34" s="163">
        <f>SUM(B34:I34)</f>
        <v>752161</v>
      </c>
    </row>
    <row r="35" spans="1:10" x14ac:dyDescent="0.2">
      <c r="A35" s="66" t="s">
        <v>44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0</v>
      </c>
      <c r="G35" s="164">
        <f t="shared" si="12"/>
        <v>117253</v>
      </c>
      <c r="H35" s="164">
        <f t="shared" si="12"/>
        <v>990382</v>
      </c>
      <c r="I35" s="164">
        <f t="shared" si="12"/>
        <v>8217</v>
      </c>
      <c r="J35" s="165">
        <f>SUM(B35:I35)</f>
        <v>1115852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45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40</v>
      </c>
      <c r="B38" s="154">
        <f>[3]Frontier!$EW$57</f>
        <v>0</v>
      </c>
      <c r="C38" s="154">
        <f>'[3]Great Lakes'!$EW$57</f>
        <v>0</v>
      </c>
      <c r="D38" s="154">
        <f>'[3]Air Choice One'!$EW$57</f>
        <v>0</v>
      </c>
      <c r="E38" s="154">
        <f>'[3]Boutique Air'!$EW$57</f>
        <v>0</v>
      </c>
      <c r="F38" s="154">
        <f>[3]Icelandair!$EW$57</f>
        <v>0</v>
      </c>
      <c r="G38" s="154">
        <f>[3]Southwest!$EW$57</f>
        <v>0</v>
      </c>
      <c r="H38" s="154">
        <f>'[3]Sun Country'!$EW$57</f>
        <v>0</v>
      </c>
      <c r="I38" s="154">
        <f>[3]Alaska!$EW$57</f>
        <v>0</v>
      </c>
      <c r="J38" s="147">
        <f>SUM(B38:H38)</f>
        <v>0</v>
      </c>
    </row>
    <row r="39" spans="1:10" hidden="1" x14ac:dyDescent="0.2">
      <c r="A39" s="62" t="s">
        <v>41</v>
      </c>
      <c r="B39" s="157">
        <f>[3]Frontier!$EW$58</f>
        <v>0</v>
      </c>
      <c r="C39" s="157">
        <f>'[3]Great Lakes'!$EW$58</f>
        <v>0</v>
      </c>
      <c r="D39" s="157">
        <f>'[3]Air Choice One'!$EW$58</f>
        <v>0</v>
      </c>
      <c r="E39" s="157">
        <f>'[3]Boutique Air'!$EW$58</f>
        <v>0</v>
      </c>
      <c r="F39" s="157">
        <f>[3]Icelandair!$EW$58</f>
        <v>0</v>
      </c>
      <c r="G39" s="157">
        <f>[3]Southwest!$EW$58</f>
        <v>0</v>
      </c>
      <c r="H39" s="157">
        <f>'[3]Sun Country'!$EW$58</f>
        <v>0</v>
      </c>
      <c r="I39" s="157">
        <f>[3]Alaska!$EW$58</f>
        <v>0</v>
      </c>
      <c r="J39" s="163">
        <f>SUM(B39:H39)</f>
        <v>0</v>
      </c>
    </row>
    <row r="40" spans="1:10" hidden="1" x14ac:dyDescent="0.2">
      <c r="A40" s="66" t="s">
        <v>46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47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48</v>
      </c>
      <c r="B43" s="154">
        <f t="shared" ref="B43:I43" si="16">B28+B33+B38</f>
        <v>0</v>
      </c>
      <c r="C43" s="154">
        <f>C28+C33+C38</f>
        <v>0</v>
      </c>
      <c r="D43" s="154">
        <f>D28+D33+D38</f>
        <v>0</v>
      </c>
      <c r="E43" s="154">
        <f>E28+E33+E38</f>
        <v>0</v>
      </c>
      <c r="F43" s="154">
        <f t="shared" si="16"/>
        <v>105661</v>
      </c>
      <c r="G43" s="154">
        <f t="shared" si="16"/>
        <v>314910</v>
      </c>
      <c r="H43" s="154">
        <f t="shared" si="16"/>
        <v>525377</v>
      </c>
      <c r="I43" s="154">
        <f t="shared" si="16"/>
        <v>20587</v>
      </c>
      <c r="J43" s="147">
        <f>SUM(B43:I43)</f>
        <v>966535</v>
      </c>
    </row>
    <row r="44" spans="1:10" x14ac:dyDescent="0.2">
      <c r="A44" s="62" t="s">
        <v>41</v>
      </c>
      <c r="B44" s="157">
        <f t="shared" ref="B44:I44" si="17">+B39+B34+B29</f>
        <v>0</v>
      </c>
      <c r="C44" s="157">
        <f>+C39+C34+C29</f>
        <v>0</v>
      </c>
      <c r="D44" s="157">
        <f>+D39+D34+D29</f>
        <v>0</v>
      </c>
      <c r="E44" s="157">
        <f>+E39+E34+E29</f>
        <v>0</v>
      </c>
      <c r="F44" s="157">
        <f t="shared" si="17"/>
        <v>0</v>
      </c>
      <c r="G44" s="157">
        <f t="shared" si="17"/>
        <v>0</v>
      </c>
      <c r="H44" s="157">
        <f t="shared" si="17"/>
        <v>1355573</v>
      </c>
      <c r="I44" s="157">
        <f t="shared" si="17"/>
        <v>0</v>
      </c>
      <c r="J44" s="147">
        <f>SUM(B44:I44)</f>
        <v>1355573</v>
      </c>
    </row>
    <row r="45" spans="1:10" ht="15.75" thickBot="1" x14ac:dyDescent="0.3">
      <c r="A45" s="63" t="s">
        <v>49</v>
      </c>
      <c r="B45" s="167">
        <f t="shared" ref="B45:I45" si="18">B43+B44</f>
        <v>0</v>
      </c>
      <c r="C45" s="167">
        <f t="shared" si="18"/>
        <v>0</v>
      </c>
      <c r="D45" s="167">
        <f t="shared" ref="D45:E45" si="19">D43+D44</f>
        <v>0</v>
      </c>
      <c r="E45" s="167">
        <f t="shared" si="19"/>
        <v>0</v>
      </c>
      <c r="F45" s="167">
        <f t="shared" si="18"/>
        <v>105661</v>
      </c>
      <c r="G45" s="167">
        <f t="shared" si="18"/>
        <v>314910</v>
      </c>
      <c r="H45" s="167">
        <f t="shared" si="18"/>
        <v>1880950</v>
      </c>
      <c r="I45" s="167">
        <f t="shared" si="18"/>
        <v>20587</v>
      </c>
      <c r="J45" s="168">
        <f>SUM(B45:I45)</f>
        <v>2322108</v>
      </c>
    </row>
    <row r="48" spans="1:10" x14ac:dyDescent="0.2">
      <c r="A48" s="383" t="s">
        <v>128</v>
      </c>
      <c r="B48" s="396"/>
      <c r="C48" s="396"/>
      <c r="D48" s="396"/>
      <c r="E48" s="396"/>
      <c r="G48" s="325">
        <f>[3]Southwest!$EW$70+[3]Southwest!$EW$73</f>
        <v>78673</v>
      </c>
      <c r="H48" s="325">
        <f>'[3]Sun Country'!$EW$70+'[3]Sun Country'!$EW$73</f>
        <v>103749</v>
      </c>
      <c r="I48" s="396"/>
      <c r="J48" s="313">
        <f>SUM(B48:I48)</f>
        <v>182422</v>
      </c>
    </row>
    <row r="49" spans="1:10" x14ac:dyDescent="0.2">
      <c r="A49" s="398" t="s">
        <v>129</v>
      </c>
      <c r="B49" s="396"/>
      <c r="C49" s="396"/>
      <c r="D49" s="396"/>
      <c r="E49" s="396"/>
      <c r="G49" s="325">
        <f>[3]Southwest!$EW$71+[3]Southwest!$EW$74</f>
        <v>651</v>
      </c>
      <c r="H49" s="325">
        <f>'[3]Sun Country'!$EW$71+'[3]Sun Country'!$EW$74</f>
        <v>1979</v>
      </c>
      <c r="I49" s="396"/>
      <c r="J49" s="313">
        <f>SUM(B49:I49)</f>
        <v>2630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December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zoomScaleNormal="100" workbookViewId="0">
      <selection activeCell="E51" sqref="E5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4"/>
    </row>
    <row r="2" spans="1:12" s="7" customFormat="1" ht="51.75" thickBot="1" x14ac:dyDescent="0.25">
      <c r="A2" s="387">
        <v>42705</v>
      </c>
      <c r="B2" s="450" t="s">
        <v>166</v>
      </c>
      <c r="C2" s="450" t="s">
        <v>169</v>
      </c>
      <c r="D2" s="450" t="s">
        <v>197</v>
      </c>
      <c r="E2" s="450" t="s">
        <v>196</v>
      </c>
      <c r="F2" s="450" t="s">
        <v>198</v>
      </c>
      <c r="G2" s="450" t="s">
        <v>202</v>
      </c>
      <c r="H2" s="450" t="s">
        <v>209</v>
      </c>
      <c r="I2" s="450" t="s">
        <v>211</v>
      </c>
      <c r="J2" s="450" t="s">
        <v>201</v>
      </c>
      <c r="K2" s="19" t="s">
        <v>122</v>
      </c>
      <c r="L2" s="19" t="s">
        <v>24</v>
      </c>
    </row>
    <row r="3" spans="1:12" ht="15.75" thickTop="1" x14ac:dyDescent="0.25">
      <c r="A3" s="283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[3]Pinnacle!$EW$22+[3]Pinnacle!$EW$32</f>
        <v>99463</v>
      </c>
      <c r="C5" s="132">
        <f>[3]MESA_UA!$EW$22</f>
        <v>8850</v>
      </c>
      <c r="D5" s="130">
        <f>'[3]Sky West'!$EW$22+'[3]Sky West'!$EW$32</f>
        <v>119302</v>
      </c>
      <c r="E5" s="130">
        <f>'[3]Sky West_UA'!$EW$22</f>
        <v>7902</v>
      </c>
      <c r="F5" s="130">
        <f>'[3]Sky West_AS'!$EW$22</f>
        <v>2004</v>
      </c>
      <c r="G5" s="130">
        <f>[3]Republic!$EW$22</f>
        <v>7209</v>
      </c>
      <c r="H5" s="130">
        <f>[3]Republic_UA!$EW$22</f>
        <v>7224</v>
      </c>
      <c r="I5" s="130">
        <f>'[3]Air Georgian'!$EW$32</f>
        <v>3340</v>
      </c>
      <c r="J5" s="130">
        <f>'[3]American Eagle'!$EW$22</f>
        <v>244</v>
      </c>
      <c r="K5" s="130">
        <f>'Other Regional'!L5</f>
        <v>84014</v>
      </c>
      <c r="L5" s="110">
        <f>SUM(B5:K5)</f>
        <v>339552</v>
      </c>
    </row>
    <row r="6" spans="1:12" s="10" customFormat="1" x14ac:dyDescent="0.2">
      <c r="A6" s="62" t="s">
        <v>34</v>
      </c>
      <c r="B6" s="131">
        <f>[3]Pinnacle!$EW$23+[3]Pinnacle!$EW$33</f>
        <v>97008</v>
      </c>
      <c r="C6" s="132">
        <f>[3]MESA_UA!$EW$23</f>
        <v>9279</v>
      </c>
      <c r="D6" s="130">
        <f>'[3]Sky West'!$EW$23+'[3]Sky West'!$EW$33</f>
        <v>120321</v>
      </c>
      <c r="E6" s="130">
        <f>'[3]Sky West_UA'!$EW$23</f>
        <v>7932</v>
      </c>
      <c r="F6" s="130">
        <f>'[3]Sky West_AS'!$EW$23</f>
        <v>1992</v>
      </c>
      <c r="G6" s="130">
        <f>[3]Republic!$EW$23</f>
        <v>6725</v>
      </c>
      <c r="H6" s="130">
        <f>[3]Republic_UA!$EW$23</f>
        <v>6956</v>
      </c>
      <c r="I6" s="130">
        <f>'[3]Air Georgian'!$EW$33</f>
        <v>3216</v>
      </c>
      <c r="J6" s="130">
        <f>'[3]American Eagle'!$EW$23</f>
        <v>268</v>
      </c>
      <c r="K6" s="130">
        <f>'Other Regional'!L6</f>
        <v>82235</v>
      </c>
      <c r="L6" s="115">
        <f>SUM(B6:K6)</f>
        <v>335932</v>
      </c>
    </row>
    <row r="7" spans="1:12" ht="15" thickBot="1" x14ac:dyDescent="0.25">
      <c r="A7" s="73" t="s">
        <v>7</v>
      </c>
      <c r="B7" s="133">
        <f>SUM(B5:B6)</f>
        <v>196471</v>
      </c>
      <c r="C7" s="133">
        <f t="shared" ref="C7:K7" si="0">SUM(C5:C6)</f>
        <v>18129</v>
      </c>
      <c r="D7" s="133">
        <f t="shared" si="0"/>
        <v>239623</v>
      </c>
      <c r="E7" s="133">
        <f t="shared" si="0"/>
        <v>15834</v>
      </c>
      <c r="F7" s="133">
        <f t="shared" ref="F7" si="1">SUM(F5:F6)</f>
        <v>3996</v>
      </c>
      <c r="G7" s="133">
        <f t="shared" si="0"/>
        <v>13934</v>
      </c>
      <c r="H7" s="133">
        <f t="shared" ref="H7:I7" si="2">SUM(H5:H6)</f>
        <v>14180</v>
      </c>
      <c r="I7" s="133">
        <f t="shared" si="2"/>
        <v>6556</v>
      </c>
      <c r="J7" s="133">
        <f t="shared" si="0"/>
        <v>512</v>
      </c>
      <c r="K7" s="133">
        <f t="shared" si="0"/>
        <v>166249</v>
      </c>
      <c r="L7" s="134">
        <f>SUM(B7:K7)</f>
        <v>675484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[3]Pinnacle!$EW$27+[3]Pinnacle!$EW$37</f>
        <v>3209</v>
      </c>
      <c r="C10" s="132">
        <f>[3]MESA_UA!$EW$27</f>
        <v>294</v>
      </c>
      <c r="D10" s="130">
        <f>'[3]Sky West'!$EW$27+'[3]Sky West'!$EW$37</f>
        <v>4163</v>
      </c>
      <c r="E10" s="130">
        <f>'[3]Sky West_UA'!$EW$27</f>
        <v>119</v>
      </c>
      <c r="F10" s="130">
        <f>'[3]Sky West_AS'!$EW$27</f>
        <v>65</v>
      </c>
      <c r="G10" s="130">
        <f>[3]Republic!$EW$27</f>
        <v>303</v>
      </c>
      <c r="H10" s="130">
        <f>[3]Republic_UA!$EW$27</f>
        <v>129</v>
      </c>
      <c r="I10" s="130">
        <f>'[3]Air Georgian'!$EW$37</f>
        <v>0</v>
      </c>
      <c r="J10" s="130">
        <f>'[3]American Eagle'!$EW$27</f>
        <v>20</v>
      </c>
      <c r="K10" s="130">
        <f>'Other Regional'!L10</f>
        <v>2733</v>
      </c>
      <c r="L10" s="110">
        <f>SUM(B10:K10)</f>
        <v>11035</v>
      </c>
    </row>
    <row r="11" spans="1:12" x14ac:dyDescent="0.2">
      <c r="A11" s="62" t="s">
        <v>36</v>
      </c>
      <c r="B11" s="131">
        <f>[3]Pinnacle!$EW$28+[3]Pinnacle!$EW$38</f>
        <v>3246</v>
      </c>
      <c r="C11" s="132">
        <f>[3]MESA_UA!$EW$28</f>
        <v>272</v>
      </c>
      <c r="D11" s="130">
        <f>'[3]Sky West'!$EW$28+'[3]Sky West'!$EW$38</f>
        <v>4001</v>
      </c>
      <c r="E11" s="130">
        <f>'[3]Sky West_UA'!$EW$28</f>
        <v>107</v>
      </c>
      <c r="F11" s="130">
        <f>'[3]Sky West_AS'!$EW$28</f>
        <v>75</v>
      </c>
      <c r="G11" s="130">
        <f>[3]Republic!$EW$28</f>
        <v>410</v>
      </c>
      <c r="H11" s="130">
        <f>[3]Republic_UA!$EW$28</f>
        <v>153</v>
      </c>
      <c r="I11" s="130">
        <f>'[3]Air Georgian'!$EW$38</f>
        <v>0</v>
      </c>
      <c r="J11" s="130">
        <f>'[3]American Eagle'!$EW$28</f>
        <v>25</v>
      </c>
      <c r="K11" s="130">
        <f>'Other Regional'!L11</f>
        <v>2829</v>
      </c>
      <c r="L11" s="115">
        <f>SUM(B11:K11)</f>
        <v>11118</v>
      </c>
    </row>
    <row r="12" spans="1:12" ht="15" thickBot="1" x14ac:dyDescent="0.25">
      <c r="A12" s="74" t="s">
        <v>37</v>
      </c>
      <c r="B12" s="136">
        <f t="shared" ref="B12:K12" si="3">SUM(B10:B11)</f>
        <v>6455</v>
      </c>
      <c r="C12" s="136">
        <f t="shared" si="3"/>
        <v>566</v>
      </c>
      <c r="D12" s="136">
        <f t="shared" si="3"/>
        <v>8164</v>
      </c>
      <c r="E12" s="136">
        <f t="shared" si="3"/>
        <v>226</v>
      </c>
      <c r="F12" s="136">
        <f t="shared" ref="F12" si="4">SUM(F10:F11)</f>
        <v>140</v>
      </c>
      <c r="G12" s="136">
        <f t="shared" si="3"/>
        <v>713</v>
      </c>
      <c r="H12" s="136">
        <f t="shared" ref="H12:I12" si="5">SUM(H10:H11)</f>
        <v>282</v>
      </c>
      <c r="I12" s="136">
        <f t="shared" si="5"/>
        <v>0</v>
      </c>
      <c r="J12" s="136">
        <f t="shared" si="3"/>
        <v>45</v>
      </c>
      <c r="K12" s="136">
        <f t="shared" si="3"/>
        <v>5562</v>
      </c>
      <c r="L12" s="137">
        <f>SUM(B12:K12)</f>
        <v>22153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57</v>
      </c>
      <c r="B15" s="21">
        <f>[3]Pinnacle!$EW$4+[3]Pinnacle!$EW$15</f>
        <v>1889</v>
      </c>
      <c r="C15" s="108">
        <f>[3]MESA_UA!$EW$4</f>
        <v>144</v>
      </c>
      <c r="D15" s="106">
        <f>'[3]Sky West'!$EW$4+'[3]Sky West'!$EW$15</f>
        <v>2528</v>
      </c>
      <c r="E15" s="106">
        <f>'[3]Sky West_UA'!$EW$4</f>
        <v>118</v>
      </c>
      <c r="F15" s="106">
        <f>'[3]Sky West_AS'!$EW$4</f>
        <v>30</v>
      </c>
      <c r="G15" s="109">
        <f>[3]Republic!$EW$4</f>
        <v>152</v>
      </c>
      <c r="H15" s="109">
        <f>[3]Republic_UA!$EW$4</f>
        <v>114</v>
      </c>
      <c r="I15" s="109">
        <f>'[3]Air Georgian'!$EW$15</f>
        <v>84</v>
      </c>
      <c r="J15" s="109">
        <f>'[3]American Eagle'!$EW$4</f>
        <v>6</v>
      </c>
      <c r="K15" s="107">
        <f>'Other Regional'!L15</f>
        <v>1460</v>
      </c>
      <c r="L15" s="110">
        <f t="shared" si="6"/>
        <v>6525</v>
      </c>
    </row>
    <row r="16" spans="1:12" x14ac:dyDescent="0.2">
      <c r="A16" s="62" t="s">
        <v>58</v>
      </c>
      <c r="B16" s="14">
        <f>[3]Pinnacle!$EW$5+[3]Pinnacle!$EW$16</f>
        <v>1886</v>
      </c>
      <c r="C16" s="113">
        <f>[3]MESA_UA!$EW$5</f>
        <v>144</v>
      </c>
      <c r="D16" s="111">
        <f>'[3]Sky West'!$EW$5+'[3]Sky West'!$EW$16</f>
        <v>2519</v>
      </c>
      <c r="E16" s="111">
        <f>'[3]Sky West_UA'!$EW$5</f>
        <v>118</v>
      </c>
      <c r="F16" s="111">
        <f>'[3]Sky West_AS'!$EW$5</f>
        <v>30</v>
      </c>
      <c r="G16" s="114">
        <f>[3]Republic!$EW$5</f>
        <v>154</v>
      </c>
      <c r="H16" s="114">
        <f>[3]Republic_UA!$EW$5</f>
        <v>114</v>
      </c>
      <c r="I16" s="114">
        <f>'[3]Air Georgian'!$EW$16</f>
        <v>84</v>
      </c>
      <c r="J16" s="114">
        <f>'[3]American Eagle'!$EW$5</f>
        <v>6</v>
      </c>
      <c r="K16" s="112">
        <f>'Other Regional'!L16</f>
        <v>1458</v>
      </c>
      <c r="L16" s="115">
        <f t="shared" si="6"/>
        <v>6513</v>
      </c>
    </row>
    <row r="17" spans="1:12" x14ac:dyDescent="0.2">
      <c r="A17" s="71" t="s">
        <v>59</v>
      </c>
      <c r="B17" s="116">
        <f t="shared" ref="B17:J17" si="7">SUM(B15:B16)</f>
        <v>3775</v>
      </c>
      <c r="C17" s="116">
        <f t="shared" si="7"/>
        <v>288</v>
      </c>
      <c r="D17" s="116">
        <f t="shared" si="7"/>
        <v>5047</v>
      </c>
      <c r="E17" s="116">
        <f t="shared" si="7"/>
        <v>236</v>
      </c>
      <c r="F17" s="116">
        <f t="shared" ref="F17" si="8">SUM(F15:F16)</f>
        <v>60</v>
      </c>
      <c r="G17" s="116">
        <f t="shared" si="7"/>
        <v>306</v>
      </c>
      <c r="H17" s="116">
        <f t="shared" ref="H17:I17" si="9">SUM(H15:H16)</f>
        <v>228</v>
      </c>
      <c r="I17" s="116">
        <f t="shared" si="9"/>
        <v>168</v>
      </c>
      <c r="J17" s="116">
        <f t="shared" si="7"/>
        <v>12</v>
      </c>
      <c r="K17" s="116">
        <f>SUM(K15:K16)</f>
        <v>2918</v>
      </c>
      <c r="L17" s="117">
        <f t="shared" si="6"/>
        <v>13038</v>
      </c>
    </row>
    <row r="18" spans="1:12" x14ac:dyDescent="0.2">
      <c r="A18" s="62" t="s">
        <v>60</v>
      </c>
      <c r="B18" s="118">
        <f>[3]Pinnacle!$EW$8</f>
        <v>0</v>
      </c>
      <c r="C18" s="119">
        <f>[3]MESA_UA!$EW$8</f>
        <v>0</v>
      </c>
      <c r="D18" s="118">
        <f>'[3]Sky West'!$EW$8</f>
        <v>0</v>
      </c>
      <c r="E18" s="118">
        <f>'[3]Sky West_UA'!$EW$8</f>
        <v>0</v>
      </c>
      <c r="F18" s="118">
        <f>'[3]Sky West_AS'!$EW$8</f>
        <v>0</v>
      </c>
      <c r="G18" s="118">
        <f>[3]Republic!$EW$8</f>
        <v>0</v>
      </c>
      <c r="H18" s="118">
        <f>[3]Republic_UA!$EW$8</f>
        <v>0</v>
      </c>
      <c r="I18" s="118">
        <f>'[3]Air Georgian'!$EW$8</f>
        <v>0</v>
      </c>
      <c r="J18" s="118">
        <f>'[3]American Eagle'!$EW$8</f>
        <v>0</v>
      </c>
      <c r="K18" s="118">
        <f>'Other Regional'!L18</f>
        <v>0</v>
      </c>
      <c r="L18" s="110">
        <f t="shared" si="6"/>
        <v>0</v>
      </c>
    </row>
    <row r="19" spans="1:12" x14ac:dyDescent="0.2">
      <c r="A19" s="62" t="s">
        <v>61</v>
      </c>
      <c r="B19" s="120">
        <f>[3]Pinnacle!$EW$9</f>
        <v>2</v>
      </c>
      <c r="C19" s="121">
        <f>[3]MESA_UA!$EW$9</f>
        <v>0</v>
      </c>
      <c r="D19" s="120">
        <f>'[3]Sky West'!$EW$9</f>
        <v>7</v>
      </c>
      <c r="E19" s="120">
        <f>'[3]Sky West_UA'!$EW$9</f>
        <v>0</v>
      </c>
      <c r="F19" s="120">
        <f>'[3]Sky West_AS'!$EW$9</f>
        <v>0</v>
      </c>
      <c r="G19" s="120">
        <f>[3]Republic!$EW$9</f>
        <v>0</v>
      </c>
      <c r="H19" s="120">
        <f>[3]Republic_UA!$EW$9</f>
        <v>0</v>
      </c>
      <c r="I19" s="120">
        <f>'[3]Air Georgian'!$EW$9</f>
        <v>0</v>
      </c>
      <c r="J19" s="120">
        <f>'[3]American Eagle'!$EW$9</f>
        <v>0</v>
      </c>
      <c r="K19" s="120">
        <f>'Other Regional'!L19</f>
        <v>2</v>
      </c>
      <c r="L19" s="115">
        <f t="shared" si="6"/>
        <v>11</v>
      </c>
    </row>
    <row r="20" spans="1:12" x14ac:dyDescent="0.2">
      <c r="A20" s="71" t="s">
        <v>62</v>
      </c>
      <c r="B20" s="116">
        <f t="shared" ref="B20:K20" si="10">SUM(B18:B19)</f>
        <v>2</v>
      </c>
      <c r="C20" s="116">
        <f t="shared" si="10"/>
        <v>0</v>
      </c>
      <c r="D20" s="116">
        <f t="shared" si="10"/>
        <v>7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2</v>
      </c>
      <c r="L20" s="117">
        <f t="shared" si="6"/>
        <v>11</v>
      </c>
    </row>
    <row r="21" spans="1:12" ht="15.75" thickBot="1" x14ac:dyDescent="0.3">
      <c r="A21" s="72" t="s">
        <v>31</v>
      </c>
      <c r="B21" s="122">
        <f t="shared" ref="B21:J21" si="13">SUM(B20,B17)</f>
        <v>3777</v>
      </c>
      <c r="C21" s="122">
        <f t="shared" si="13"/>
        <v>288</v>
      </c>
      <c r="D21" s="122">
        <f t="shared" si="13"/>
        <v>5054</v>
      </c>
      <c r="E21" s="122">
        <f t="shared" si="13"/>
        <v>236</v>
      </c>
      <c r="F21" s="122">
        <f t="shared" ref="F21" si="14">SUM(F20,F17)</f>
        <v>60</v>
      </c>
      <c r="G21" s="122">
        <f t="shared" si="13"/>
        <v>306</v>
      </c>
      <c r="H21" s="122">
        <f t="shared" ref="H21:I21" si="15">SUM(H20,H17)</f>
        <v>228</v>
      </c>
      <c r="I21" s="122">
        <f t="shared" si="15"/>
        <v>168</v>
      </c>
      <c r="J21" s="122">
        <f t="shared" si="13"/>
        <v>12</v>
      </c>
      <c r="K21" s="122">
        <f>SUM(K20,K17)</f>
        <v>2920</v>
      </c>
      <c r="L21" s="123">
        <f t="shared" si="6"/>
        <v>13049</v>
      </c>
    </row>
    <row r="22" spans="1:12" ht="13.5" thickBot="1" x14ac:dyDescent="0.25"/>
    <row r="23" spans="1:12" ht="15.75" thickTop="1" x14ac:dyDescent="0.25">
      <c r="A23" s="65" t="s">
        <v>121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[3]Pinnacle!$EW$47</f>
        <v>0</v>
      </c>
      <c r="C25" s="132">
        <f>[3]MESA_UA!$EW$47</f>
        <v>0</v>
      </c>
      <c r="D25" s="130">
        <f>'[3]Sky West'!$EW$47</f>
        <v>0</v>
      </c>
      <c r="E25" s="130">
        <f>'[3]Sky West_UA'!$EW$47</f>
        <v>0</v>
      </c>
      <c r="F25" s="130">
        <f>'[3]Sky West_AS'!$EW$47</f>
        <v>772</v>
      </c>
      <c r="G25" s="130">
        <f>[3]Republic!$EW$47</f>
        <v>270</v>
      </c>
      <c r="H25" s="130">
        <f>[3]Republic_UA!$EW$47</f>
        <v>0</v>
      </c>
      <c r="I25" s="130">
        <f>'[3]Air Georgian'!$EW$47</f>
        <v>0</v>
      </c>
      <c r="J25" s="130">
        <f>'[3]American Eagle'!$EW$47</f>
        <v>0</v>
      </c>
      <c r="K25" s="130">
        <f>'Other Regional'!L25</f>
        <v>809</v>
      </c>
      <c r="L25" s="110">
        <f>SUM(B25:K25)</f>
        <v>1851</v>
      </c>
    </row>
    <row r="26" spans="1:12" x14ac:dyDescent="0.2">
      <c r="A26" s="75" t="s">
        <v>41</v>
      </c>
      <c r="B26" s="130">
        <f>[3]Pinnacle!$EW$48</f>
        <v>0</v>
      </c>
      <c r="C26" s="132">
        <f>[3]MESA_UA!$EW$48</f>
        <v>0</v>
      </c>
      <c r="D26" s="130">
        <f>'[3]Sky West'!$EW$48</f>
        <v>0</v>
      </c>
      <c r="E26" s="130">
        <f>'[3]Sky West_UA'!$EW$48</f>
        <v>0</v>
      </c>
      <c r="F26" s="130">
        <f>'[3]Sky West_AS'!$EW$48</f>
        <v>0</v>
      </c>
      <c r="G26" s="130">
        <f>[3]Republic!$EW$48</f>
        <v>0</v>
      </c>
      <c r="H26" s="130">
        <f>[3]Republic_UA!$EW$48</f>
        <v>0</v>
      </c>
      <c r="I26" s="130">
        <f>'[3]Air Georgian'!$EW$48</f>
        <v>0</v>
      </c>
      <c r="J26" s="130">
        <f>'[3]American Eagle'!$EW$48</f>
        <v>0</v>
      </c>
      <c r="K26" s="130">
        <f>'Other Regional'!L26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772</v>
      </c>
      <c r="G27" s="133">
        <f t="shared" si="16"/>
        <v>270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809</v>
      </c>
      <c r="L27" s="134">
        <f>SUM(B27:K27)</f>
        <v>1851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63</v>
      </c>
      <c r="B30" s="130">
        <f>[3]Pinnacle!$EW$52</f>
        <v>0</v>
      </c>
      <c r="C30" s="132">
        <f>[3]MESA_UA!$EW$52</f>
        <v>0</v>
      </c>
      <c r="D30" s="130">
        <f>'[3]Sky West'!$EW$52</f>
        <v>0</v>
      </c>
      <c r="E30" s="130">
        <f>'[3]Sky West_UA'!$EW$52</f>
        <v>0</v>
      </c>
      <c r="F30" s="130">
        <f>'[3]Sky West_AS'!$EW$52</f>
        <v>0</v>
      </c>
      <c r="G30" s="130">
        <f>[3]Republic!$EW$52</f>
        <v>29</v>
      </c>
      <c r="H30" s="130">
        <f>[3]Republic_UA!$EW$52</f>
        <v>0</v>
      </c>
      <c r="I30" s="130">
        <f>'[3]Air Georgian'!$EW$52</f>
        <v>0</v>
      </c>
      <c r="J30" s="130">
        <f>'[3]American Eagle'!$EW$52</f>
        <v>0</v>
      </c>
      <c r="K30" s="130">
        <f>'Other Regional'!L30</f>
        <v>0</v>
      </c>
      <c r="L30" s="110">
        <f t="shared" ref="L30:L37" si="19">SUM(B30:K30)</f>
        <v>29</v>
      </c>
    </row>
    <row r="31" spans="1:12" x14ac:dyDescent="0.2">
      <c r="A31" s="75" t="s">
        <v>64</v>
      </c>
      <c r="B31" s="130">
        <f>[3]Pinnacle!$EW$53</f>
        <v>0</v>
      </c>
      <c r="C31" s="132">
        <f>[3]MESA_UA!$EW$53</f>
        <v>0</v>
      </c>
      <c r="D31" s="130">
        <f>'[3]Sky West'!$EW$53</f>
        <v>0</v>
      </c>
      <c r="E31" s="130">
        <f>'[3]Sky West_UA'!$EW$53</f>
        <v>0</v>
      </c>
      <c r="F31" s="130">
        <f>'[3]Sky West_AS'!$EW$53</f>
        <v>0</v>
      </c>
      <c r="G31" s="130">
        <f>[3]Republic!$EW$53</f>
        <v>0</v>
      </c>
      <c r="H31" s="130">
        <f>[3]Republic_UA!$EW$53</f>
        <v>0</v>
      </c>
      <c r="I31" s="130">
        <f>'[3]Air Georgian'!$EW$53</f>
        <v>0</v>
      </c>
      <c r="J31" s="130">
        <f>'[3]American Eagle'!$EW$53</f>
        <v>0</v>
      </c>
      <c r="K31" s="130">
        <f>'Other Regional'!L31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29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29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[3]Pinnacle!$EW$57</f>
        <v>0</v>
      </c>
      <c r="C35" s="132">
        <f>[3]MESA_UA!$EW$57</f>
        <v>0</v>
      </c>
      <c r="D35" s="130">
        <f>'[3]Sky West'!$EW$57</f>
        <v>0</v>
      </c>
      <c r="E35" s="130">
        <f>'[3]Sky West_UA'!$EW$57</f>
        <v>0</v>
      </c>
      <c r="F35" s="130">
        <f>'[3]Sky West_AS'!$EW$57</f>
        <v>0</v>
      </c>
      <c r="G35" s="130">
        <f>[3]Republic!$EW$57</f>
        <v>0</v>
      </c>
      <c r="H35" s="130">
        <f>[3]Republic!$EW$57</f>
        <v>0</v>
      </c>
      <c r="I35" s="130">
        <f>[3]Republic!$EW$57</f>
        <v>0</v>
      </c>
      <c r="J35" s="130">
        <f>'[3]American Eagle'!$EW$57</f>
        <v>0</v>
      </c>
      <c r="K35" s="130">
        <f>'Other Regional'!L35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[3]Pinnacle!$EW$58</f>
        <v>0</v>
      </c>
      <c r="C36" s="132">
        <f>[3]MESA_UA!$EW$58</f>
        <v>0</v>
      </c>
      <c r="D36" s="130">
        <f>'[3]Sky West'!$EW$58</f>
        <v>0</v>
      </c>
      <c r="E36" s="130">
        <f>'[3]Sky West_UA'!$EW$58</f>
        <v>0</v>
      </c>
      <c r="F36" s="130">
        <f>'[3]Sky West_AS'!$EW$58</f>
        <v>0</v>
      </c>
      <c r="G36" s="130">
        <f>[3]Republic!$EW$58</f>
        <v>0</v>
      </c>
      <c r="H36" s="130">
        <f>[3]Republic!$EW$58</f>
        <v>0</v>
      </c>
      <c r="I36" s="130">
        <f>[3]Republic!$EW$58</f>
        <v>0</v>
      </c>
      <c r="J36" s="130">
        <f>'[3]American Eagle'!$EW$58</f>
        <v>0</v>
      </c>
      <c r="K36" s="130">
        <f>'Other Regional'!L36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772</v>
      </c>
      <c r="G40" s="130">
        <f t="shared" si="26"/>
        <v>299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809</v>
      </c>
      <c r="L40" s="110">
        <f>SUM(B40:K40)</f>
        <v>1880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772</v>
      </c>
      <c r="G42" s="136">
        <f t="shared" si="26"/>
        <v>299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809</v>
      </c>
      <c r="L42" s="137">
        <f>SUM(B42:K42)</f>
        <v>1880</v>
      </c>
    </row>
    <row r="44" spans="1:12" x14ac:dyDescent="0.2">
      <c r="A44" s="383" t="s">
        <v>128</v>
      </c>
      <c r="B44" s="324">
        <f>[3]Pinnacle!$EW$70+[3]Pinnacle!$EW$73</f>
        <v>33856</v>
      </c>
      <c r="D44" s="325">
        <f>'[3]Sky West'!$EW$70+'[3]Sky West'!$EW$73</f>
        <v>34773</v>
      </c>
      <c r="E44" s="5"/>
      <c r="F44" s="5"/>
      <c r="K44" s="325">
        <f>+'Other Regional'!L46</f>
        <v>35388</v>
      </c>
      <c r="L44" s="313">
        <f>SUM(B44:K44)</f>
        <v>104017</v>
      </c>
    </row>
    <row r="45" spans="1:12" x14ac:dyDescent="0.2">
      <c r="A45" s="398" t="s">
        <v>129</v>
      </c>
      <c r="B45" s="324">
        <f>[3]Pinnacle!$EW$71+[3]Pinnacle!$EW$74</f>
        <v>63152</v>
      </c>
      <c r="D45" s="325">
        <f>'[3]Sky West'!$EW$71+'[3]Sky West'!$EW$74</f>
        <v>85548</v>
      </c>
      <c r="E45" s="5"/>
      <c r="F45" s="5"/>
      <c r="K45" s="325">
        <f>+'Other Regional'!L47</f>
        <v>44223</v>
      </c>
      <c r="L45" s="313">
        <f>SUM(B45:K45)</f>
        <v>192923</v>
      </c>
    </row>
    <row r="46" spans="1:12" x14ac:dyDescent="0.2">
      <c r="A46" s="315" t="s">
        <v>130</v>
      </c>
      <c r="B46" s="316">
        <f>SUM(B44:B45)</f>
        <v>97008</v>
      </c>
      <c r="K46" s="2"/>
      <c r="L46" s="314"/>
    </row>
    <row r="47" spans="1:12" x14ac:dyDescent="0.2">
      <c r="A47" s="317"/>
      <c r="B47" s="318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December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G55" sqref="G5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19.5" customHeight="1" x14ac:dyDescent="0.2">
      <c r="A1" s="394"/>
    </row>
    <row r="2" spans="1:12" s="7" customFormat="1" ht="55.5" customHeight="1" x14ac:dyDescent="0.2">
      <c r="A2" s="387">
        <v>42705</v>
      </c>
      <c r="B2" s="450" t="s">
        <v>200</v>
      </c>
      <c r="C2" s="450" t="s">
        <v>199</v>
      </c>
      <c r="D2" s="450" t="s">
        <v>216</v>
      </c>
      <c r="E2" s="450" t="s">
        <v>181</v>
      </c>
      <c r="F2" s="450" t="s">
        <v>205</v>
      </c>
      <c r="G2" s="450" t="s">
        <v>204</v>
      </c>
      <c r="H2" s="450" t="s">
        <v>168</v>
      </c>
      <c r="I2" s="450" t="s">
        <v>180</v>
      </c>
      <c r="J2" s="450" t="s">
        <v>206</v>
      </c>
      <c r="K2" s="450" t="s">
        <v>203</v>
      </c>
      <c r="L2" s="19" t="s">
        <v>24</v>
      </c>
    </row>
    <row r="3" spans="1:12" ht="15" x14ac:dyDescent="0.25">
      <c r="A3" s="283" t="s">
        <v>3</v>
      </c>
      <c r="B3" s="410"/>
      <c r="C3" s="410"/>
      <c r="D3" s="410"/>
      <c r="E3" s="410"/>
      <c r="F3" s="411"/>
      <c r="G3" s="411"/>
      <c r="H3" s="411"/>
      <c r="I3" s="411"/>
      <c r="J3" s="411"/>
      <c r="K3" s="410"/>
      <c r="L3" s="475"/>
    </row>
    <row r="4" spans="1:12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33</v>
      </c>
      <c r="B5" s="131">
        <f>'[3]Shuttle America'!$EW$22</f>
        <v>396</v>
      </c>
      <c r="C5" s="131">
        <f>'[3]Shuttle America_Delta'!$EW$22</f>
        <v>10786</v>
      </c>
      <c r="D5" s="131">
        <f>[3]PSA!$EW$22</f>
        <v>114</v>
      </c>
      <c r="E5" s="21">
        <f>[3]Compass!$EW$22+[3]Compass!$EW$32</f>
        <v>34638</v>
      </c>
      <c r="F5" s="131">
        <f>'[3]Atlantic Southeast'!$EW$22+'[3]Atlantic Southeast'!$EW$32</f>
        <v>22180</v>
      </c>
      <c r="G5" s="131">
        <f>'[3]Continental Express'!$EW$22</f>
        <v>326</v>
      </c>
      <c r="H5" s="130">
        <f>'[3]Go Jet_UA'!$EW$22</f>
        <v>1949</v>
      </c>
      <c r="I5" s="21">
        <f>'[3]Go Jet'!$EW$22+'[3]Go Jet'!$EW$32</f>
        <v>13625</v>
      </c>
      <c r="J5" s="132">
        <f>'[3]Air Wisconsin'!$EW$22</f>
        <v>0</v>
      </c>
      <c r="K5" s="130">
        <f>[3]MESA!$EW$22</f>
        <v>0</v>
      </c>
      <c r="L5" s="110">
        <f>SUM(B5:K5)</f>
        <v>84014</v>
      </c>
    </row>
    <row r="6" spans="1:12" s="10" customFormat="1" x14ac:dyDescent="0.2">
      <c r="A6" s="62" t="s">
        <v>34</v>
      </c>
      <c r="B6" s="131">
        <f>'[3]Shuttle America'!$EW$23</f>
        <v>585</v>
      </c>
      <c r="C6" s="131">
        <f>'[3]Shuttle America_Delta'!$EW$23</f>
        <v>10531</v>
      </c>
      <c r="D6" s="131">
        <f>[3]PSA!$EW$23</f>
        <v>48</v>
      </c>
      <c r="E6" s="14">
        <f>[3]Compass!$EW$23+[3]Compass!$EW$33</f>
        <v>34506</v>
      </c>
      <c r="F6" s="131">
        <f>'[3]Atlantic Southeast'!$EW$23+'[3]Atlantic Southeast'!$EW$33</f>
        <v>21297</v>
      </c>
      <c r="G6" s="131">
        <f>'[3]Continental Express'!$EW$23</f>
        <v>281</v>
      </c>
      <c r="H6" s="130">
        <f>'[3]Go Jet_UA'!$EW$23</f>
        <v>1710</v>
      </c>
      <c r="I6" s="14">
        <f>'[3]Go Jet'!$EW$23+'[3]Go Jet'!$EW$33</f>
        <v>13277</v>
      </c>
      <c r="J6" s="132">
        <f>'[3]Air Wisconsin'!$EW$23</f>
        <v>0</v>
      </c>
      <c r="K6" s="130">
        <f>[3]MESA!$EW$23</f>
        <v>0</v>
      </c>
      <c r="L6" s="115">
        <f>SUM(B6:K6)</f>
        <v>82235</v>
      </c>
    </row>
    <row r="7" spans="1:12" ht="15" thickBot="1" x14ac:dyDescent="0.25">
      <c r="A7" s="73" t="s">
        <v>7</v>
      </c>
      <c r="B7" s="133">
        <f t="shared" ref="B7:K7" si="0">SUM(B5:B6)</f>
        <v>981</v>
      </c>
      <c r="C7" s="133">
        <f t="shared" si="0"/>
        <v>21317</v>
      </c>
      <c r="D7" s="133">
        <f t="shared" si="0"/>
        <v>162</v>
      </c>
      <c r="E7" s="133">
        <f>SUM(E5:E6)</f>
        <v>69144</v>
      </c>
      <c r="F7" s="133">
        <f t="shared" si="0"/>
        <v>43477</v>
      </c>
      <c r="G7" s="133">
        <f t="shared" si="0"/>
        <v>607</v>
      </c>
      <c r="H7" s="133">
        <f t="shared" si="0"/>
        <v>3659</v>
      </c>
      <c r="I7" s="133">
        <f>SUM(I5:I6)</f>
        <v>26902</v>
      </c>
      <c r="J7" s="133">
        <f t="shared" si="0"/>
        <v>0</v>
      </c>
      <c r="K7" s="133">
        <f t="shared" si="0"/>
        <v>0</v>
      </c>
      <c r="L7" s="134">
        <f>SUM(L5:L6)</f>
        <v>166249</v>
      </c>
    </row>
    <row r="8" spans="1:12" ht="13.5" thickTop="1" x14ac:dyDescent="0.2">
      <c r="A8" s="62"/>
      <c r="B8" s="131"/>
      <c r="C8" s="131"/>
      <c r="D8" s="131"/>
      <c r="E8" s="344"/>
      <c r="F8" s="131"/>
      <c r="G8" s="131"/>
      <c r="H8" s="130"/>
      <c r="I8" s="344"/>
      <c r="J8" s="132"/>
      <c r="K8" s="130"/>
      <c r="L8" s="135"/>
    </row>
    <row r="9" spans="1:12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21"/>
      <c r="J9" s="132"/>
      <c r="K9" s="130"/>
      <c r="L9" s="110"/>
    </row>
    <row r="10" spans="1:12" x14ac:dyDescent="0.2">
      <c r="A10" s="62" t="s">
        <v>33</v>
      </c>
      <c r="B10" s="131">
        <f>'[3]Shuttle America'!$EW$27</f>
        <v>11</v>
      </c>
      <c r="C10" s="131">
        <f>'[3]Shuttle America_Delta'!$EW$27</f>
        <v>391</v>
      </c>
      <c r="D10" s="131">
        <f>[3]PSA!$EW$27</f>
        <v>5</v>
      </c>
      <c r="E10" s="21">
        <f>[3]Compass!$EW$27+[3]Compass!$EW$37</f>
        <v>1110</v>
      </c>
      <c r="F10" s="21">
        <f>'[3]Atlantic Southeast'!$EW$27+'[3]Atlantic Southeast'!$EW$37</f>
        <v>705</v>
      </c>
      <c r="G10" s="131">
        <f>'[3]Continental Express'!$EW$27</f>
        <v>3</v>
      </c>
      <c r="H10" s="130">
        <f>'[3]Go Jet_UA'!$EW$27</f>
        <v>63</v>
      </c>
      <c r="I10" s="21">
        <f>'[3]Go Jet'!$EW$27+'[3]Go Jet'!$EW$37</f>
        <v>445</v>
      </c>
      <c r="J10" s="132">
        <f>'[3]Air Wisconsin'!$EW$27</f>
        <v>0</v>
      </c>
      <c r="K10" s="130">
        <f>[3]MESA!$EW$27</f>
        <v>0</v>
      </c>
      <c r="L10" s="110">
        <f>SUM(B10:K10)</f>
        <v>2733</v>
      </c>
    </row>
    <row r="11" spans="1:12" x14ac:dyDescent="0.2">
      <c r="A11" s="62" t="s">
        <v>36</v>
      </c>
      <c r="B11" s="131">
        <f>'[3]Shuttle America'!$EW$28</f>
        <v>4</v>
      </c>
      <c r="C11" s="131">
        <f>'[3]Shuttle America_Delta'!$EW$28</f>
        <v>449</v>
      </c>
      <c r="D11" s="131">
        <f>[3]PSA!$EW$28</f>
        <v>5</v>
      </c>
      <c r="E11" s="14">
        <f>[3]Compass!$EW$28+[3]Compass!$EW$38</f>
        <v>1191</v>
      </c>
      <c r="F11" s="14">
        <f>'[3]Atlantic Southeast'!$EW$28+'[3]Atlantic Southeast'!$EW$38</f>
        <v>671</v>
      </c>
      <c r="G11" s="131">
        <f>'[3]Continental Express'!$EW$28</f>
        <v>9</v>
      </c>
      <c r="H11" s="130">
        <f>'[3]Go Jet_UA'!$EW$28</f>
        <v>54</v>
      </c>
      <c r="I11" s="14">
        <f>'[3]Go Jet'!$EW$28+'[3]Go Jet'!$EW$38</f>
        <v>446</v>
      </c>
      <c r="J11" s="132">
        <f>'[3]Air Wisconsin'!$EW$28</f>
        <v>0</v>
      </c>
      <c r="K11" s="130">
        <f>[3]MESA!$EW$28</f>
        <v>0</v>
      </c>
      <c r="L11" s="115">
        <f>SUM(B11:K11)</f>
        <v>2829</v>
      </c>
    </row>
    <row r="12" spans="1:12" ht="15" thickBot="1" x14ac:dyDescent="0.25">
      <c r="A12" s="74" t="s">
        <v>37</v>
      </c>
      <c r="B12" s="136">
        <f>SUM(B10:B11)</f>
        <v>15</v>
      </c>
      <c r="C12" s="136">
        <f>SUM(C10:C11)</f>
        <v>840</v>
      </c>
      <c r="D12" s="136">
        <f t="shared" ref="D12:K12" si="1">SUM(D10:D11)</f>
        <v>10</v>
      </c>
      <c r="E12" s="136">
        <f t="shared" si="1"/>
        <v>2301</v>
      </c>
      <c r="F12" s="136">
        <f t="shared" si="1"/>
        <v>1376</v>
      </c>
      <c r="G12" s="136">
        <f t="shared" si="1"/>
        <v>12</v>
      </c>
      <c r="H12" s="136">
        <f t="shared" si="1"/>
        <v>117</v>
      </c>
      <c r="I12" s="136">
        <f t="shared" ref="I12" si="2">SUM(I10:I11)</f>
        <v>891</v>
      </c>
      <c r="J12" s="136">
        <f t="shared" si="1"/>
        <v>0</v>
      </c>
      <c r="K12" s="136">
        <f t="shared" si="1"/>
        <v>0</v>
      </c>
      <c r="L12" s="137">
        <f>SUM(B12:K12)</f>
        <v>5562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57</v>
      </c>
      <c r="B15" s="106">
        <f>'[3]Shuttle America'!$EW$4</f>
        <v>8</v>
      </c>
      <c r="C15" s="106">
        <f>'[3]Shuttle America_Delta'!$EW$4</f>
        <v>178</v>
      </c>
      <c r="D15" s="107">
        <f>[3]PSA!$EW$4</f>
        <v>3</v>
      </c>
      <c r="E15" s="21">
        <f>[3]Compass!$EW$4+[3]Compass!$EW$15</f>
        <v>601</v>
      </c>
      <c r="F15" s="107">
        <f>'[3]Atlantic Southeast'!$EW$4+'[3]Atlantic Southeast'!$EW$15</f>
        <v>389</v>
      </c>
      <c r="G15" s="107">
        <f>'[3]Continental Express'!$EW$4</f>
        <v>8</v>
      </c>
      <c r="H15" s="106">
        <f>'[3]Go Jet_UA'!$EW$4</f>
        <v>32</v>
      </c>
      <c r="I15" s="106">
        <f>'[3]Go Jet'!$EW$4+'[3]Go Jet'!$EW$15</f>
        <v>241</v>
      </c>
      <c r="J15" s="108">
        <f>'[3]Air Wisconsin'!$EW$4</f>
        <v>0</v>
      </c>
      <c r="K15" s="106">
        <f>[3]MESA!$EW$4</f>
        <v>0</v>
      </c>
      <c r="L15" s="110">
        <f t="shared" ref="L15:L21" si="3">SUM(B15:K15)</f>
        <v>1460</v>
      </c>
    </row>
    <row r="16" spans="1:12" x14ac:dyDescent="0.2">
      <c r="A16" s="62" t="s">
        <v>58</v>
      </c>
      <c r="B16" s="111">
        <f>'[3]Shuttle America'!$EW$5</f>
        <v>8</v>
      </c>
      <c r="C16" s="111">
        <f>'[3]Shuttle America_Delta'!$EW$5</f>
        <v>177</v>
      </c>
      <c r="D16" s="112">
        <f>[3]PSA!$EW$5</f>
        <v>3</v>
      </c>
      <c r="E16" s="14">
        <f>[3]Compass!$EW$5+[3]Compass!$EW$16</f>
        <v>601</v>
      </c>
      <c r="F16" s="112">
        <f>'[3]Atlantic Southeast'!$EW$5+'[3]Atlantic Southeast'!$EW$16</f>
        <v>388</v>
      </c>
      <c r="G16" s="112">
        <f>'[3]Continental Express'!$EW$5</f>
        <v>8</v>
      </c>
      <c r="H16" s="111">
        <f>'[3]Go Jet_UA'!$EW$5</f>
        <v>32</v>
      </c>
      <c r="I16" s="111">
        <f>'[3]Go Jet'!$EW$5+'[3]Go Jet'!$EW$16</f>
        <v>241</v>
      </c>
      <c r="J16" s="113">
        <f>'[3]Air Wisconsin'!$EW$5</f>
        <v>0</v>
      </c>
      <c r="K16" s="111">
        <f>[3]MESA!$EW$5</f>
        <v>0</v>
      </c>
      <c r="L16" s="115">
        <f t="shared" si="3"/>
        <v>1458</v>
      </c>
    </row>
    <row r="17" spans="1:12" x14ac:dyDescent="0.2">
      <c r="A17" s="71" t="s">
        <v>59</v>
      </c>
      <c r="B17" s="116">
        <f>SUM(B15:B16)</f>
        <v>16</v>
      </c>
      <c r="C17" s="116">
        <f>SUM(C15:C16)</f>
        <v>355</v>
      </c>
      <c r="D17" s="116">
        <f t="shared" ref="D17:K17" si="4">SUM(D15:D16)</f>
        <v>6</v>
      </c>
      <c r="E17" s="290">
        <f>SUM(E15:E16)</f>
        <v>1202</v>
      </c>
      <c r="F17" s="116">
        <f t="shared" si="4"/>
        <v>777</v>
      </c>
      <c r="G17" s="116">
        <f t="shared" si="4"/>
        <v>16</v>
      </c>
      <c r="H17" s="116">
        <f t="shared" si="4"/>
        <v>64</v>
      </c>
      <c r="I17" s="116">
        <f t="shared" ref="I17" si="5">SUM(I15:I16)</f>
        <v>482</v>
      </c>
      <c r="J17" s="116">
        <f t="shared" si="4"/>
        <v>0</v>
      </c>
      <c r="K17" s="116">
        <f t="shared" si="4"/>
        <v>0</v>
      </c>
      <c r="L17" s="117">
        <f t="shared" si="3"/>
        <v>2918</v>
      </c>
    </row>
    <row r="18" spans="1:12" x14ac:dyDescent="0.2">
      <c r="A18" s="62" t="s">
        <v>60</v>
      </c>
      <c r="B18" s="118">
        <f>'[3]Shuttle America'!$EW$8</f>
        <v>0</v>
      </c>
      <c r="C18" s="118">
        <f>'[3]Shuttle America_Delta'!$EW$8</f>
        <v>0</v>
      </c>
      <c r="D18" s="118">
        <f>[3]PSA!$EW$8</f>
        <v>0</v>
      </c>
      <c r="E18" s="21">
        <f>[3]Compass!$EW$8</f>
        <v>0</v>
      </c>
      <c r="F18" s="109">
        <f>'[3]Atlantic Southeast'!$EW$8</f>
        <v>0</v>
      </c>
      <c r="G18" s="109">
        <f>'[3]Continental Express'!$EW$8</f>
        <v>0</v>
      </c>
      <c r="H18" s="118">
        <f>'[3]Go Jet_UA'!$EW$8</f>
        <v>0</v>
      </c>
      <c r="I18" s="118">
        <f>'[3]Go Jet'!$EW$8</f>
        <v>0</v>
      </c>
      <c r="J18" s="119">
        <f>'[3]Air Wisconsin'!$EW$8</f>
        <v>0</v>
      </c>
      <c r="K18" s="118">
        <f>[3]MESA!$EW$8</f>
        <v>0</v>
      </c>
      <c r="L18" s="110">
        <f t="shared" si="3"/>
        <v>0</v>
      </c>
    </row>
    <row r="19" spans="1:12" x14ac:dyDescent="0.2">
      <c r="A19" s="62" t="s">
        <v>61</v>
      </c>
      <c r="B19" s="120">
        <f>'[3]Shuttle America'!$EW$9</f>
        <v>0</v>
      </c>
      <c r="C19" s="120">
        <f>'[3]Shuttle America_Delta'!$EW$9</f>
        <v>1</v>
      </c>
      <c r="D19" s="120">
        <f>[3]PSA!$EW$9</f>
        <v>0</v>
      </c>
      <c r="E19" s="14">
        <f>[3]Compass!$EW$9</f>
        <v>0</v>
      </c>
      <c r="F19" s="114">
        <f>'[3]Atlantic Southeast'!$EW$9</f>
        <v>1</v>
      </c>
      <c r="G19" s="114">
        <f>'[3]Continental Express'!$EW$9</f>
        <v>0</v>
      </c>
      <c r="H19" s="120">
        <f>'[3]Go Jet_UA'!$EW$9</f>
        <v>0</v>
      </c>
      <c r="I19" s="120">
        <f>'[3]Go Jet'!$EW$9</f>
        <v>0</v>
      </c>
      <c r="J19" s="121">
        <f>'[3]Air Wisconsin'!$EW$9</f>
        <v>0</v>
      </c>
      <c r="K19" s="120">
        <f>[3]MESA!$EW$9</f>
        <v>0</v>
      </c>
      <c r="L19" s="115">
        <f t="shared" si="3"/>
        <v>2</v>
      </c>
    </row>
    <row r="20" spans="1:12" x14ac:dyDescent="0.2">
      <c r="A20" s="71" t="s">
        <v>62</v>
      </c>
      <c r="B20" s="116">
        <f>SUM(B18:B19)</f>
        <v>0</v>
      </c>
      <c r="C20" s="116">
        <f>SUM(C18:C19)</f>
        <v>1</v>
      </c>
      <c r="D20" s="116">
        <f t="shared" ref="D20:K20" si="6">SUM(D18:D19)</f>
        <v>0</v>
      </c>
      <c r="E20" s="290">
        <f>SUM(E18:E19)</f>
        <v>0</v>
      </c>
      <c r="F20" s="116">
        <f t="shared" si="6"/>
        <v>1</v>
      </c>
      <c r="G20" s="116">
        <f t="shared" si="6"/>
        <v>0</v>
      </c>
      <c r="H20" s="116">
        <f t="shared" si="6"/>
        <v>0</v>
      </c>
      <c r="I20" s="116">
        <f t="shared" ref="I20" si="7">SUM(I18:I19)</f>
        <v>0</v>
      </c>
      <c r="J20" s="116">
        <f t="shared" si="6"/>
        <v>0</v>
      </c>
      <c r="K20" s="116">
        <f t="shared" si="6"/>
        <v>0</v>
      </c>
      <c r="L20" s="117">
        <f t="shared" si="3"/>
        <v>2</v>
      </c>
    </row>
    <row r="21" spans="1:12" ht="15.75" thickBot="1" x14ac:dyDescent="0.3">
      <c r="A21" s="72" t="s">
        <v>31</v>
      </c>
      <c r="B21" s="122">
        <f>SUM(B20,B17)</f>
        <v>16</v>
      </c>
      <c r="C21" s="122">
        <f>SUM(C20,C17)</f>
        <v>356</v>
      </c>
      <c r="D21" s="122">
        <f t="shared" ref="D21:K21" si="8">SUM(D20,D17)</f>
        <v>6</v>
      </c>
      <c r="E21" s="122">
        <f t="shared" si="8"/>
        <v>1202</v>
      </c>
      <c r="F21" s="122">
        <f t="shared" si="8"/>
        <v>778</v>
      </c>
      <c r="G21" s="122">
        <f t="shared" si="8"/>
        <v>16</v>
      </c>
      <c r="H21" s="122">
        <f t="shared" si="8"/>
        <v>64</v>
      </c>
      <c r="I21" s="122">
        <f t="shared" ref="I21" si="9">SUM(I20,I17)</f>
        <v>482</v>
      </c>
      <c r="J21" s="122">
        <f t="shared" si="8"/>
        <v>0</v>
      </c>
      <c r="K21" s="122">
        <f t="shared" si="8"/>
        <v>0</v>
      </c>
      <c r="L21" s="123">
        <f t="shared" si="3"/>
        <v>2920</v>
      </c>
    </row>
    <row r="22" spans="1:12" ht="3.75" customHeight="1" thickBot="1" x14ac:dyDescent="0.25"/>
    <row r="23" spans="1:12" ht="15.75" thickTop="1" x14ac:dyDescent="0.25">
      <c r="A23" s="65" t="s">
        <v>121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2"/>
      <c r="K24" s="130"/>
      <c r="L24" s="110"/>
    </row>
    <row r="25" spans="1:12" x14ac:dyDescent="0.2">
      <c r="A25" s="75" t="s">
        <v>40</v>
      </c>
      <c r="B25" s="130">
        <f>'[3]Shuttle America'!$EW$47</f>
        <v>0</v>
      </c>
      <c r="C25" s="130">
        <f>'[3]Shuttle America_Delta'!$EW$47</f>
        <v>809</v>
      </c>
      <c r="D25" s="130">
        <f>[3]PSA!$EW$47</f>
        <v>0</v>
      </c>
      <c r="E25" s="130">
        <f>[3]Compass!$EW$47</f>
        <v>0</v>
      </c>
      <c r="F25" s="131">
        <f>'[3]Atlantic Southeast'!$EW$47</f>
        <v>0</v>
      </c>
      <c r="G25" s="131">
        <f>'[3]Continental Express'!$EW$47</f>
        <v>0</v>
      </c>
      <c r="H25" s="130">
        <f>'[3]Go Jet_UA'!$EW$47</f>
        <v>0</v>
      </c>
      <c r="I25" s="130">
        <f>'[3]Go Jet'!$EW$47</f>
        <v>0</v>
      </c>
      <c r="J25" s="132">
        <f>'[3]Air Wisconsin'!$EW$47</f>
        <v>0</v>
      </c>
      <c r="K25" s="130">
        <f>[3]MESA!$EW$47</f>
        <v>0</v>
      </c>
      <c r="L25" s="110">
        <f>SUM(B25:K25)</f>
        <v>809</v>
      </c>
    </row>
    <row r="26" spans="1:12" x14ac:dyDescent="0.2">
      <c r="A26" s="75" t="s">
        <v>41</v>
      </c>
      <c r="B26" s="130">
        <f>'[3]Shuttle America'!$EW$48</f>
        <v>0</v>
      </c>
      <c r="C26" s="130">
        <f>'[3]Shuttle America_Delta'!$EW$48</f>
        <v>0</v>
      </c>
      <c r="D26" s="130">
        <f>[3]PSA!$EW$48</f>
        <v>0</v>
      </c>
      <c r="E26" s="130">
        <f>[3]Compass!$EW$48</f>
        <v>0</v>
      </c>
      <c r="F26" s="131">
        <f>'[3]Atlantic Southeast'!$EW$48</f>
        <v>0</v>
      </c>
      <c r="G26" s="131">
        <f>'[3]Continental Express'!$EW$48</f>
        <v>0</v>
      </c>
      <c r="H26" s="130">
        <f>'[3]Go Jet_UA'!$EW$48</f>
        <v>0</v>
      </c>
      <c r="I26" s="130">
        <f>'[3]Go Jet'!$EW$48</f>
        <v>0</v>
      </c>
      <c r="J26" s="132">
        <f>'[3]Air Wisconsin'!$EW$48</f>
        <v>0</v>
      </c>
      <c r="K26" s="130">
        <f>[3]MESA!$EW$48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>SUM(B25:B26)</f>
        <v>0</v>
      </c>
      <c r="C27" s="133">
        <f>SUM(C25:C26)</f>
        <v>809</v>
      </c>
      <c r="D27" s="133">
        <f t="shared" ref="D27:K27" si="10">SUM(D25:D26)</f>
        <v>0</v>
      </c>
      <c r="E27" s="133">
        <f>SUM(E25:E26)</f>
        <v>0</v>
      </c>
      <c r="F27" s="133">
        <f t="shared" si="10"/>
        <v>0</v>
      </c>
      <c r="G27" s="133">
        <f t="shared" si="10"/>
        <v>0</v>
      </c>
      <c r="H27" s="133">
        <f t="shared" si="10"/>
        <v>0</v>
      </c>
      <c r="I27" s="133">
        <f t="shared" ref="I27" si="11">SUM(I25:I26)</f>
        <v>0</v>
      </c>
      <c r="J27" s="133">
        <f t="shared" si="10"/>
        <v>0</v>
      </c>
      <c r="K27" s="133">
        <f t="shared" si="10"/>
        <v>0</v>
      </c>
      <c r="L27" s="134">
        <f>SUM(B27:K27)</f>
        <v>809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63</v>
      </c>
      <c r="B30" s="130">
        <f>'[3]Shuttle America'!$EW$52</f>
        <v>0</v>
      </c>
      <c r="C30" s="130">
        <f>'[3]Shuttle America_Delta'!$EW$52</f>
        <v>0</v>
      </c>
      <c r="D30" s="130">
        <f>[3]PSA!$EW$52</f>
        <v>0</v>
      </c>
      <c r="E30" s="130">
        <f>[3]Compass!$EW$52</f>
        <v>0</v>
      </c>
      <c r="F30" s="131">
        <f>'[3]Atlantic Southeast'!$EW$52</f>
        <v>0</v>
      </c>
      <c r="G30" s="131">
        <f>'[3]Continental Express'!$EW$52</f>
        <v>0</v>
      </c>
      <c r="H30" s="130">
        <f>'[3]Go Jet_UA'!$EW$52</f>
        <v>0</v>
      </c>
      <c r="I30" s="130">
        <f>'[3]Go Jet'!$EW$52</f>
        <v>0</v>
      </c>
      <c r="J30" s="132">
        <f>'[3]Air Wisconsin'!BH$52</f>
        <v>0</v>
      </c>
      <c r="K30" s="130">
        <f>[3]MESA!$EW$52</f>
        <v>0</v>
      </c>
      <c r="L30" s="110">
        <f>SUM(B30:K30)</f>
        <v>0</v>
      </c>
    </row>
    <row r="31" spans="1:12" x14ac:dyDescent="0.2">
      <c r="A31" s="75" t="s">
        <v>64</v>
      </c>
      <c r="B31" s="130">
        <f>'[3]Shuttle America'!$EW$53</f>
        <v>0</v>
      </c>
      <c r="C31" s="130">
        <f>'[3]Shuttle America_Delta'!$EW$53</f>
        <v>0</v>
      </c>
      <c r="D31" s="130">
        <f>[3]PSA!$EW$53</f>
        <v>0</v>
      </c>
      <c r="E31" s="130">
        <f>[3]Compass!$EW$53</f>
        <v>0</v>
      </c>
      <c r="F31" s="131">
        <f>'[3]Atlantic Southeast'!$EW$53</f>
        <v>0</v>
      </c>
      <c r="G31" s="131">
        <f>'[3]Continental Express'!$EW$53</f>
        <v>0</v>
      </c>
      <c r="H31" s="130">
        <f>'[3]Go Jet_UA'!$EW$53</f>
        <v>0</v>
      </c>
      <c r="I31" s="130">
        <f>'[3]Go Jet'!$EW$53</f>
        <v>0</v>
      </c>
      <c r="J31" s="132">
        <f>'[3]Air Wisconsin'!$EW$53</f>
        <v>0</v>
      </c>
      <c r="K31" s="130">
        <f>[3]MESA!$EW$53</f>
        <v>0</v>
      </c>
      <c r="L31" s="110">
        <f>SUM(B31:K31)</f>
        <v>0</v>
      </c>
    </row>
    <row r="32" spans="1:12" ht="15" thickBot="1" x14ac:dyDescent="0.25">
      <c r="A32" s="73" t="s">
        <v>44</v>
      </c>
      <c r="B32" s="133">
        <f t="shared" ref="B32:K32" si="12">SUM(B30:B31)</f>
        <v>0</v>
      </c>
      <c r="C32" s="133">
        <f t="shared" si="12"/>
        <v>0</v>
      </c>
      <c r="D32" s="133">
        <f t="shared" si="12"/>
        <v>0</v>
      </c>
      <c r="E32" s="133">
        <f t="shared" si="12"/>
        <v>0</v>
      </c>
      <c r="F32" s="133">
        <f t="shared" si="12"/>
        <v>0</v>
      </c>
      <c r="G32" s="133">
        <f t="shared" si="12"/>
        <v>0</v>
      </c>
      <c r="H32" s="133">
        <f t="shared" si="12"/>
        <v>0</v>
      </c>
      <c r="I32" s="133">
        <f t="shared" ref="I32" si="13">SUM(I30:I31)</f>
        <v>0</v>
      </c>
      <c r="J32" s="133">
        <f t="shared" si="12"/>
        <v>0</v>
      </c>
      <c r="K32" s="133">
        <f t="shared" si="12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40</v>
      </c>
      <c r="B35" s="130">
        <f>'[3]Shuttle America'!$EW$57</f>
        <v>0</v>
      </c>
      <c r="C35" s="130">
        <f>'[3]Shuttle America_Delta'!$EW$57</f>
        <v>0</v>
      </c>
      <c r="D35" s="130">
        <f>[3]PSA!$EW$57</f>
        <v>0</v>
      </c>
      <c r="E35" s="130">
        <f>[3]Compass!$EW$57</f>
        <v>0</v>
      </c>
      <c r="F35" s="131">
        <f>'[3]Atlantic Southeast'!$EW$57</f>
        <v>0</v>
      </c>
      <c r="G35" s="131">
        <f>'[3]Continental Express'!$EW$57</f>
        <v>0</v>
      </c>
      <c r="H35" s="130">
        <f>'[3]Go Jet_UA'!$AJ$57</f>
        <v>0</v>
      </c>
      <c r="I35" s="130">
        <f>'[3]Go Jet'!$AJ$57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K37" si="14">SUM(D35:D36)</f>
        <v>0</v>
      </c>
      <c r="E37" s="141">
        <f>SUM(E35:E36)</f>
        <v>0</v>
      </c>
      <c r="F37" s="142">
        <f t="shared" si="14"/>
        <v>0</v>
      </c>
      <c r="G37" s="142">
        <f t="shared" si="14"/>
        <v>0</v>
      </c>
      <c r="H37" s="141">
        <f t="shared" si="14"/>
        <v>0</v>
      </c>
      <c r="I37" s="141">
        <f t="shared" ref="I37" si="15">SUM(I35:I36)</f>
        <v>0</v>
      </c>
      <c r="J37" s="141">
        <f t="shared" si="14"/>
        <v>0</v>
      </c>
      <c r="K37" s="141">
        <f t="shared" si="14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48</v>
      </c>
      <c r="B40" s="130">
        <f t="shared" ref="B40:K40" si="16">SUM(B35,B30,B25)</f>
        <v>0</v>
      </c>
      <c r="C40" s="130">
        <f>SUM(C35,C30,C25)</f>
        <v>809</v>
      </c>
      <c r="D40" s="130">
        <f t="shared" si="16"/>
        <v>0</v>
      </c>
      <c r="E40" s="130">
        <f t="shared" si="16"/>
        <v>0</v>
      </c>
      <c r="F40" s="130">
        <f t="shared" si="16"/>
        <v>0</v>
      </c>
      <c r="G40" s="130">
        <f t="shared" si="16"/>
        <v>0</v>
      </c>
      <c r="H40" s="130">
        <f>SUM(H35,H30,H25)</f>
        <v>0</v>
      </c>
      <c r="I40" s="130">
        <f>SUM(I35,I30,I25)</f>
        <v>0</v>
      </c>
      <c r="J40" s="130">
        <f t="shared" si="16"/>
        <v>0</v>
      </c>
      <c r="K40" s="130">
        <f t="shared" si="16"/>
        <v>0</v>
      </c>
      <c r="L40" s="110">
        <f>SUM(B40:K40)</f>
        <v>809</v>
      </c>
    </row>
    <row r="41" spans="1:12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K41" si="17">SUM(D36,D31,D26)</f>
        <v>0</v>
      </c>
      <c r="E41" s="130">
        <f t="shared" si="17"/>
        <v>0</v>
      </c>
      <c r="F41" s="130">
        <f t="shared" si="17"/>
        <v>0</v>
      </c>
      <c r="G41" s="130">
        <f t="shared" si="17"/>
        <v>0</v>
      </c>
      <c r="H41" s="130">
        <f>SUM(H36,H31,H26)</f>
        <v>0</v>
      </c>
      <c r="I41" s="130">
        <f>SUM(I36,I31,I26)</f>
        <v>0</v>
      </c>
      <c r="J41" s="130">
        <f t="shared" si="17"/>
        <v>0</v>
      </c>
      <c r="K41" s="130">
        <f t="shared" si="17"/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>SUM(B40:B41)</f>
        <v>0</v>
      </c>
      <c r="C42" s="136">
        <f>SUM(C40:C41)</f>
        <v>809</v>
      </c>
      <c r="D42" s="136">
        <f t="shared" ref="D42:K42" si="18">SUM(D40:D41)</f>
        <v>0</v>
      </c>
      <c r="E42" s="136">
        <f t="shared" si="18"/>
        <v>0</v>
      </c>
      <c r="F42" s="136">
        <f t="shared" si="18"/>
        <v>0</v>
      </c>
      <c r="G42" s="136">
        <f t="shared" si="18"/>
        <v>0</v>
      </c>
      <c r="H42" s="136">
        <f t="shared" si="18"/>
        <v>0</v>
      </c>
      <c r="I42" s="136">
        <f t="shared" ref="I42" si="19">SUM(I40:I41)</f>
        <v>0</v>
      </c>
      <c r="J42" s="136">
        <f t="shared" si="18"/>
        <v>0</v>
      </c>
      <c r="K42" s="136">
        <f t="shared" si="18"/>
        <v>0</v>
      </c>
      <c r="L42" s="137">
        <f>SUM(B42:K42)</f>
        <v>809</v>
      </c>
    </row>
    <row r="43" spans="1:12" ht="4.5" customHeight="1" x14ac:dyDescent="0.2"/>
    <row r="44" spans="1:12" hidden="1" x14ac:dyDescent="0.2">
      <c r="A44" s="326" t="s">
        <v>131</v>
      </c>
      <c r="E44" s="325">
        <f>[3]Compass!BG$70+[3]Compass!BG$73</f>
        <v>27782</v>
      </c>
      <c r="F44" s="311"/>
      <c r="L44" s="313">
        <f>SUM(E44:E44)</f>
        <v>27782</v>
      </c>
    </row>
    <row r="45" spans="1:12" hidden="1" x14ac:dyDescent="0.2">
      <c r="A45" s="326" t="s">
        <v>132</v>
      </c>
      <c r="E45" s="325">
        <f>[3]Compass!BG$71+[3]Compass!BG$74</f>
        <v>47176</v>
      </c>
      <c r="F45" s="329"/>
      <c r="L45" s="313">
        <f>SUM(E45:E45)</f>
        <v>47176</v>
      </c>
    </row>
    <row r="46" spans="1:12" x14ac:dyDescent="0.2">
      <c r="A46" s="383" t="s">
        <v>128</v>
      </c>
      <c r="C46" s="325">
        <f>'[3]Shuttle America_Delta'!$EW$70+'[3]Shuttle America_Delta'!$EW$73</f>
        <v>4876</v>
      </c>
      <c r="E46" s="325">
        <f>[3]Compass!$EW$70+[3]Compass!$EW$73</f>
        <v>14976</v>
      </c>
      <c r="F46" s="325">
        <f>'[3]Atlantic Southeast'!$EW$70+'[3]Atlantic Southeast'!$EW$73</f>
        <v>9455</v>
      </c>
      <c r="H46" s="5"/>
      <c r="I46" s="325">
        <f>'[3]Go Jet'!$EW$70+'[3]Go Jet'!$EW$73</f>
        <v>6081</v>
      </c>
      <c r="L46" s="397">
        <f>SUM(B46:K46)</f>
        <v>35388</v>
      </c>
    </row>
    <row r="47" spans="1:12" x14ac:dyDescent="0.2">
      <c r="A47" s="398" t="s">
        <v>129</v>
      </c>
      <c r="C47" s="325">
        <f>'[3]Shuttle America_Delta'!$EW$71+'[3]Shuttle America_Delta'!$EW$74</f>
        <v>5655</v>
      </c>
      <c r="E47" s="325">
        <f>[3]Compass!$EW$71+[3]Compass!$EW$74</f>
        <v>19530</v>
      </c>
      <c r="F47" s="325">
        <f>'[3]Atlantic Southeast'!$EW$71+'[3]Atlantic Southeast'!$EW$74</f>
        <v>11842</v>
      </c>
      <c r="H47" s="5"/>
      <c r="I47" s="325">
        <f>'[3]Go Jet'!$EW$71+'[3]Go Jet'!$EW$74</f>
        <v>7196</v>
      </c>
      <c r="L47" s="397">
        <f>SUM(B47:K47)</f>
        <v>44223</v>
      </c>
    </row>
  </sheetData>
  <phoneticPr fontId="6" type="noConversion"/>
  <printOptions horizontalCentered="1"/>
  <pageMargins left="0.75" right="0.75" top="0.92" bottom="1" header="0.28416666666666668" footer="0.5"/>
  <pageSetup scale="88" orientation="landscape" r:id="rId1"/>
  <headerFooter alignWithMargins="0">
    <oddHeader>&amp;L
Schedule 5
&amp;CMinneapolis-St. Paul International Airport
&amp;"Arial,Bold"Other Regional
December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P37"/>
  <sheetViews>
    <sheetView topLeftCell="A7" zoomScale="115" zoomScaleNormal="115" workbookViewId="0">
      <selection activeCell="B25" sqref="B2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5" ht="26.25" thickBot="1" x14ac:dyDescent="0.25">
      <c r="A2" s="387">
        <v>42705</v>
      </c>
      <c r="B2" s="180" t="s">
        <v>123</v>
      </c>
      <c r="C2" s="102" t="s">
        <v>82</v>
      </c>
      <c r="D2" s="102" t="s">
        <v>161</v>
      </c>
      <c r="E2" s="174" t="s">
        <v>83</v>
      </c>
    </row>
    <row r="3" spans="1:15" x14ac:dyDescent="0.2">
      <c r="A3" s="282" t="s">
        <v>3</v>
      </c>
      <c r="B3" s="186"/>
      <c r="C3" s="185"/>
      <c r="D3" s="185"/>
      <c r="E3" s="273"/>
    </row>
    <row r="4" spans="1:15" x14ac:dyDescent="0.2">
      <c r="A4" s="62" t="s">
        <v>32</v>
      </c>
      <c r="B4" s="426"/>
      <c r="C4" s="184"/>
      <c r="D4" s="184"/>
      <c r="E4" s="253"/>
    </row>
    <row r="5" spans="1:15" x14ac:dyDescent="0.2">
      <c r="A5" s="62" t="s">
        <v>33</v>
      </c>
      <c r="B5" s="426">
        <f>'[3]Charter Misc'!$EW$22</f>
        <v>0</v>
      </c>
      <c r="C5" s="184">
        <f>'[3]Charter Misc'!$EW$32</f>
        <v>0</v>
      </c>
      <c r="D5" s="184">
        <f>[3]Omni!$EW$32+[3]Omni!$EW$37</f>
        <v>201</v>
      </c>
      <c r="E5" s="343">
        <f>SUM(B5:D5)</f>
        <v>201</v>
      </c>
    </row>
    <row r="6" spans="1:15" x14ac:dyDescent="0.2">
      <c r="A6" s="62" t="s">
        <v>34</v>
      </c>
      <c r="B6" s="427">
        <f>'[3]Charter Misc'!$EW$23</f>
        <v>0</v>
      </c>
      <c r="C6" s="187">
        <f>'[3]Charter Misc'!$EW$33</f>
        <v>0</v>
      </c>
      <c r="D6" s="187">
        <f>[3]Omni!$EW$33+[3]Omni!$EW$38</f>
        <v>201</v>
      </c>
      <c r="E6" s="342">
        <f>SUM(B6:D6)</f>
        <v>201</v>
      </c>
    </row>
    <row r="7" spans="1:15" ht="15.75" thickBot="1" x14ac:dyDescent="0.3">
      <c r="A7" s="183" t="s">
        <v>7</v>
      </c>
      <c r="B7" s="428">
        <f>SUM(B5:B6)</f>
        <v>0</v>
      </c>
      <c r="C7" s="301">
        <f>SUM(C5:C6)</f>
        <v>0</v>
      </c>
      <c r="D7" s="301">
        <f>SUM(D5:D6)</f>
        <v>402</v>
      </c>
      <c r="E7" s="302">
        <f>SUM(B7:D7)</f>
        <v>402</v>
      </c>
    </row>
    <row r="8" spans="1:15" ht="13.5" thickBot="1" x14ac:dyDescent="0.25"/>
    <row r="9" spans="1:15" x14ac:dyDescent="0.2">
      <c r="A9" s="181" t="s">
        <v>9</v>
      </c>
      <c r="B9" s="429"/>
      <c r="C9" s="45"/>
      <c r="D9" s="45"/>
      <c r="E9" s="57"/>
    </row>
    <row r="10" spans="1:15" x14ac:dyDescent="0.2">
      <c r="A10" s="182" t="s">
        <v>84</v>
      </c>
      <c r="B10" s="426">
        <f>'[3]Charter Misc'!$EW$4</f>
        <v>0</v>
      </c>
      <c r="C10" s="184">
        <f>'[3]Charter Misc'!$EW$15</f>
        <v>0</v>
      </c>
      <c r="D10" s="184">
        <f>[3]Omni!$EW$15</f>
        <v>0</v>
      </c>
      <c r="E10" s="342">
        <f>SUM(B10:D10)</f>
        <v>0</v>
      </c>
    </row>
    <row r="11" spans="1:15" x14ac:dyDescent="0.2">
      <c r="A11" s="182" t="s">
        <v>85</v>
      </c>
      <c r="B11" s="426">
        <f>'[3]Charter Misc'!$EW$5</f>
        <v>0</v>
      </c>
      <c r="C11" s="184">
        <f>'[3]Charter Misc'!$EW$16</f>
        <v>0</v>
      </c>
      <c r="D11" s="184">
        <f>[3]Omni!$EW$16</f>
        <v>1</v>
      </c>
      <c r="E11" s="342">
        <f>SUM(B11:D11)</f>
        <v>1</v>
      </c>
    </row>
    <row r="12" spans="1:15" ht="15.75" thickBot="1" x14ac:dyDescent="0.3">
      <c r="A12" s="281" t="s">
        <v>31</v>
      </c>
      <c r="B12" s="430">
        <f>SUM(B10:B11)</f>
        <v>0</v>
      </c>
      <c r="C12" s="303">
        <f>SUM(C10:C11)</f>
        <v>0</v>
      </c>
      <c r="D12" s="303">
        <f>SUM(D10:D11)</f>
        <v>1</v>
      </c>
      <c r="E12" s="304">
        <f>SUM(B12:D12)</f>
        <v>1</v>
      </c>
      <c r="O12" s="130"/>
    </row>
    <row r="17" spans="1:16" x14ac:dyDescent="0.2">
      <c r="B17" s="486" t="s">
        <v>159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8"/>
    </row>
    <row r="18" spans="1:16" ht="13.5" thickBot="1" x14ac:dyDescent="0.25">
      <c r="A18" s="320"/>
      <c r="E18" s="226"/>
      <c r="G18" s="226"/>
      <c r="H18" s="226"/>
      <c r="L18" s="233"/>
      <c r="N18" s="234"/>
    </row>
    <row r="19" spans="1:16" ht="13.5" customHeight="1" thickBot="1" x14ac:dyDescent="0.25">
      <c r="A19" s="412"/>
      <c r="B19" s="489" t="s">
        <v>125</v>
      </c>
      <c r="C19" s="490"/>
      <c r="D19" s="490"/>
      <c r="E19" s="491"/>
      <c r="G19" s="489" t="s">
        <v>126</v>
      </c>
      <c r="H19" s="492"/>
      <c r="I19" s="492"/>
      <c r="J19" s="493"/>
      <c r="L19" s="494" t="s">
        <v>127</v>
      </c>
      <c r="M19" s="495"/>
      <c r="N19" s="495"/>
      <c r="O19" s="496"/>
    </row>
    <row r="20" spans="1:16" ht="13.5" thickBot="1" x14ac:dyDescent="0.25">
      <c r="A20" s="237" t="s">
        <v>106</v>
      </c>
      <c r="B20" s="242" t="s">
        <v>107</v>
      </c>
      <c r="C20" s="8" t="s">
        <v>108</v>
      </c>
      <c r="D20" s="8" t="s">
        <v>186</v>
      </c>
      <c r="E20" s="8" t="s">
        <v>177</v>
      </c>
      <c r="F20" s="243" t="s">
        <v>103</v>
      </c>
      <c r="G20" s="8" t="s">
        <v>107</v>
      </c>
      <c r="H20" s="8" t="s">
        <v>108</v>
      </c>
      <c r="I20" s="438" t="s">
        <v>186</v>
      </c>
      <c r="J20" s="438" t="s">
        <v>177</v>
      </c>
      <c r="K20" s="243" t="s">
        <v>103</v>
      </c>
      <c r="L20" s="242" t="s">
        <v>107</v>
      </c>
      <c r="M20" s="236" t="s">
        <v>108</v>
      </c>
      <c r="N20" s="438" t="s">
        <v>186</v>
      </c>
      <c r="O20" s="438" t="s">
        <v>177</v>
      </c>
      <c r="P20" s="243" t="s">
        <v>103</v>
      </c>
    </row>
    <row r="21" spans="1:16" ht="14.1" customHeight="1" x14ac:dyDescent="0.2">
      <c r="A21" s="246" t="s">
        <v>109</v>
      </c>
      <c r="B21" s="470">
        <f>+[4]Charter!$B$21</f>
        <v>135014</v>
      </c>
      <c r="C21" s="471">
        <f>+[4]Charter!$C$21</f>
        <v>133261</v>
      </c>
      <c r="D21" s="471">
        <f t="shared" ref="D21" si="0">SUM(B21:C21)</f>
        <v>268275</v>
      </c>
      <c r="E21" s="472">
        <f>[5]Charter!$D$21</f>
        <v>236565</v>
      </c>
      <c r="F21" s="341">
        <f t="shared" ref="F21:F32" si="1">(D21-E21)/E21</f>
        <v>0.13404349755881048</v>
      </c>
      <c r="G21" s="470">
        <f t="shared" ref="G21:H22" si="2">L21-B21</f>
        <v>1203116</v>
      </c>
      <c r="H21" s="471">
        <f t="shared" si="2"/>
        <v>1225993</v>
      </c>
      <c r="I21" s="339">
        <f t="shared" ref="I21:I25" si="3">SUM(G21:H21)</f>
        <v>2429109</v>
      </c>
      <c r="J21" s="472">
        <f>[5]Charter!$I$21</f>
        <v>2357435</v>
      </c>
      <c r="K21" s="247">
        <f t="shared" ref="K21:K32" si="4">(I21-J21)/J21</f>
        <v>3.0403383338246867E-2</v>
      </c>
      <c r="L21" s="470">
        <f>+[4]Charter!$L$21</f>
        <v>1338130</v>
      </c>
      <c r="M21" s="471">
        <f>+[4]Charter!$M$21</f>
        <v>1359254</v>
      </c>
      <c r="N21" s="471">
        <f t="shared" ref="N21" si="5">SUM(L21:M21)</f>
        <v>2697384</v>
      </c>
      <c r="O21" s="472">
        <f>[5]Charter!$N$21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110</v>
      </c>
      <c r="B22" s="335">
        <f>+[6]Charter!$B$22</f>
        <v>140758</v>
      </c>
      <c r="C22" s="337">
        <f>+[6]Charter!$C$22</f>
        <v>141113</v>
      </c>
      <c r="D22" s="336">
        <f t="shared" ref="D22" si="6">SUM(B22:C22)</f>
        <v>281871</v>
      </c>
      <c r="E22" s="340">
        <f>[7]Charter!$D$22</f>
        <v>251730</v>
      </c>
      <c r="F22" s="338">
        <f t="shared" si="1"/>
        <v>0.11973543081873436</v>
      </c>
      <c r="G22" s="335">
        <f t="shared" si="2"/>
        <v>1175038</v>
      </c>
      <c r="H22" s="337">
        <f t="shared" si="2"/>
        <v>1184918</v>
      </c>
      <c r="I22" s="336">
        <f t="shared" si="3"/>
        <v>2359956</v>
      </c>
      <c r="J22" s="340">
        <f>[7]Charter!$I$22</f>
        <v>2278585</v>
      </c>
      <c r="K22" s="250">
        <f t="shared" si="4"/>
        <v>3.5711197958382068E-2</v>
      </c>
      <c r="L22" s="335">
        <f>+[6]Charter!$L$22</f>
        <v>1315796</v>
      </c>
      <c r="M22" s="337">
        <f>+[6]Charter!$M$22</f>
        <v>1326031</v>
      </c>
      <c r="N22" s="336">
        <f t="shared" ref="N22" si="7">SUM(L22:M22)</f>
        <v>2641827</v>
      </c>
      <c r="O22" s="340">
        <f>[7]Charter!$N$22</f>
        <v>2530315</v>
      </c>
      <c r="P22" s="249">
        <f t="shared" ref="P22:P32" si="8">(N22-O22)/O22</f>
        <v>4.407040230168971E-2</v>
      </c>
    </row>
    <row r="23" spans="1:16" ht="14.1" customHeight="1" x14ac:dyDescent="0.2">
      <c r="A23" s="248" t="s">
        <v>111</v>
      </c>
      <c r="B23" s="335">
        <f>+[8]Charter!$B$23</f>
        <v>170911</v>
      </c>
      <c r="C23" s="337">
        <f>+[8]Charter!$C$23</f>
        <v>169553</v>
      </c>
      <c r="D23" s="336">
        <f t="shared" ref="D23" si="9">SUM(B23:C23)</f>
        <v>340464</v>
      </c>
      <c r="E23" s="340">
        <f>[9]Charter!$D$23</f>
        <v>312232</v>
      </c>
      <c r="F23" s="249">
        <f t="shared" si="1"/>
        <v>9.0419944144097972E-2</v>
      </c>
      <c r="G23" s="335">
        <f t="shared" ref="G23" si="10">L23-B23</f>
        <v>1482455</v>
      </c>
      <c r="H23" s="337">
        <f t="shared" ref="H23" si="11">M23-C23</f>
        <v>1493304</v>
      </c>
      <c r="I23" s="336">
        <f t="shared" si="3"/>
        <v>2975759</v>
      </c>
      <c r="J23" s="340">
        <f>[9]Charter!$I$23</f>
        <v>2912274</v>
      </c>
      <c r="K23" s="250">
        <f t="shared" si="4"/>
        <v>2.1799116429292022E-2</v>
      </c>
      <c r="L23" s="335">
        <f>+[8]Charter!$L$23</f>
        <v>1653366</v>
      </c>
      <c r="M23" s="337">
        <f>+[8]Charter!$M$23</f>
        <v>1662857</v>
      </c>
      <c r="N23" s="336">
        <f t="shared" ref="N23" si="12">SUM(L23:M23)</f>
        <v>3316223</v>
      </c>
      <c r="O23" s="340">
        <f>[9]Charter!$N$23</f>
        <v>3224506</v>
      </c>
      <c r="P23" s="249">
        <f t="shared" si="8"/>
        <v>2.8443736808056799E-2</v>
      </c>
    </row>
    <row r="24" spans="1:16" ht="14.1" customHeight="1" x14ac:dyDescent="0.2">
      <c r="A24" s="248" t="s">
        <v>112</v>
      </c>
      <c r="B24" s="335">
        <f>+[10]Charter!$B$24</f>
        <v>120288</v>
      </c>
      <c r="C24" s="337">
        <f>+[10]Charter!$C$24</f>
        <v>106367</v>
      </c>
      <c r="D24" s="336">
        <f t="shared" ref="D24" si="13">SUM(B24:C24)</f>
        <v>226655</v>
      </c>
      <c r="E24" s="340">
        <f>[11]Charter!$D$24</f>
        <v>205270</v>
      </c>
      <c r="F24" s="249">
        <f t="shared" si="1"/>
        <v>0.10417986067131095</v>
      </c>
      <c r="G24" s="335">
        <f t="shared" ref="G24" si="14">L24-B24</f>
        <v>1421061</v>
      </c>
      <c r="H24" s="337">
        <f t="shared" ref="H24" si="15">M24-C24</f>
        <v>1355226</v>
      </c>
      <c r="I24" s="336">
        <f t="shared" si="3"/>
        <v>2776287</v>
      </c>
      <c r="J24" s="340">
        <f>[11]Charter!$I$24</f>
        <v>2699423</v>
      </c>
      <c r="K24" s="250">
        <f t="shared" si="4"/>
        <v>2.8474233197242522E-2</v>
      </c>
      <c r="L24" s="335">
        <f>+[10]Charter!$L$24</f>
        <v>1541349</v>
      </c>
      <c r="M24" s="337">
        <f>+[10]Charter!$M$24</f>
        <v>1461593</v>
      </c>
      <c r="N24" s="336">
        <f t="shared" ref="N24" si="16">SUM(L24:M24)</f>
        <v>3002942</v>
      </c>
      <c r="O24" s="340">
        <f>[11]Charter!$N$24</f>
        <v>2904693</v>
      </c>
      <c r="P24" s="249">
        <f t="shared" si="8"/>
        <v>3.382422858456987E-2</v>
      </c>
    </row>
    <row r="25" spans="1:16" ht="14.1" customHeight="1" x14ac:dyDescent="0.2">
      <c r="A25" s="235" t="s">
        <v>80</v>
      </c>
      <c r="B25" s="335">
        <f>+[12]Charter!$B$25</f>
        <v>97442</v>
      </c>
      <c r="C25" s="337">
        <f>+[12]Charter!$C$25</f>
        <v>100703</v>
      </c>
      <c r="D25" s="336">
        <f t="shared" ref="D25" si="17">SUM(B25:C25)</f>
        <v>198145</v>
      </c>
      <c r="E25" s="340">
        <f>[13]Charter!$D$25</f>
        <v>198399</v>
      </c>
      <c r="F25" s="238">
        <f t="shared" si="1"/>
        <v>-1.2802483883487315E-3</v>
      </c>
      <c r="G25" s="335">
        <f t="shared" ref="G25" si="18">L25-B25</f>
        <v>1494297</v>
      </c>
      <c r="H25" s="337">
        <f t="shared" ref="H25" si="19">M25-C25</f>
        <v>1471824</v>
      </c>
      <c r="I25" s="336">
        <f t="shared" si="3"/>
        <v>2966121</v>
      </c>
      <c r="J25" s="340">
        <f>[13]Charter!$I$25</f>
        <v>2835494</v>
      </c>
      <c r="K25" s="244">
        <f t="shared" si="4"/>
        <v>4.6068515750694587E-2</v>
      </c>
      <c r="L25" s="335">
        <f>+[12]Charter!$L$25</f>
        <v>1591739</v>
      </c>
      <c r="M25" s="337">
        <f>+[12]Charter!$M$25</f>
        <v>1572527</v>
      </c>
      <c r="N25" s="336">
        <f t="shared" ref="N25" si="20">SUM(L25:M25)</f>
        <v>3164266</v>
      </c>
      <c r="O25" s="340">
        <f>[13]Charter!$N$25</f>
        <v>3033893</v>
      </c>
      <c r="P25" s="238">
        <f t="shared" si="8"/>
        <v>4.2972181286551635E-2</v>
      </c>
    </row>
    <row r="26" spans="1:16" ht="14.1" customHeight="1" x14ac:dyDescent="0.2">
      <c r="A26" s="248" t="s">
        <v>113</v>
      </c>
      <c r="B26" s="335">
        <f>+[14]Charter!$B$26</f>
        <v>120133</v>
      </c>
      <c r="C26" s="337">
        <f>+[14]Charter!$C$26</f>
        <v>124700</v>
      </c>
      <c r="D26" s="336">
        <f t="shared" ref="D26" si="21">SUM(B26:C26)</f>
        <v>244833</v>
      </c>
      <c r="E26" s="340">
        <f>[15]Charter!$D$26</f>
        <v>221901</v>
      </c>
      <c r="F26" s="249">
        <f t="shared" si="1"/>
        <v>0.10334338285992402</v>
      </c>
      <c r="G26" s="335">
        <f t="shared" ref="G26" si="22">L26-B26</f>
        <v>1610217</v>
      </c>
      <c r="H26" s="337">
        <f t="shared" ref="H26" si="23">M26-C26</f>
        <v>1601820</v>
      </c>
      <c r="I26" s="336">
        <f t="shared" ref="I26" si="24">SUM(G26:H26)</f>
        <v>3212037</v>
      </c>
      <c r="J26" s="340">
        <f>[15]Charter!$I$26</f>
        <v>3152360</v>
      </c>
      <c r="K26" s="250">
        <f t="shared" si="4"/>
        <v>1.8930896217437095E-2</v>
      </c>
      <c r="L26" s="335">
        <f>+[14]Charter!$L$26</f>
        <v>1730350</v>
      </c>
      <c r="M26" s="337">
        <f>+[14]Charter!$M$26</f>
        <v>1726520</v>
      </c>
      <c r="N26" s="336">
        <f t="shared" ref="N26" si="25">SUM(L26:M26)</f>
        <v>3456870</v>
      </c>
      <c r="O26" s="340">
        <f>[15]Charter!$N$26</f>
        <v>3374261</v>
      </c>
      <c r="P26" s="249">
        <f t="shared" si="8"/>
        <v>2.4482101414205953E-2</v>
      </c>
    </row>
    <row r="27" spans="1:16" ht="14.1" customHeight="1" x14ac:dyDescent="0.2">
      <c r="A27" s="235" t="s">
        <v>114</v>
      </c>
      <c r="B27" s="335">
        <f>+[16]Charter!$B$27</f>
        <v>142826</v>
      </c>
      <c r="C27" s="337">
        <f>+[16]Charter!$C$27</f>
        <v>132539</v>
      </c>
      <c r="D27" s="336">
        <f t="shared" ref="D27" si="26">SUM(B27:C27)</f>
        <v>275365</v>
      </c>
      <c r="E27" s="340">
        <f>[17]Charter!$D$27</f>
        <v>235974</v>
      </c>
      <c r="F27" s="238">
        <f t="shared" si="1"/>
        <v>0.16692940747709492</v>
      </c>
      <c r="G27" s="335">
        <f t="shared" ref="G27" si="27">L27-B27</f>
        <v>1680484</v>
      </c>
      <c r="H27" s="337">
        <f t="shared" ref="H27" si="28">M27-C27</f>
        <v>1691065</v>
      </c>
      <c r="I27" s="336">
        <f t="shared" ref="I27" si="29">SUM(G27:H27)</f>
        <v>3371549</v>
      </c>
      <c r="J27" s="340">
        <f>[17]Charter!$I$27</f>
        <v>3333064</v>
      </c>
      <c r="K27" s="244">
        <f>(I27-J27)/J27</f>
        <v>1.1546432951782504E-2</v>
      </c>
      <c r="L27" s="335">
        <f>+[16]Charter!$L$27</f>
        <v>1823310</v>
      </c>
      <c r="M27" s="337">
        <f>+[16]Charter!$M$27</f>
        <v>1823604</v>
      </c>
      <c r="N27" s="336">
        <f t="shared" ref="N27" si="30">SUM(L27:M27)</f>
        <v>3646914</v>
      </c>
      <c r="O27" s="340">
        <f>[17]Charter!$N$27</f>
        <v>3569038</v>
      </c>
      <c r="P27" s="238">
        <f t="shared" si="8"/>
        <v>2.1819885358463541E-2</v>
      </c>
    </row>
    <row r="28" spans="1:16" ht="14.1" customHeight="1" x14ac:dyDescent="0.2">
      <c r="A28" s="248" t="s">
        <v>115</v>
      </c>
      <c r="B28" s="335">
        <f>+[18]Charter!$B$28</f>
        <v>131232</v>
      </c>
      <c r="C28" s="337">
        <f>+[18]Charter!$C$28</f>
        <v>123377</v>
      </c>
      <c r="D28" s="336">
        <f t="shared" ref="D28" si="31">SUM(B28:C28)</f>
        <v>254609</v>
      </c>
      <c r="E28" s="340">
        <f>[19]Charter!$D$28</f>
        <v>237011</v>
      </c>
      <c r="F28" s="249">
        <f t="shared" si="1"/>
        <v>7.4249718367501924E-2</v>
      </c>
      <c r="G28" s="335">
        <f t="shared" ref="G28" si="32">L28-B28</f>
        <v>1645548</v>
      </c>
      <c r="H28" s="337">
        <f t="shared" ref="H28" si="33">M28-C28</f>
        <v>1645399</v>
      </c>
      <c r="I28" s="336">
        <f t="shared" ref="I28" si="34">SUM(G28:H28)</f>
        <v>3290947</v>
      </c>
      <c r="J28" s="340">
        <f>[19]Charter!$I$28</f>
        <v>3290700</v>
      </c>
      <c r="K28" s="250">
        <f t="shared" si="4"/>
        <v>7.5060017625429236E-5</v>
      </c>
      <c r="L28" s="335">
        <f>+[18]Charter!$L$28</f>
        <v>1776780</v>
      </c>
      <c r="M28" s="337">
        <f>+[18]Charter!$M$28</f>
        <v>1768776</v>
      </c>
      <c r="N28" s="336">
        <f t="shared" ref="N28" si="35">SUM(L28:M28)</f>
        <v>3545556</v>
      </c>
      <c r="O28" s="340">
        <f>[19]Charter!$N$28</f>
        <v>3527711</v>
      </c>
      <c r="P28" s="249">
        <f t="shared" si="8"/>
        <v>5.0585209502705866E-3</v>
      </c>
    </row>
    <row r="29" spans="1:16" ht="14.1" customHeight="1" x14ac:dyDescent="0.2">
      <c r="A29" s="235" t="s">
        <v>116</v>
      </c>
      <c r="B29" s="335">
        <f>+[20]Charter!$B$29</f>
        <v>105404</v>
      </c>
      <c r="C29" s="337">
        <f>+[20]Charter!$C$29</f>
        <v>101785</v>
      </c>
      <c r="D29" s="336">
        <f t="shared" ref="D29" si="36">SUM(B29:C29)</f>
        <v>207189</v>
      </c>
      <c r="E29" s="340">
        <f>[21]Charter!$D$29</f>
        <v>200482</v>
      </c>
      <c r="F29" s="238">
        <f t="shared" si="1"/>
        <v>3.3454374956355185E-2</v>
      </c>
      <c r="G29" s="335">
        <f t="shared" ref="G29" si="37">L29-B29</f>
        <v>1437447</v>
      </c>
      <c r="H29" s="337">
        <f t="shared" ref="H29" si="38">M29-C29</f>
        <v>1434314</v>
      </c>
      <c r="I29" s="336">
        <f t="shared" ref="I29" si="39">SUM(G29:H29)</f>
        <v>2871761</v>
      </c>
      <c r="J29" s="340">
        <f>[21]Charter!$I$29</f>
        <v>2806358</v>
      </c>
      <c r="K29" s="244">
        <f t="shared" si="4"/>
        <v>2.3305294620287218E-2</v>
      </c>
      <c r="L29" s="335">
        <f>+[20]Charter!$L$29</f>
        <v>1542851</v>
      </c>
      <c r="M29" s="337">
        <f>+[20]Charter!$M$29</f>
        <v>1536099</v>
      </c>
      <c r="N29" s="336">
        <f t="shared" ref="N29" si="40">SUM(L29:M29)</f>
        <v>3078950</v>
      </c>
      <c r="O29" s="340">
        <f>[21]Charter!$N$29</f>
        <v>3006840</v>
      </c>
      <c r="P29" s="238">
        <f t="shared" si="8"/>
        <v>2.3981987734631706E-2</v>
      </c>
    </row>
    <row r="30" spans="1:16" ht="14.1" customHeight="1" x14ac:dyDescent="0.2">
      <c r="A30" s="248" t="s">
        <v>117</v>
      </c>
      <c r="B30" s="335">
        <f>+[22]Charter!$B$30</f>
        <v>99841</v>
      </c>
      <c r="C30" s="337">
        <f>+[22]Charter!$C$30</f>
        <v>86529</v>
      </c>
      <c r="D30" s="336">
        <f t="shared" ref="D30" si="41">SUM(B30:C30)</f>
        <v>186370</v>
      </c>
      <c r="E30" s="340">
        <f>[23]Charter!$D$30</f>
        <v>193439</v>
      </c>
      <c r="F30" s="249">
        <f t="shared" si="1"/>
        <v>-3.6543820015612155E-2</v>
      </c>
      <c r="G30" s="335">
        <f t="shared" ref="G30" si="42">L30-B30</f>
        <v>1489621</v>
      </c>
      <c r="H30" s="337">
        <f t="shared" ref="H30" si="43">M30-C30</f>
        <v>1521830</v>
      </c>
      <c r="I30" s="336">
        <f t="shared" ref="I30" si="44">SUM(G30:H30)</f>
        <v>3011451</v>
      </c>
      <c r="J30" s="340">
        <f>[23]Charter!$I$30</f>
        <v>2966040</v>
      </c>
      <c r="K30" s="250">
        <f t="shared" si="4"/>
        <v>1.5310312740219283E-2</v>
      </c>
      <c r="L30" s="335">
        <f>+[22]Charter!$L$30</f>
        <v>1589462</v>
      </c>
      <c r="M30" s="337">
        <f>+[22]Charter!$M$30</f>
        <v>1608359</v>
      </c>
      <c r="N30" s="336">
        <f t="shared" ref="N30" si="45">SUM(L30:M30)</f>
        <v>3197821</v>
      </c>
      <c r="O30" s="340">
        <f>[23]Charter!$N$30</f>
        <v>3159479</v>
      </c>
      <c r="P30" s="249">
        <f t="shared" si="8"/>
        <v>1.2135545132599394E-2</v>
      </c>
    </row>
    <row r="31" spans="1:16" ht="14.1" customHeight="1" x14ac:dyDescent="0.2">
      <c r="A31" s="235" t="s">
        <v>118</v>
      </c>
      <c r="B31" s="335">
        <f>+[2]Charter!$B$31</f>
        <v>73317</v>
      </c>
      <c r="C31" s="337">
        <f>+[2]Charter!$C$31</f>
        <v>72638</v>
      </c>
      <c r="D31" s="336">
        <f t="shared" ref="D31" si="46">SUM(B31:C31)</f>
        <v>145955</v>
      </c>
      <c r="E31" s="340">
        <f>[24]Charter!$D$31</f>
        <v>192752</v>
      </c>
      <c r="F31" s="238">
        <f t="shared" si="1"/>
        <v>-0.24278347306383333</v>
      </c>
      <c r="G31" s="335">
        <f t="shared" ref="G31" si="47">L31-B31</f>
        <v>1359298</v>
      </c>
      <c r="H31" s="337">
        <f t="shared" ref="H31" si="48">M31-C31</f>
        <v>1365095</v>
      </c>
      <c r="I31" s="336">
        <f t="shared" ref="I31" si="49">SUM(G31:H31)</f>
        <v>2724393</v>
      </c>
      <c r="J31" s="340">
        <f>[24]Charter!$I$31</f>
        <v>2644598</v>
      </c>
      <c r="K31" s="244">
        <f t="shared" si="4"/>
        <v>3.0172827779496165E-2</v>
      </c>
      <c r="L31" s="335">
        <f>+[2]Charter!$L$31</f>
        <v>1432615</v>
      </c>
      <c r="M31" s="337">
        <f>+[2]Charter!$M$31</f>
        <v>1437733</v>
      </c>
      <c r="N31" s="336">
        <f t="shared" ref="N31" si="50">SUM(L31:M31)</f>
        <v>2870348</v>
      </c>
      <c r="O31" s="340">
        <f>[24]Charter!$N$31</f>
        <v>2837350</v>
      </c>
      <c r="P31" s="238">
        <f t="shared" si="8"/>
        <v>1.1629865895994502E-2</v>
      </c>
    </row>
    <row r="32" spans="1:16" ht="14.1" customHeight="1" x14ac:dyDescent="0.2">
      <c r="A32" s="251" t="s">
        <v>119</v>
      </c>
      <c r="B32" s="335">
        <f>'Intl Detail'!$N$4+'Intl Detail'!$N$9</f>
        <v>88581</v>
      </c>
      <c r="C32" s="337">
        <f>'Intl Detail'!$N$5+'Intl Detail'!$N$10</f>
        <v>100505</v>
      </c>
      <c r="D32" s="336">
        <f t="shared" ref="D32" si="51">SUM(B32:C32)</f>
        <v>189086</v>
      </c>
      <c r="E32" s="340">
        <f>[1]Charter!$D$32</f>
        <v>186089</v>
      </c>
      <c r="F32" s="252">
        <f t="shared" si="1"/>
        <v>1.6105196975640688E-2</v>
      </c>
      <c r="G32" s="335">
        <f t="shared" ref="G32" si="52">L32-B32</f>
        <v>1341074</v>
      </c>
      <c r="H32" s="337">
        <f t="shared" ref="H32" si="53">M32-C32</f>
        <v>1356260</v>
      </c>
      <c r="I32" s="336">
        <f t="shared" ref="I32" si="54">SUM(G32:H32)</f>
        <v>2697334</v>
      </c>
      <c r="J32" s="340">
        <f>[1]Charter!$I$32</f>
        <v>2635960</v>
      </c>
      <c r="K32" s="252">
        <f t="shared" si="4"/>
        <v>2.3283357865824975E-2</v>
      </c>
      <c r="L32" s="335">
        <f>'Monthly Summary'!$B$11</f>
        <v>1429655</v>
      </c>
      <c r="M32" s="337">
        <f>'Monthly Summary'!$C$11</f>
        <v>1456765</v>
      </c>
      <c r="N32" s="336">
        <f t="shared" ref="N32" si="55">SUM(L32:M32)</f>
        <v>2886420</v>
      </c>
      <c r="O32" s="340">
        <f>[1]Charter!$N$32</f>
        <v>2822049</v>
      </c>
      <c r="P32" s="252">
        <f t="shared" si="8"/>
        <v>2.2810022079701665E-2</v>
      </c>
    </row>
    <row r="33" spans="1:16" ht="13.5" thickBot="1" x14ac:dyDescent="0.25">
      <c r="A33" s="245" t="s">
        <v>81</v>
      </c>
      <c r="B33" s="254">
        <f>SUM(B21:B32)</f>
        <v>1425747</v>
      </c>
      <c r="C33" s="255">
        <f>SUM(C21:C32)</f>
        <v>1393070</v>
      </c>
      <c r="D33" s="255">
        <f>SUM(D21:D32)</f>
        <v>2818817</v>
      </c>
      <c r="E33" s="256">
        <f>SUM(E21:E32)</f>
        <v>2671844</v>
      </c>
      <c r="F33" s="240">
        <f>(D33-E33)/E33</f>
        <v>5.5008076818856194E-2</v>
      </c>
      <c r="G33" s="257">
        <f>SUM(G21:G32)</f>
        <v>17339656</v>
      </c>
      <c r="H33" s="255">
        <f>SUM(H21:H32)</f>
        <v>17347048</v>
      </c>
      <c r="I33" s="255">
        <f>SUM(I21:I32)</f>
        <v>34686704</v>
      </c>
      <c r="J33" s="258">
        <f>SUM(J21:J32)</f>
        <v>33912291</v>
      </c>
      <c r="K33" s="241">
        <f>(I33-J33)/J33</f>
        <v>2.2835761818627943E-2</v>
      </c>
      <c r="L33" s="257">
        <f>SUM(L21:L32)</f>
        <v>18765403</v>
      </c>
      <c r="M33" s="255">
        <f>SUM(M21:M32)</f>
        <v>18740118</v>
      </c>
      <c r="N33" s="255">
        <f>SUM(N21:N32)</f>
        <v>37505521</v>
      </c>
      <c r="O33" s="256">
        <f>SUM(O21:O32)</f>
        <v>36584135</v>
      </c>
      <c r="P33" s="239">
        <f>(N33-O33)/O33</f>
        <v>2.518539798740629E-2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December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B6" sqref="B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00" t="s">
        <v>213</v>
      </c>
      <c r="C1" s="501"/>
      <c r="D1" s="502"/>
      <c r="E1" s="59"/>
      <c r="F1" s="500" t="s">
        <v>98</v>
      </c>
      <c r="G1" s="501"/>
      <c r="H1" s="501"/>
      <c r="I1" s="501"/>
      <c r="J1" s="501"/>
      <c r="K1" s="501"/>
      <c r="L1" s="502"/>
    </row>
    <row r="2" spans="1:20" s="191" customFormat="1" ht="30.75" customHeight="1" thickBot="1" x14ac:dyDescent="0.25">
      <c r="A2" s="387">
        <v>42705</v>
      </c>
      <c r="B2" s="455" t="s">
        <v>208</v>
      </c>
      <c r="C2" s="8" t="s">
        <v>86</v>
      </c>
      <c r="D2" s="8" t="s">
        <v>87</v>
      </c>
      <c r="E2" s="199"/>
      <c r="F2" s="180" t="s">
        <v>88</v>
      </c>
      <c r="G2" s="474" t="s">
        <v>212</v>
      </c>
      <c r="H2" s="180" t="s">
        <v>170</v>
      </c>
      <c r="I2" s="102" t="s">
        <v>89</v>
      </c>
      <c r="J2" s="8" t="s">
        <v>90</v>
      </c>
      <c r="K2" s="180" t="s">
        <v>91</v>
      </c>
      <c r="L2" s="180" t="s">
        <v>134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57</v>
      </c>
      <c r="B4" s="161">
        <f>[3]DHL!$EW$4</f>
        <v>23</v>
      </c>
      <c r="C4" s="161">
        <f>[3]FedEx!$EW$4+[3]FedEx!$EW$15</f>
        <v>173</v>
      </c>
      <c r="D4" s="161">
        <f>[3]UPS!$EW$4+[3]UPS!$EW$15</f>
        <v>169</v>
      </c>
      <c r="E4" s="192"/>
      <c r="F4" s="118">
        <f>[3]ATI_BAX!$EW$4</f>
        <v>0</v>
      </c>
      <c r="G4" s="118">
        <f>[3]IFL!$EW$4</f>
        <v>36</v>
      </c>
      <c r="H4" s="118">
        <f>'[3]Suburban Air Freight'!$EW$15</f>
        <v>19</v>
      </c>
      <c r="I4" s="118">
        <f>[3]Bemidji!$EW$4</f>
        <v>306</v>
      </c>
      <c r="J4" s="118">
        <f>'[3]CSA Air'!$EW$4</f>
        <v>36</v>
      </c>
      <c r="K4" s="118">
        <f>'[3]Mountain Cargo'!$EW$4</f>
        <v>22</v>
      </c>
      <c r="L4" s="118">
        <f>'[3]Misc Cargo'!$EW$4</f>
        <v>22</v>
      </c>
      <c r="M4" s="204">
        <f>SUM(B4:L4)</f>
        <v>806</v>
      </c>
    </row>
    <row r="5" spans="1:20" x14ac:dyDescent="0.2">
      <c r="A5" s="53" t="s">
        <v>58</v>
      </c>
      <c r="B5" s="198">
        <f>[3]DHL!$EW$5</f>
        <v>23</v>
      </c>
      <c r="C5" s="198">
        <f>[3]FedEx!$EW$5</f>
        <v>173</v>
      </c>
      <c r="D5" s="198">
        <f>[3]UPS!$EW$5+[3]UPS!$EW$16</f>
        <v>169</v>
      </c>
      <c r="E5" s="192"/>
      <c r="F5" s="120">
        <f>[3]ATI_BAX!$EW$5</f>
        <v>0</v>
      </c>
      <c r="G5" s="120">
        <f>[3]IFL!$EW$5</f>
        <v>37</v>
      </c>
      <c r="H5" s="120">
        <f>'[3]Suburban Air Freight'!$EW$16</f>
        <v>19</v>
      </c>
      <c r="I5" s="120">
        <f>[3]Bemidji!$EW$5</f>
        <v>306</v>
      </c>
      <c r="J5" s="120">
        <f>'[3]CSA Air'!$EW$5</f>
        <v>36</v>
      </c>
      <c r="K5" s="120">
        <f>'[3]Mountain Cargo'!$EW$5</f>
        <v>22</v>
      </c>
      <c r="L5" s="120">
        <f>'[3]Misc Cargo'!$EW$5</f>
        <v>22</v>
      </c>
      <c r="M5" s="208">
        <f>SUM(B5:L5)</f>
        <v>807</v>
      </c>
    </row>
    <row r="6" spans="1:20" s="189" customFormat="1" x14ac:dyDescent="0.2">
      <c r="A6" s="205" t="s">
        <v>59</v>
      </c>
      <c r="B6" s="206">
        <f>SUM(B4:B5)</f>
        <v>46</v>
      </c>
      <c r="C6" s="206">
        <f>SUM(C4:C5)</f>
        <v>346</v>
      </c>
      <c r="D6" s="206">
        <f>SUM(D4:D5)</f>
        <v>338</v>
      </c>
      <c r="E6" s="193"/>
      <c r="F6" s="188">
        <f t="shared" ref="F6:L6" si="0">SUM(F4:F5)</f>
        <v>0</v>
      </c>
      <c r="G6" s="188">
        <f t="shared" ref="G6" si="1">SUM(G4:G5)</f>
        <v>73</v>
      </c>
      <c r="H6" s="188">
        <f t="shared" si="0"/>
        <v>38</v>
      </c>
      <c r="I6" s="188">
        <f t="shared" si="0"/>
        <v>612</v>
      </c>
      <c r="J6" s="188">
        <f t="shared" si="0"/>
        <v>72</v>
      </c>
      <c r="K6" s="188">
        <f t="shared" si="0"/>
        <v>44</v>
      </c>
      <c r="L6" s="188">
        <f t="shared" si="0"/>
        <v>44</v>
      </c>
      <c r="M6" s="207">
        <f>SUM(B6:L6)</f>
        <v>1613</v>
      </c>
    </row>
    <row r="7" spans="1:20" x14ac:dyDescent="0.2">
      <c r="A7" s="53"/>
      <c r="B7" s="161"/>
      <c r="C7" s="161"/>
      <c r="D7" s="161"/>
      <c r="E7" s="192"/>
      <c r="F7" s="118"/>
      <c r="G7" s="118"/>
      <c r="H7" s="118"/>
      <c r="I7" s="118"/>
      <c r="J7" s="118"/>
      <c r="K7" s="118"/>
      <c r="L7" s="118"/>
      <c r="M7" s="204"/>
    </row>
    <row r="8" spans="1:20" x14ac:dyDescent="0.2">
      <c r="A8" s="53" t="s">
        <v>60</v>
      </c>
      <c r="B8" s="161"/>
      <c r="C8" s="161"/>
      <c r="D8" s="161"/>
      <c r="E8" s="192"/>
      <c r="F8" s="118"/>
      <c r="G8" s="118"/>
      <c r="H8" s="118"/>
      <c r="I8" s="118"/>
      <c r="J8" s="118"/>
      <c r="K8" s="118"/>
      <c r="L8" s="118">
        <f>'[3]Misc Cargo'!$EW$8</f>
        <v>0</v>
      </c>
      <c r="M8" s="204">
        <f>SUM(B8:L8)</f>
        <v>0</v>
      </c>
    </row>
    <row r="9" spans="1:20" ht="15" x14ac:dyDescent="0.25">
      <c r="A9" s="53" t="s">
        <v>61</v>
      </c>
      <c r="B9" s="198"/>
      <c r="C9" s="198"/>
      <c r="D9" s="198"/>
      <c r="E9" s="192"/>
      <c r="F9" s="120"/>
      <c r="G9" s="120"/>
      <c r="H9" s="120"/>
      <c r="I9" s="120"/>
      <c r="J9" s="120"/>
      <c r="K9" s="120"/>
      <c r="L9" s="120">
        <f>'[3]Misc Cargo'!$EW$9</f>
        <v>0</v>
      </c>
      <c r="M9" s="208">
        <f>SUM(B9:L9)</f>
        <v>0</v>
      </c>
      <c r="P9" s="15"/>
      <c r="Q9" s="330"/>
      <c r="R9" s="330"/>
      <c r="S9" s="330"/>
      <c r="T9" s="330"/>
    </row>
    <row r="10" spans="1:20" s="189" customFormat="1" x14ac:dyDescent="0.2">
      <c r="A10" s="205" t="s">
        <v>62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2">SUM(F8:F9)</f>
        <v>0</v>
      </c>
      <c r="G10" s="188">
        <f t="shared" ref="G10" si="3">SUM(G8:G9)</f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18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46</v>
      </c>
      <c r="C12" s="210">
        <f>C6+C10</f>
        <v>346</v>
      </c>
      <c r="D12" s="210">
        <f>D6+D10</f>
        <v>338</v>
      </c>
      <c r="E12" s="211"/>
      <c r="F12" s="212">
        <f t="shared" ref="F12:L12" si="4">F6+F10</f>
        <v>0</v>
      </c>
      <c r="G12" s="212">
        <f t="shared" ref="G12" si="5">G6+G10</f>
        <v>73</v>
      </c>
      <c r="H12" s="212">
        <f t="shared" si="4"/>
        <v>38</v>
      </c>
      <c r="I12" s="212">
        <f t="shared" si="4"/>
        <v>612</v>
      </c>
      <c r="J12" s="212">
        <f t="shared" si="4"/>
        <v>72</v>
      </c>
      <c r="K12" s="212">
        <f t="shared" si="4"/>
        <v>44</v>
      </c>
      <c r="L12" s="212">
        <f t="shared" si="4"/>
        <v>44</v>
      </c>
      <c r="M12" s="213">
        <f>SUM(B12:L12)</f>
        <v>1613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6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99</v>
      </c>
      <c r="B14" s="215"/>
      <c r="C14" s="215"/>
      <c r="D14" s="215"/>
      <c r="E14" s="216"/>
      <c r="F14" s="175"/>
      <c r="G14" s="175"/>
      <c r="H14" s="175"/>
      <c r="I14" s="81"/>
      <c r="J14" s="81"/>
      <c r="K14" s="81"/>
      <c r="L14" s="81"/>
      <c r="M14" s="217"/>
    </row>
    <row r="15" spans="1:20" x14ac:dyDescent="0.2">
      <c r="A15" s="218" t="s">
        <v>100</v>
      </c>
      <c r="B15" s="161"/>
      <c r="C15" s="161"/>
      <c r="D15" s="161"/>
      <c r="E15" s="192"/>
      <c r="F15" s="118"/>
      <c r="G15" s="118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[3]DHL!$EW$47</f>
        <v>771350</v>
      </c>
      <c r="C16" s="161">
        <f>[3]FedEx!$EW$47</f>
        <v>9274333</v>
      </c>
      <c r="D16" s="161">
        <f>[3]UPS!$EW$47</f>
        <v>7547380</v>
      </c>
      <c r="E16" s="192"/>
      <c r="F16" s="118">
        <f>[3]ATI_BAX!$EW$47</f>
        <v>0</v>
      </c>
      <c r="G16" s="118">
        <f>[3]IFL!$EW$47</f>
        <v>43990</v>
      </c>
      <c r="H16" s="118">
        <f>'[3]Suburban Air Freight'!$EW$47</f>
        <v>19013</v>
      </c>
      <c r="I16" s="497" t="s">
        <v>92</v>
      </c>
      <c r="J16" s="118">
        <f>'[3]CSA Air'!$EW$47</f>
        <v>29363</v>
      </c>
      <c r="K16" s="118">
        <f>'[3]Mountain Cargo'!$EW$47</f>
        <v>52254</v>
      </c>
      <c r="L16" s="118">
        <f>'[3]Misc Cargo'!$EW$47</f>
        <v>46379</v>
      </c>
      <c r="M16" s="204">
        <f>SUM(B16:H16)+SUM(J16:L16)</f>
        <v>17784062</v>
      </c>
    </row>
    <row r="17" spans="1:14" x14ac:dyDescent="0.2">
      <c r="A17" s="53" t="s">
        <v>41</v>
      </c>
      <c r="B17" s="161">
        <f>[3]DHL!$EW$48</f>
        <v>0</v>
      </c>
      <c r="C17" s="161">
        <f>[3]FedEx!$EW$48</f>
        <v>0</v>
      </c>
      <c r="D17" s="161">
        <f>[3]UPS!$EW$48</f>
        <v>2451</v>
      </c>
      <c r="E17" s="192"/>
      <c r="F17" s="118">
        <f>[3]ATI_BAX!$EW$48</f>
        <v>0</v>
      </c>
      <c r="G17" s="118">
        <f>[3]IFL!$EW$48</f>
        <v>0</v>
      </c>
      <c r="H17" s="118">
        <f>'[3]Suburban Air Freight'!$EW$48</f>
        <v>0</v>
      </c>
      <c r="I17" s="498"/>
      <c r="J17" s="118">
        <f>'[3]CSA Air'!$EW$48</f>
        <v>0</v>
      </c>
      <c r="K17" s="118">
        <f>'[3]Mountain Cargo'!$EW$48</f>
        <v>0</v>
      </c>
      <c r="L17" s="118">
        <f>'[3]Misc Cargo'!$EW$48</f>
        <v>0</v>
      </c>
      <c r="M17" s="204">
        <f>SUM(B17:H17)+SUM(J17:L17)</f>
        <v>2451</v>
      </c>
    </row>
    <row r="18" spans="1:14" ht="18" customHeight="1" x14ac:dyDescent="0.2">
      <c r="A18" s="219" t="s">
        <v>42</v>
      </c>
      <c r="B18" s="305">
        <f>SUM(B16:B17)</f>
        <v>771350</v>
      </c>
      <c r="C18" s="305">
        <f>SUM(C16:C17)</f>
        <v>9274333</v>
      </c>
      <c r="D18" s="305">
        <f>SUM(D16:D17)</f>
        <v>7549831</v>
      </c>
      <c r="E18" s="197"/>
      <c r="F18" s="306">
        <f>SUM(F16:F17)</f>
        <v>0</v>
      </c>
      <c r="G18" s="306">
        <f>SUM(G16:G17)</f>
        <v>43990</v>
      </c>
      <c r="H18" s="306">
        <f>SUM(H16:H17)</f>
        <v>19013</v>
      </c>
      <c r="I18" s="498"/>
      <c r="J18" s="306">
        <f>SUM(J16:J17)</f>
        <v>29363</v>
      </c>
      <c r="K18" s="306">
        <f>SUM(K16:K17)</f>
        <v>52254</v>
      </c>
      <c r="L18" s="306">
        <f>SUM(L16:L17)</f>
        <v>46379</v>
      </c>
      <c r="M18" s="220">
        <f>SUM(B18:H18)+SUM(J18:L18)</f>
        <v>17786513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18"/>
      <c r="H19" s="118"/>
      <c r="I19" s="498"/>
      <c r="J19" s="118"/>
      <c r="K19" s="118"/>
      <c r="L19" s="118"/>
      <c r="M19" s="204"/>
    </row>
    <row r="20" spans="1:14" x14ac:dyDescent="0.2">
      <c r="A20" s="221" t="s">
        <v>93</v>
      </c>
      <c r="B20" s="161"/>
      <c r="C20" s="161"/>
      <c r="D20" s="161"/>
      <c r="E20" s="192"/>
      <c r="F20" s="118"/>
      <c r="G20" s="118"/>
      <c r="H20" s="118"/>
      <c r="I20" s="498"/>
      <c r="J20" s="118"/>
      <c r="K20" s="118"/>
      <c r="L20" s="118"/>
      <c r="M20" s="204"/>
    </row>
    <row r="21" spans="1:14" x14ac:dyDescent="0.2">
      <c r="A21" s="53" t="s">
        <v>63</v>
      </c>
      <c r="B21" s="161">
        <f>[3]DHL!$EW$52</f>
        <v>513370</v>
      </c>
      <c r="C21" s="161">
        <f>[3]FedEx!$EW$52</f>
        <v>9720741</v>
      </c>
      <c r="D21" s="161">
        <f>[3]UPS!$EW$52</f>
        <v>6789140</v>
      </c>
      <c r="E21" s="192"/>
      <c r="F21" s="118">
        <f>[3]ATI_BAX!$EW$52</f>
        <v>0</v>
      </c>
      <c r="G21" s="118">
        <f>[3]IFL!$EW$52</f>
        <v>55841</v>
      </c>
      <c r="H21" s="118">
        <f>'[3]Suburban Air Freight'!$EW$52</f>
        <v>72073</v>
      </c>
      <c r="I21" s="498"/>
      <c r="J21" s="118">
        <f>'[3]CSA Air'!$EW$52</f>
        <v>44842</v>
      </c>
      <c r="K21" s="118">
        <f>'[3]Mountain Cargo'!$EW$52</f>
        <v>148864</v>
      </c>
      <c r="L21" s="118">
        <f>'[3]Misc Cargo'!$EW$52</f>
        <v>42157</v>
      </c>
      <c r="M21" s="204">
        <f>SUM(B21:H21)+SUM(J21:L21)</f>
        <v>17387028</v>
      </c>
    </row>
    <row r="22" spans="1:14" x14ac:dyDescent="0.2">
      <c r="A22" s="53" t="s">
        <v>64</v>
      </c>
      <c r="B22" s="161">
        <f>[3]DHL!$EW$53</f>
        <v>0</v>
      </c>
      <c r="C22" s="161">
        <f>[3]FedEx!$EW$53</f>
        <v>0</v>
      </c>
      <c r="D22" s="161">
        <f>[3]UPS!$EW$53</f>
        <v>64195</v>
      </c>
      <c r="E22" s="192"/>
      <c r="F22" s="118">
        <f>[3]ATI_BAX!$EW$53</f>
        <v>0</v>
      </c>
      <c r="G22" s="118">
        <f>[3]IFL!$EW$53</f>
        <v>0</v>
      </c>
      <c r="H22" s="118">
        <f>'[3]Suburban Air Freight'!$EW$53</f>
        <v>0</v>
      </c>
      <c r="I22" s="498"/>
      <c r="J22" s="118">
        <f>'[3]CSA Air'!$EW$53</f>
        <v>0</v>
      </c>
      <c r="K22" s="118">
        <f>'[3]Mountain Cargo'!$EW$53</f>
        <v>0</v>
      </c>
      <c r="L22" s="118">
        <f>'[3]Misc Cargo'!$EW$53</f>
        <v>0</v>
      </c>
      <c r="M22" s="204">
        <f>SUM(B22:H22)+SUM(J22:L22)</f>
        <v>64195</v>
      </c>
    </row>
    <row r="23" spans="1:14" ht="18" customHeight="1" x14ac:dyDescent="0.2">
      <c r="A23" s="219" t="s">
        <v>44</v>
      </c>
      <c r="B23" s="305">
        <f>SUM(B21:B22)</f>
        <v>513370</v>
      </c>
      <c r="C23" s="305">
        <f>SUM(C21:C22)</f>
        <v>9720741</v>
      </c>
      <c r="D23" s="305">
        <f>SUM(D21:D22)</f>
        <v>6853335</v>
      </c>
      <c r="E23" s="197"/>
      <c r="F23" s="306">
        <f>SUM(F21:F22)</f>
        <v>0</v>
      </c>
      <c r="G23" s="306">
        <f>SUM(G21:G22)</f>
        <v>55841</v>
      </c>
      <c r="H23" s="306">
        <f>SUM(H21:H22)</f>
        <v>72073</v>
      </c>
      <c r="I23" s="498"/>
      <c r="J23" s="306">
        <f>SUM(J21:J22)</f>
        <v>44842</v>
      </c>
      <c r="K23" s="306">
        <f>SUM(K21:K22)</f>
        <v>148864</v>
      </c>
      <c r="L23" s="306">
        <f>SUM(L21:L22)</f>
        <v>42157</v>
      </c>
      <c r="M23" s="220">
        <f>SUM(B23:H23)+SUM(J23:L23)</f>
        <v>17451223</v>
      </c>
    </row>
    <row r="24" spans="1:14" x14ac:dyDescent="0.2">
      <c r="A24" s="53"/>
      <c r="B24" s="161"/>
      <c r="C24" s="161"/>
      <c r="D24" s="161"/>
      <c r="E24" s="192"/>
      <c r="F24" s="118"/>
      <c r="G24" s="118"/>
      <c r="H24" s="118"/>
      <c r="I24" s="498"/>
      <c r="J24" s="118"/>
      <c r="K24" s="118"/>
      <c r="L24" s="118"/>
      <c r="M24" s="204"/>
    </row>
    <row r="25" spans="1:14" x14ac:dyDescent="0.2">
      <c r="A25" s="221" t="s">
        <v>101</v>
      </c>
      <c r="B25" s="161"/>
      <c r="C25" s="161"/>
      <c r="D25" s="161"/>
      <c r="E25" s="192"/>
      <c r="F25" s="118"/>
      <c r="G25" s="118"/>
      <c r="H25" s="118"/>
      <c r="I25" s="498"/>
      <c r="J25" s="118"/>
      <c r="K25" s="118"/>
      <c r="L25" s="118"/>
      <c r="M25" s="204"/>
    </row>
    <row r="26" spans="1:14" x14ac:dyDescent="0.2">
      <c r="A26" s="53" t="s">
        <v>63</v>
      </c>
      <c r="B26" s="161">
        <f>[3]DHL!$EW$57</f>
        <v>0</v>
      </c>
      <c r="C26" s="161">
        <f>[3]FedEx!$EW$57</f>
        <v>0</v>
      </c>
      <c r="D26" s="161">
        <f>[3]UPS!$EW$57</f>
        <v>0</v>
      </c>
      <c r="E26" s="192"/>
      <c r="F26" s="118">
        <f>[3]ATI_BAX!$EW$57</f>
        <v>0</v>
      </c>
      <c r="G26" s="118">
        <f>[3]IFL!$EW$57</f>
        <v>0</v>
      </c>
      <c r="H26" s="118">
        <f>'[3]Suburban Air Freight'!$EW$57</f>
        <v>0</v>
      </c>
      <c r="I26" s="498"/>
      <c r="J26" s="118">
        <f>'[3]CSA Air'!$EW$57</f>
        <v>0</v>
      </c>
      <c r="K26" s="118">
        <f>'[3]Mountain Cargo'!$EW$57</f>
        <v>0</v>
      </c>
      <c r="L26" s="118">
        <f>'[3]Misc Cargo'!$EW$57</f>
        <v>0</v>
      </c>
      <c r="M26" s="204">
        <f>SUM(B26:H26)+SUM(J26:L26)</f>
        <v>0</v>
      </c>
    </row>
    <row r="27" spans="1:14" x14ac:dyDescent="0.2">
      <c r="A27" s="53" t="s">
        <v>64</v>
      </c>
      <c r="B27" s="161">
        <f>[3]DHL!$EW$58</f>
        <v>0</v>
      </c>
      <c r="C27" s="161">
        <f>[3]FedEx!$EW$58</f>
        <v>0</v>
      </c>
      <c r="D27" s="161">
        <f>[3]UPS!$EW$58</f>
        <v>0</v>
      </c>
      <c r="E27" s="192"/>
      <c r="F27" s="118">
        <f>[3]ATI_BAX!$EW$58</f>
        <v>0</v>
      </c>
      <c r="G27" s="118">
        <f>[3]IFL!$EW$58</f>
        <v>0</v>
      </c>
      <c r="H27" s="118">
        <f>'[3]Suburban Air Freight'!$EW$58</f>
        <v>0</v>
      </c>
      <c r="I27" s="498"/>
      <c r="J27" s="118">
        <f>'[3]CSA Air'!$EW$58</f>
        <v>0</v>
      </c>
      <c r="K27" s="118">
        <f>'[3]Mountain Cargo'!$EW$58</f>
        <v>0</v>
      </c>
      <c r="L27" s="118">
        <f>'[3]Misc Cargo'!$EW$58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5">
        <f>SUM(B26:B27)</f>
        <v>0</v>
      </c>
      <c r="C28" s="305">
        <f>SUM(C26:C27)</f>
        <v>0</v>
      </c>
      <c r="D28" s="305">
        <f>SUM(D26:D27)</f>
        <v>0</v>
      </c>
      <c r="E28" s="197"/>
      <c r="F28" s="306">
        <f>SUM(F26:F27)</f>
        <v>0</v>
      </c>
      <c r="G28" s="306">
        <f>SUM(G26:G27)</f>
        <v>0</v>
      </c>
      <c r="H28" s="306">
        <f>SUM(H26:H27)</f>
        <v>0</v>
      </c>
      <c r="I28" s="498"/>
      <c r="J28" s="306">
        <f>SUM(J26:J27)</f>
        <v>0</v>
      </c>
      <c r="K28" s="306">
        <f>SUM(K26:K27)</f>
        <v>0</v>
      </c>
      <c r="L28" s="306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18"/>
      <c r="H29" s="118"/>
      <c r="I29" s="498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18"/>
      <c r="H30" s="118"/>
      <c r="I30" s="498"/>
      <c r="J30" s="118"/>
      <c r="K30" s="118"/>
      <c r="L30" s="118"/>
      <c r="M30" s="204"/>
    </row>
    <row r="31" spans="1:14" x14ac:dyDescent="0.2">
      <c r="A31" s="53" t="s">
        <v>94</v>
      </c>
      <c r="B31" s="161">
        <f t="shared" ref="B31:D33" si="6">B26+B21+B16</f>
        <v>1284720</v>
      </c>
      <c r="C31" s="161">
        <f t="shared" si="6"/>
        <v>18995074</v>
      </c>
      <c r="D31" s="161">
        <f t="shared" si="6"/>
        <v>14336520</v>
      </c>
      <c r="E31" s="192"/>
      <c r="F31" s="118">
        <f t="shared" ref="F31:H33" si="7">F26+F21+F16</f>
        <v>0</v>
      </c>
      <c r="G31" s="118">
        <f t="shared" ref="G31" si="8">G26+G21+G16</f>
        <v>99831</v>
      </c>
      <c r="H31" s="118">
        <f t="shared" si="7"/>
        <v>91086</v>
      </c>
      <c r="I31" s="498"/>
      <c r="J31" s="118">
        <f t="shared" ref="J31:L33" si="9">J26+J21+J16</f>
        <v>74205</v>
      </c>
      <c r="K31" s="118">
        <f t="shared" si="9"/>
        <v>201118</v>
      </c>
      <c r="L31" s="118">
        <f>L26+L21+L16</f>
        <v>88536</v>
      </c>
      <c r="M31" s="204">
        <f>SUM(B31:H31)+SUM(J31:L31)</f>
        <v>35171090</v>
      </c>
    </row>
    <row r="32" spans="1:14" x14ac:dyDescent="0.2">
      <c r="A32" s="53" t="s">
        <v>64</v>
      </c>
      <c r="B32" s="161">
        <f t="shared" si="6"/>
        <v>0</v>
      </c>
      <c r="C32" s="161">
        <f t="shared" si="6"/>
        <v>0</v>
      </c>
      <c r="D32" s="161">
        <f t="shared" si="6"/>
        <v>66646</v>
      </c>
      <c r="E32" s="192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499"/>
      <c r="J32" s="118">
        <f t="shared" si="9"/>
        <v>0</v>
      </c>
      <c r="K32" s="118">
        <f t="shared" si="9"/>
        <v>0</v>
      </c>
      <c r="L32" s="118">
        <f>L27+L22+L17</f>
        <v>0</v>
      </c>
      <c r="M32" s="208">
        <f>SUM(B32:H32)+SUM(J32:L32)</f>
        <v>66646</v>
      </c>
    </row>
    <row r="33" spans="1:13" ht="18" customHeight="1" thickBot="1" x14ac:dyDescent="0.25">
      <c r="A33" s="209" t="s">
        <v>49</v>
      </c>
      <c r="B33" s="210">
        <f t="shared" si="6"/>
        <v>1284720</v>
      </c>
      <c r="C33" s="210">
        <f t="shared" si="6"/>
        <v>18995074</v>
      </c>
      <c r="D33" s="210">
        <f t="shared" si="6"/>
        <v>14403166</v>
      </c>
      <c r="E33" s="223"/>
      <c r="F33" s="212">
        <f t="shared" si="7"/>
        <v>0</v>
      </c>
      <c r="G33" s="212">
        <f t="shared" ref="G33" si="11">G28+G23+G18</f>
        <v>99831</v>
      </c>
      <c r="H33" s="212">
        <f t="shared" si="7"/>
        <v>91086</v>
      </c>
      <c r="I33" s="307">
        <f>I28+I23+I18</f>
        <v>0</v>
      </c>
      <c r="J33" s="212">
        <f t="shared" si="9"/>
        <v>74205</v>
      </c>
      <c r="K33" s="212">
        <f t="shared" si="9"/>
        <v>201118</v>
      </c>
      <c r="L33" s="212">
        <f t="shared" si="9"/>
        <v>88536</v>
      </c>
      <c r="M33" s="213">
        <f>SUM(B33:H33)+SUM(J33:L33)</f>
        <v>35237736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December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H16" sqref="H16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7">
        <v>42705</v>
      </c>
      <c r="B2" s="77" t="s">
        <v>67</v>
      </c>
      <c r="C2" s="77" t="s">
        <v>68</v>
      </c>
      <c r="D2" s="77" t="s">
        <v>69</v>
      </c>
      <c r="E2" s="319" t="s">
        <v>79</v>
      </c>
      <c r="F2" s="78" t="s">
        <v>187</v>
      </c>
      <c r="G2" s="78" t="s">
        <v>176</v>
      </c>
      <c r="H2" s="79" t="s">
        <v>70</v>
      </c>
      <c r="I2" s="80" t="s">
        <v>184</v>
      </c>
      <c r="J2" s="80" t="s">
        <v>175</v>
      </c>
      <c r="K2" s="90" t="s">
        <v>2</v>
      </c>
    </row>
    <row r="3" spans="1:18" ht="20.25" customHeight="1" x14ac:dyDescent="0.2">
      <c r="A3" s="87" t="s">
        <v>71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72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73</v>
      </c>
      <c r="B5" s="169">
        <f>'Major Airline Stats'!I28</f>
        <v>4489129</v>
      </c>
      <c r="C5" s="118">
        <f>'Regional Major'!L25</f>
        <v>1851</v>
      </c>
      <c r="D5" s="118">
        <f>Cargo!M16</f>
        <v>17784062</v>
      </c>
      <c r="E5" s="118">
        <f>SUM(B5:D5)</f>
        <v>22275042</v>
      </c>
      <c r="F5" s="118">
        <f>E5*0.00045359237</f>
        <v>10103.78909262954</v>
      </c>
      <c r="G5" s="146">
        <f>'[1]Cargo Summary'!F5</f>
        <v>8184.4125253821694</v>
      </c>
      <c r="H5" s="98">
        <f>(F5-G5)/G5</f>
        <v>0.23451610745363133</v>
      </c>
      <c r="I5" s="146">
        <f>+F5+'[2]Cargo Summary'!I5</f>
        <v>91896.900173374452</v>
      </c>
      <c r="J5" s="146">
        <f>'[1]Cargo Summary'!I5</f>
        <v>80763.199213971136</v>
      </c>
      <c r="K5" s="85">
        <f>(I5-J5)/J5</f>
        <v>0.13785611600038386</v>
      </c>
      <c r="M5" s="35"/>
    </row>
    <row r="6" spans="1:18" x14ac:dyDescent="0.2">
      <c r="A6" s="62" t="s">
        <v>18</v>
      </c>
      <c r="B6" s="169">
        <f>'Major Airline Stats'!I29</f>
        <v>2095820</v>
      </c>
      <c r="C6" s="118">
        <f>'Regional Major'!L26</f>
        <v>0</v>
      </c>
      <c r="D6" s="118">
        <f>Cargo!M17</f>
        <v>2451</v>
      </c>
      <c r="E6" s="118">
        <f>SUM(B6:D6)</f>
        <v>2098271</v>
      </c>
      <c r="F6" s="118">
        <f>E6*0.00045359237</f>
        <v>951.75971579226996</v>
      </c>
      <c r="G6" s="146">
        <f>'[1]Cargo Summary'!F6</f>
        <v>830.80658877755002</v>
      </c>
      <c r="H6" s="37">
        <f>(F6-G6)/G6</f>
        <v>0.14558518029170969</v>
      </c>
      <c r="I6" s="146">
        <f>+F6+'[2]Cargo Summary'!I6</f>
        <v>6361.6400407969841</v>
      </c>
      <c r="J6" s="146">
        <f>'[1]Cargo Summary'!I6</f>
        <v>7814.6104595227898</v>
      </c>
      <c r="K6" s="85">
        <f>(I6-J6)/J6</f>
        <v>-0.18592998668989746</v>
      </c>
      <c r="M6" s="35"/>
    </row>
    <row r="7" spans="1:18" ht="18" customHeight="1" thickBot="1" x14ac:dyDescent="0.25">
      <c r="A7" s="73" t="s">
        <v>76</v>
      </c>
      <c r="B7" s="171">
        <f>SUM(B5:B6)</f>
        <v>6584949</v>
      </c>
      <c r="C7" s="133">
        <f t="shared" ref="C7:J7" si="0">SUM(C5:C6)</f>
        <v>1851</v>
      </c>
      <c r="D7" s="133">
        <f t="shared" si="0"/>
        <v>17786513</v>
      </c>
      <c r="E7" s="133">
        <f t="shared" si="0"/>
        <v>24373313</v>
      </c>
      <c r="F7" s="133">
        <f t="shared" si="0"/>
        <v>11055.54880842181</v>
      </c>
      <c r="G7" s="133">
        <f t="shared" si="0"/>
        <v>9015.2191141597195</v>
      </c>
      <c r="H7" s="44">
        <f>(F7-G7)/G7</f>
        <v>0.22632058837676555</v>
      </c>
      <c r="I7" s="133">
        <f t="shared" si="0"/>
        <v>98258.540214171429</v>
      </c>
      <c r="J7" s="133">
        <f t="shared" si="0"/>
        <v>88577.809673493932</v>
      </c>
      <c r="K7" s="321">
        <f>(I7-J7)/J7</f>
        <v>0.10929069680500764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74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73</v>
      </c>
      <c r="B10" s="169">
        <f>'Major Airline Stats'!I33</f>
        <v>2577259</v>
      </c>
      <c r="C10" s="118">
        <f>'Regional Major'!L30</f>
        <v>29</v>
      </c>
      <c r="D10" s="118">
        <f>Cargo!M21</f>
        <v>17387028</v>
      </c>
      <c r="E10" s="118">
        <f>SUM(B10:D10)</f>
        <v>19964316</v>
      </c>
      <c r="F10" s="118">
        <f>E10*0.00045359237</f>
        <v>9055.6614098689206</v>
      </c>
      <c r="G10" s="146">
        <f>'[1]Cargo Summary'!F10</f>
        <v>8601.1863491169006</v>
      </c>
      <c r="H10" s="37">
        <f>(F10-G10)/G10</f>
        <v>5.2838648333515266E-2</v>
      </c>
      <c r="I10" s="146">
        <f>+F10+'[2]Cargo Summary'!I10</f>
        <v>81649.420275406825</v>
      </c>
      <c r="J10" s="146">
        <f>'[1]Cargo Summary'!I10</f>
        <v>86898.506847101191</v>
      </c>
      <c r="K10" s="85">
        <f>(I10-J10)/J10</f>
        <v>-6.0404795918187495E-2</v>
      </c>
      <c r="M10" s="35"/>
    </row>
    <row r="11" spans="1:18" x14ac:dyDescent="0.2">
      <c r="A11" s="62" t="s">
        <v>18</v>
      </c>
      <c r="B11" s="169">
        <f>'Major Airline Stats'!I34</f>
        <v>2644995</v>
      </c>
      <c r="C11" s="118">
        <f>'Regional Major'!L31</f>
        <v>0</v>
      </c>
      <c r="D11" s="118">
        <f>Cargo!M22</f>
        <v>64195</v>
      </c>
      <c r="E11" s="118">
        <f>SUM(B11:D11)</f>
        <v>2709190</v>
      </c>
      <c r="F11" s="118">
        <f>E11*0.00045359237</f>
        <v>1228.8679128803001</v>
      </c>
      <c r="G11" s="146">
        <f>'[1]Cargo Summary'!F11</f>
        <v>1310.5208897734799</v>
      </c>
      <c r="H11" s="35">
        <f>(F11-G11)/G11</f>
        <v>-6.2305742342873539E-2</v>
      </c>
      <c r="I11" s="146">
        <f>+F11+'[2]Cargo Summary'!I11</f>
        <v>8535.3279121394899</v>
      </c>
      <c r="J11" s="146">
        <f>'[1]Cargo Summary'!I11</f>
        <v>7619.3339547217201</v>
      </c>
      <c r="K11" s="85">
        <f>(I11-J11)/J11</f>
        <v>0.12021968886796541</v>
      </c>
      <c r="M11" s="35"/>
    </row>
    <row r="12" spans="1:18" ht="18" customHeight="1" thickBot="1" x14ac:dyDescent="0.25">
      <c r="A12" s="73" t="s">
        <v>77</v>
      </c>
      <c r="B12" s="171">
        <f>SUM(B10:B11)</f>
        <v>5222254</v>
      </c>
      <c r="C12" s="133">
        <f t="shared" ref="C12:J12" si="1">SUM(C10:C11)</f>
        <v>29</v>
      </c>
      <c r="D12" s="133">
        <f t="shared" si="1"/>
        <v>17451223</v>
      </c>
      <c r="E12" s="133">
        <f t="shared" si="1"/>
        <v>22673506</v>
      </c>
      <c r="F12" s="133">
        <f t="shared" si="1"/>
        <v>10284.52932274922</v>
      </c>
      <c r="G12" s="133">
        <f t="shared" si="1"/>
        <v>9911.7072388903798</v>
      </c>
      <c r="H12" s="44">
        <f>(F12-G12)/G12</f>
        <v>3.7614315563720989E-2</v>
      </c>
      <c r="I12" s="133">
        <f t="shared" si="1"/>
        <v>90184.748187546313</v>
      </c>
      <c r="J12" s="133">
        <f t="shared" si="1"/>
        <v>94517.840801822909</v>
      </c>
      <c r="K12" s="321">
        <f>(I12-J12)/J12</f>
        <v>-4.5844176903721938E-2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75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73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31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78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1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73</v>
      </c>
      <c r="B20" s="169">
        <f t="shared" ref="B20:D21" si="3">B15+B10+B5</f>
        <v>7066388</v>
      </c>
      <c r="C20" s="118">
        <f t="shared" si="3"/>
        <v>1880</v>
      </c>
      <c r="D20" s="118">
        <f t="shared" si="3"/>
        <v>35171090</v>
      </c>
      <c r="E20" s="118">
        <f>SUM(B20:D20)</f>
        <v>42239358</v>
      </c>
      <c r="F20" s="118">
        <f>E20*0.00045359237</f>
        <v>19159.450502498461</v>
      </c>
      <c r="G20" s="146">
        <f>'[1]Cargo Summary'!F20</f>
        <v>16785.598874499068</v>
      </c>
      <c r="H20" s="37">
        <f>(F20-G20)/G20</f>
        <v>0.14142192040617529</v>
      </c>
      <c r="I20" s="146">
        <f>+I5+I10+I15</f>
        <v>173546.32044878128</v>
      </c>
      <c r="J20" s="146">
        <f>+J5+J10+J15</f>
        <v>167661.70606107233</v>
      </c>
      <c r="K20" s="85">
        <f>(I20-J20)/J20</f>
        <v>3.509814212176407E-2</v>
      </c>
      <c r="M20" s="35"/>
    </row>
    <row r="21" spans="1:13" x14ac:dyDescent="0.2">
      <c r="A21" s="62" t="s">
        <v>18</v>
      </c>
      <c r="B21" s="169">
        <f t="shared" si="3"/>
        <v>4740815</v>
      </c>
      <c r="C21" s="120">
        <f t="shared" si="3"/>
        <v>0</v>
      </c>
      <c r="D21" s="120">
        <f t="shared" si="3"/>
        <v>66646</v>
      </c>
      <c r="E21" s="118">
        <f>SUM(B21:D21)</f>
        <v>4807461</v>
      </c>
      <c r="F21" s="118">
        <f>E21*0.00045359237</f>
        <v>2180.6276286725702</v>
      </c>
      <c r="G21" s="146">
        <f>'[1]Cargo Summary'!F21</f>
        <v>2141.3274785510298</v>
      </c>
      <c r="H21" s="37">
        <f>(F21-G21)/G21</f>
        <v>1.8353171345904341E-2</v>
      </c>
      <c r="I21" s="146">
        <f>+I6+I11+I16</f>
        <v>14896.967952936473</v>
      </c>
      <c r="J21" s="146">
        <f>+J6+J11+J16</f>
        <v>15433.94441424451</v>
      </c>
      <c r="K21" s="85">
        <f>(I21-J21)/J21</f>
        <v>-3.479191364797473E-2</v>
      </c>
      <c r="M21" s="35"/>
    </row>
    <row r="22" spans="1:13" ht="18" customHeight="1" thickBot="1" x14ac:dyDescent="0.25">
      <c r="A22" s="88" t="s">
        <v>66</v>
      </c>
      <c r="B22" s="172">
        <f>SUM(B20:B21)</f>
        <v>11807203</v>
      </c>
      <c r="C22" s="173">
        <f t="shared" ref="C22:J22" si="4">SUM(C20:C21)</f>
        <v>1880</v>
      </c>
      <c r="D22" s="173">
        <f t="shared" si="4"/>
        <v>35237736</v>
      </c>
      <c r="E22" s="173">
        <f t="shared" si="4"/>
        <v>47046819</v>
      </c>
      <c r="F22" s="173">
        <f t="shared" si="4"/>
        <v>21340.078131171031</v>
      </c>
      <c r="G22" s="173">
        <f t="shared" si="4"/>
        <v>18926.926353050098</v>
      </c>
      <c r="H22" s="327">
        <f>(F22-G22)/G22</f>
        <v>0.12749834458631212</v>
      </c>
      <c r="I22" s="173">
        <f t="shared" si="4"/>
        <v>188443.28840171776</v>
      </c>
      <c r="J22" s="173">
        <f t="shared" si="4"/>
        <v>183095.65047531683</v>
      </c>
      <c r="K22" s="328">
        <f>(I22-J22)/J22</f>
        <v>2.920679935606579E-2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December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topLeftCell="A10" zoomScaleNormal="100" zoomScaleSheetLayoutView="100" workbookViewId="0">
      <selection activeCell="G34" sqref="G3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87">
        <v>42705</v>
      </c>
      <c r="B1" s="12" t="s">
        <v>20</v>
      </c>
      <c r="C1" s="276" t="s">
        <v>205</v>
      </c>
      <c r="D1" s="436" t="s">
        <v>166</v>
      </c>
      <c r="E1" s="276" t="s">
        <v>181</v>
      </c>
      <c r="F1" s="276" t="s">
        <v>182</v>
      </c>
      <c r="G1" s="276" t="s">
        <v>52</v>
      </c>
      <c r="H1" s="276" t="s">
        <v>120</v>
      </c>
      <c r="I1" s="479" t="s">
        <v>207</v>
      </c>
      <c r="J1" s="479" t="s">
        <v>211</v>
      </c>
      <c r="K1" s="276" t="s">
        <v>179</v>
      </c>
      <c r="L1" s="276" t="s">
        <v>165</v>
      </c>
      <c r="M1" s="276" t="s">
        <v>147</v>
      </c>
      <c r="N1" s="276" t="s">
        <v>24</v>
      </c>
    </row>
    <row r="2" spans="1:14" ht="15" x14ac:dyDescent="0.25">
      <c r="A2" s="503" t="s">
        <v>148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5"/>
    </row>
    <row r="3" spans="1:14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5"/>
    </row>
    <row r="4" spans="1:14" x14ac:dyDescent="0.2">
      <c r="A4" s="62" t="s">
        <v>33</v>
      </c>
      <c r="B4" s="21">
        <f>[3]Delta!$EW$32</f>
        <v>48852</v>
      </c>
      <c r="C4" s="21">
        <f>'[3]Atlantic Southeast'!$EW$32</f>
        <v>760</v>
      </c>
      <c r="D4" s="21">
        <f>[3]Pinnacle!$EW$32</f>
        <v>10035</v>
      </c>
      <c r="E4" s="21">
        <f>[3]Compass!$EW$32</f>
        <v>6510</v>
      </c>
      <c r="F4" s="21">
        <f>'[3]Sky West'!$EW$32</f>
        <v>5654</v>
      </c>
      <c r="G4" s="21">
        <f>'[3]Sun Country'!$EW$32</f>
        <v>8846</v>
      </c>
      <c r="H4" s="21">
        <f>[3]Icelandair!$EW$32</f>
        <v>2171</v>
      </c>
      <c r="I4" s="21">
        <f>'[3]Jazz Air'!$EW$32</f>
        <v>0</v>
      </c>
      <c r="J4" s="21">
        <f>'[3]Air Georgian'!$EW$32</f>
        <v>3340</v>
      </c>
      <c r="K4" s="21">
        <f>[3]Condor!$EW$32</f>
        <v>0</v>
      </c>
      <c r="L4" s="21">
        <f>'[3]Air France'!$EW$32</f>
        <v>0</v>
      </c>
      <c r="M4" s="21">
        <f>'[3]Charter Misc'!$EW$32+[3]Ryan!$EW$32+[3]Omni!$EW$32</f>
        <v>201</v>
      </c>
      <c r="N4" s="285">
        <f>SUM(B4:M4)</f>
        <v>86369</v>
      </c>
    </row>
    <row r="5" spans="1:14" x14ac:dyDescent="0.2">
      <c r="A5" s="62" t="s">
        <v>34</v>
      </c>
      <c r="B5" s="14">
        <f>[3]Delta!$EW$33</f>
        <v>56853</v>
      </c>
      <c r="C5" s="14">
        <f>'[3]Atlantic Southeast'!$EW$33</f>
        <v>884</v>
      </c>
      <c r="D5" s="14">
        <f>[3]Pinnacle!$EW$33</f>
        <v>9671</v>
      </c>
      <c r="E5" s="14">
        <f>[3]Compass!$EW$33</f>
        <v>6412</v>
      </c>
      <c r="F5" s="14">
        <f>'[3]Sky West'!$EW$33</f>
        <v>5859</v>
      </c>
      <c r="G5" s="14">
        <f>'[3]Sun Country'!$EW$33</f>
        <v>12803</v>
      </c>
      <c r="H5" s="14">
        <f>[3]Icelandair!$EW$33</f>
        <v>2302</v>
      </c>
      <c r="I5" s="14">
        <f>'[3]Jazz Air'!$EW$33</f>
        <v>0</v>
      </c>
      <c r="J5" s="14">
        <f>'[3]Air Georgian'!$EW$33</f>
        <v>3216</v>
      </c>
      <c r="K5" s="14">
        <f>[3]Condor!$EW$33</f>
        <v>0</v>
      </c>
      <c r="L5" s="14">
        <f>'[3]Air France'!$EW$33</f>
        <v>0</v>
      </c>
      <c r="M5" s="14">
        <f>'[3]Charter Misc'!$EW$33++[3]Ryan!$EW$33+[3]Omni!$EW$33</f>
        <v>201</v>
      </c>
      <c r="N5" s="286">
        <f>SUM(B5:M5)</f>
        <v>98201</v>
      </c>
    </row>
    <row r="6" spans="1:14" ht="15" x14ac:dyDescent="0.25">
      <c r="A6" s="60" t="s">
        <v>7</v>
      </c>
      <c r="B6" s="34">
        <f t="shared" ref="B6:M6" si="0">SUM(B4:B5)</f>
        <v>105705</v>
      </c>
      <c r="C6" s="34">
        <f t="shared" si="0"/>
        <v>1644</v>
      </c>
      <c r="D6" s="34">
        <f t="shared" si="0"/>
        <v>19706</v>
      </c>
      <c r="E6" s="34">
        <f t="shared" si="0"/>
        <v>12922</v>
      </c>
      <c r="F6" s="34">
        <f t="shared" si="0"/>
        <v>11513</v>
      </c>
      <c r="G6" s="34">
        <f t="shared" si="0"/>
        <v>21649</v>
      </c>
      <c r="H6" s="34">
        <f t="shared" si="0"/>
        <v>4473</v>
      </c>
      <c r="I6" s="34">
        <f t="shared" si="0"/>
        <v>0</v>
      </c>
      <c r="J6" s="34">
        <f t="shared" ref="J6" si="1">SUM(J4:J5)</f>
        <v>6556</v>
      </c>
      <c r="K6" s="34">
        <f t="shared" ref="K6" si="2">SUM(K4:K5)</f>
        <v>0</v>
      </c>
      <c r="L6" s="34">
        <f t="shared" si="0"/>
        <v>0</v>
      </c>
      <c r="M6" s="34">
        <f t="shared" si="0"/>
        <v>402</v>
      </c>
      <c r="N6" s="287">
        <f>SUM(B6:M6)</f>
        <v>184570</v>
      </c>
    </row>
    <row r="7" spans="1:14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5"/>
    </row>
    <row r="8" spans="1:14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5">
        <f>SUM(B8:M8)</f>
        <v>0</v>
      </c>
    </row>
    <row r="9" spans="1:14" x14ac:dyDescent="0.2">
      <c r="A9" s="62" t="s">
        <v>33</v>
      </c>
      <c r="B9" s="21">
        <f>[3]Delta!$EW$37</f>
        <v>1667</v>
      </c>
      <c r="C9" s="21">
        <f>'[3]Atlantic Southeast'!$EW$37</f>
        <v>14</v>
      </c>
      <c r="D9" s="21">
        <f>[3]Pinnacle!$EW$37</f>
        <v>136</v>
      </c>
      <c r="E9" s="21">
        <f>[3]Compass!$EW$37</f>
        <v>78</v>
      </c>
      <c r="F9" s="21">
        <f>'[3]Sky West'!$EW$37</f>
        <v>71</v>
      </c>
      <c r="G9" s="21">
        <f>'[3]Sun Country'!$EW$37</f>
        <v>115</v>
      </c>
      <c r="H9" s="21">
        <f>[3]Icelandair!$EW$37</f>
        <v>131</v>
      </c>
      <c r="I9" s="21">
        <f>'[3]Jazz Air'!$EW$37</f>
        <v>0</v>
      </c>
      <c r="J9" s="21">
        <f>'[3]Air Georgian'!$EW$37</f>
        <v>0</v>
      </c>
      <c r="K9" s="21">
        <f>[3]Condor!$EW$37</f>
        <v>0</v>
      </c>
      <c r="L9" s="21">
        <f>'[3]Air France'!$EW$37</f>
        <v>0</v>
      </c>
      <c r="M9" s="21">
        <f>'[3]Charter Misc'!$EW$37+[3]Ryan!$EW$37+[3]Omni!$EW$37</f>
        <v>0</v>
      </c>
      <c r="N9" s="285">
        <f>SUM(B9:M9)</f>
        <v>2212</v>
      </c>
    </row>
    <row r="10" spans="1:14" x14ac:dyDescent="0.2">
      <c r="A10" s="62" t="s">
        <v>36</v>
      </c>
      <c r="B10" s="14">
        <f>[3]Delta!$EW$38</f>
        <v>1737</v>
      </c>
      <c r="C10" s="14">
        <f>'[3]Atlantic Southeast'!$EW$38</f>
        <v>12</v>
      </c>
      <c r="D10" s="14">
        <f>[3]Pinnacle!$EW$38</f>
        <v>151</v>
      </c>
      <c r="E10" s="14">
        <f>[3]Compass!$EW$38</f>
        <v>68</v>
      </c>
      <c r="F10" s="14">
        <f>'[3]Sky West'!$EW$38</f>
        <v>78</v>
      </c>
      <c r="G10" s="14">
        <f>'[3]Sun Country'!$EW$38</f>
        <v>126</v>
      </c>
      <c r="H10" s="14">
        <f>[3]Icelandair!$EW$38</f>
        <v>132</v>
      </c>
      <c r="I10" s="14">
        <f>'[3]Jazz Air'!$EW$38</f>
        <v>0</v>
      </c>
      <c r="J10" s="14">
        <f>'[3]Air Georgian'!$EW$38</f>
        <v>0</v>
      </c>
      <c r="K10" s="14">
        <f>[3]Condor!$EW$38</f>
        <v>0</v>
      </c>
      <c r="L10" s="14">
        <f>'[3]Air France'!$EW$38</f>
        <v>0</v>
      </c>
      <c r="M10" s="14">
        <f>'[3]Charter Misc'!$EW$38+[3]Ryan!$EW$38+[3]Omni!$EW$38</f>
        <v>0</v>
      </c>
      <c r="N10" s="286">
        <f>SUM(B10:M10)</f>
        <v>2304</v>
      </c>
    </row>
    <row r="11" spans="1:14" ht="15.75" thickBot="1" x14ac:dyDescent="0.3">
      <c r="A11" s="63" t="s">
        <v>37</v>
      </c>
      <c r="B11" s="288">
        <f t="shared" ref="B11:G11" si="3">SUM(B9:B10)</f>
        <v>3404</v>
      </c>
      <c r="C11" s="288">
        <f t="shared" si="3"/>
        <v>26</v>
      </c>
      <c r="D11" s="288">
        <f t="shared" si="3"/>
        <v>287</v>
      </c>
      <c r="E11" s="288">
        <f t="shared" si="3"/>
        <v>146</v>
      </c>
      <c r="F11" s="288">
        <f t="shared" si="3"/>
        <v>149</v>
      </c>
      <c r="G11" s="288">
        <f t="shared" si="3"/>
        <v>241</v>
      </c>
      <c r="H11" s="288">
        <f t="shared" ref="H11:M11" si="4">SUM(H9:H10)</f>
        <v>263</v>
      </c>
      <c r="I11" s="288">
        <f t="shared" si="4"/>
        <v>0</v>
      </c>
      <c r="J11" s="288">
        <f t="shared" ref="J11" si="5">SUM(J9:J10)</f>
        <v>0</v>
      </c>
      <c r="K11" s="288">
        <f t="shared" si="4"/>
        <v>0</v>
      </c>
      <c r="L11" s="288">
        <f t="shared" si="4"/>
        <v>0</v>
      </c>
      <c r="M11" s="288">
        <f t="shared" si="4"/>
        <v>0</v>
      </c>
      <c r="N11" s="289">
        <f>SUM(B11:M11)</f>
        <v>4516</v>
      </c>
    </row>
    <row r="12" spans="1:14" ht="15" x14ac:dyDescent="0.25">
      <c r="A12" s="392"/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1:14" ht="39" thickBot="1" x14ac:dyDescent="0.25">
      <c r="B13" s="12" t="s">
        <v>20</v>
      </c>
      <c r="C13" s="276" t="s">
        <v>54</v>
      </c>
      <c r="D13" s="436" t="s">
        <v>166</v>
      </c>
      <c r="E13" s="12" t="s">
        <v>124</v>
      </c>
      <c r="F13" s="12" t="s">
        <v>104</v>
      </c>
      <c r="G13" s="12" t="s">
        <v>146</v>
      </c>
      <c r="H13" s="12" t="s">
        <v>120</v>
      </c>
      <c r="I13" s="276" t="s">
        <v>207</v>
      </c>
      <c r="J13" s="276" t="s">
        <v>211</v>
      </c>
      <c r="K13" s="276" t="s">
        <v>179</v>
      </c>
      <c r="L13" s="12" t="s">
        <v>165</v>
      </c>
      <c r="M13" s="12" t="s">
        <v>147</v>
      </c>
      <c r="N13" s="276" t="s">
        <v>149</v>
      </c>
    </row>
    <row r="14" spans="1:14" ht="15" x14ac:dyDescent="0.25">
      <c r="A14" s="506" t="s">
        <v>150</v>
      </c>
      <c r="B14" s="507"/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8"/>
    </row>
    <row r="15" spans="1:14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5"/>
    </row>
    <row r="16" spans="1:14" x14ac:dyDescent="0.2">
      <c r="A16" s="62" t="s">
        <v>33</v>
      </c>
      <c r="B16" s="21">
        <f>SUM([3]Delta!$EL$32:$EW$32)</f>
        <v>795095</v>
      </c>
      <c r="C16" s="21">
        <f>SUM('[3]Atlantic Southeast'!$EL$32:$EW$32)</f>
        <v>36353</v>
      </c>
      <c r="D16" s="21">
        <f>SUM([3]Pinnacle!$EL$32:$EW$32)</f>
        <v>144121</v>
      </c>
      <c r="E16" s="21">
        <f>SUM([3]Compass!$EL$32:$EW$32)</f>
        <v>69233</v>
      </c>
      <c r="F16" s="21">
        <f>SUM('[3]Sky West'!$EL$32:$EW$32)</f>
        <v>87988</v>
      </c>
      <c r="G16" s="21">
        <f>SUM('[3]Sun Country'!$EL$32:$EW$32)</f>
        <v>137816</v>
      </c>
      <c r="H16" s="21">
        <f>SUM([3]Icelandair!$EL$32:$EW$32)</f>
        <v>35064</v>
      </c>
      <c r="I16" s="21">
        <f>SUM('[3]Jazz Air'!$EL$32:$EW$32)</f>
        <v>3553</v>
      </c>
      <c r="J16" s="21">
        <f>SUM('[3]Air Georgian'!$EL$32:$EW$32)</f>
        <v>42655</v>
      </c>
      <c r="K16" s="21">
        <f>SUM([3]Condor!$EL$32:$EW$32)</f>
        <v>9717</v>
      </c>
      <c r="L16" s="21">
        <f>SUM('[3]Air France'!$EL$32:$EW$32)</f>
        <v>30191</v>
      </c>
      <c r="M16" s="21">
        <f>SUM('[3]Charter Misc'!$EL$32:$EW$32)+SUM([3]Ryan!$EL$32:$EW$32)+SUM([3]Omni!$EL$32:$EW$32)</f>
        <v>797</v>
      </c>
      <c r="N16" s="285">
        <f>SUM(B16:M16)</f>
        <v>1392583</v>
      </c>
    </row>
    <row r="17" spans="1:14" x14ac:dyDescent="0.2">
      <c r="A17" s="62" t="s">
        <v>34</v>
      </c>
      <c r="B17" s="14">
        <f>SUM([3]Delta!$EL$33:$EW$33)</f>
        <v>777842</v>
      </c>
      <c r="C17" s="14">
        <f>SUM('[3]Atlantic Southeast'!$EL$33:$EW$33)</f>
        <v>22566</v>
      </c>
      <c r="D17" s="14">
        <f>SUM([3]Pinnacle!$EL$33:$EW$33)</f>
        <v>152941</v>
      </c>
      <c r="E17" s="14">
        <f>SUM([3]Compass!$EL$33:$EW$33)</f>
        <v>67930</v>
      </c>
      <c r="F17" s="14">
        <f>SUM('[3]Sky West'!$EL$33:$EW$33)</f>
        <v>87539</v>
      </c>
      <c r="G17" s="14">
        <f>SUM('[3]Sun Country'!$EL$33:$EW$33)</f>
        <v>136824</v>
      </c>
      <c r="H17" s="14">
        <f>SUM([3]Icelandair!$EL$33:$EW$33)</f>
        <v>39500</v>
      </c>
      <c r="I17" s="14">
        <f>SUM('[3]Jazz Air'!$EL$33:$EW$33)</f>
        <v>3206</v>
      </c>
      <c r="J17" s="14">
        <f>SUM('[3]Air Georgian'!$EL$33:$EW$33)</f>
        <v>39868</v>
      </c>
      <c r="K17" s="14">
        <f>SUM([3]Condor!$EL$33:$EW$33)</f>
        <v>9144</v>
      </c>
      <c r="L17" s="14">
        <f>SUM('[3]Air France'!$EL$33:$EW$33)</f>
        <v>22654</v>
      </c>
      <c r="M17" s="14">
        <f>SUM('[3]Charter Misc'!$EL$33:$EW$33)++SUM([3]Ryan!$EL$33:$EW$33)+SUM([3]Omni!$EL$33:$EW$33)</f>
        <v>1416</v>
      </c>
      <c r="N17" s="286">
        <f>SUM(B17:M17)</f>
        <v>1361430</v>
      </c>
    </row>
    <row r="18" spans="1:14" ht="15" x14ac:dyDescent="0.25">
      <c r="A18" s="60" t="s">
        <v>7</v>
      </c>
      <c r="B18" s="34">
        <f t="shared" ref="B18:M18" si="6">SUM(B16:B17)</f>
        <v>1572937</v>
      </c>
      <c r="C18" s="34">
        <f t="shared" si="6"/>
        <v>58919</v>
      </c>
      <c r="D18" s="34">
        <f t="shared" si="6"/>
        <v>297062</v>
      </c>
      <c r="E18" s="34">
        <f t="shared" si="6"/>
        <v>137163</v>
      </c>
      <c r="F18" s="34">
        <f t="shared" si="6"/>
        <v>175527</v>
      </c>
      <c r="G18" s="34">
        <f t="shared" si="6"/>
        <v>274640</v>
      </c>
      <c r="H18" s="34">
        <f t="shared" si="6"/>
        <v>74564</v>
      </c>
      <c r="I18" s="34">
        <f t="shared" si="6"/>
        <v>6759</v>
      </c>
      <c r="J18" s="34">
        <f t="shared" ref="J18" si="7">SUM(J16:J17)</f>
        <v>82523</v>
      </c>
      <c r="K18" s="34">
        <f t="shared" ref="K18" si="8">SUM(K16:K17)</f>
        <v>18861</v>
      </c>
      <c r="L18" s="34">
        <f t="shared" si="6"/>
        <v>52845</v>
      </c>
      <c r="M18" s="34">
        <f t="shared" si="6"/>
        <v>2213</v>
      </c>
      <c r="N18" s="287">
        <f>SUM(B18:M18)</f>
        <v>2754013</v>
      </c>
    </row>
    <row r="19" spans="1:14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5"/>
    </row>
    <row r="20" spans="1:14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5">
        <f>SUM(B20:M20)</f>
        <v>0</v>
      </c>
    </row>
    <row r="21" spans="1:14" x14ac:dyDescent="0.2">
      <c r="A21" s="62" t="s">
        <v>33</v>
      </c>
      <c r="B21" s="21">
        <f>SUM([3]Delta!$EL$37:$EW$37)</f>
        <v>23013</v>
      </c>
      <c r="C21" s="21">
        <f>SUM('[3]Atlantic Southeast'!$EL$37:$EW$37)</f>
        <v>406</v>
      </c>
      <c r="D21" s="21">
        <f>SUM([3]Pinnacle!$EL$37:$EW$37)</f>
        <v>1671</v>
      </c>
      <c r="E21" s="21">
        <f>SUM([3]Compass!$EL$37:$EW$37)</f>
        <v>950</v>
      </c>
      <c r="F21" s="21">
        <f>SUM('[3]Sky West'!$EL$37:$EW$37)</f>
        <v>940</v>
      </c>
      <c r="G21" s="21">
        <f>SUM('[3]Sun Country'!$EL$37:$EW$37)</f>
        <v>883</v>
      </c>
      <c r="H21" s="21">
        <f>SUM([3]Icelandair!$EL$37:$EW$37)</f>
        <v>611</v>
      </c>
      <c r="I21" s="21">
        <f>SUM('[3]Jazz Air'!$EL$37:$EW$37)</f>
        <v>24</v>
      </c>
      <c r="J21" s="21">
        <f>SUM('[3]Air Georgian'!$EL$37:$EW$37)</f>
        <v>0</v>
      </c>
      <c r="K21" s="21">
        <f>SUM([3]Condor!$EL$37:$EW$37)</f>
        <v>0</v>
      </c>
      <c r="L21" s="21">
        <f>SUM('[3]Air France'!$EL$37:$EW$37)</f>
        <v>55</v>
      </c>
      <c r="M21" s="21">
        <f>SUM('[3]Charter Misc'!$EL$37:$EW$37)++SUM([3]Ryan!$EL$37:$EW$37)+SUM([3]Omni!$EL$37:$EW$37)</f>
        <v>0</v>
      </c>
      <c r="N21" s="285">
        <f>SUM(B21:M21)</f>
        <v>28553</v>
      </c>
    </row>
    <row r="22" spans="1:14" x14ac:dyDescent="0.2">
      <c r="A22" s="62" t="s">
        <v>36</v>
      </c>
      <c r="B22" s="14">
        <f>SUM([3]Delta!$EL$38:$EW$38)</f>
        <v>22493</v>
      </c>
      <c r="C22" s="14">
        <f>SUM('[3]Atlantic Southeast'!$EL$38:$EW$38)</f>
        <v>277</v>
      </c>
      <c r="D22" s="14">
        <f>SUM([3]Pinnacle!$EL$38:$EW$38)</f>
        <v>1938</v>
      </c>
      <c r="E22" s="14">
        <f>SUM([3]Compass!$EL$38:$EW$38)</f>
        <v>817</v>
      </c>
      <c r="F22" s="14">
        <f>SUM('[3]Sky West'!$EL$38:$EW$38)</f>
        <v>869</v>
      </c>
      <c r="G22" s="14">
        <f>SUM('[3]Sun Country'!$EL$38:$EW$38)</f>
        <v>1022</v>
      </c>
      <c r="H22" s="14">
        <f>SUM([3]Icelandair!$EL$38:$EW$38)</f>
        <v>687</v>
      </c>
      <c r="I22" s="14">
        <f>SUM('[3]Jazz Air'!$EL$38:$EW$38)</f>
        <v>39</v>
      </c>
      <c r="J22" s="14">
        <f>SUM('[3]Air Georgian'!$EL$38:$EW$38)</f>
        <v>0</v>
      </c>
      <c r="K22" s="14">
        <f>SUM([3]Condor!$EL$38:$EW$38)</f>
        <v>0</v>
      </c>
      <c r="L22" s="14">
        <f>SUM('[3]Air France'!$EL$38:$EW$38)</f>
        <v>28</v>
      </c>
      <c r="M22" s="14">
        <f>SUM('[3]Charter Misc'!$EL$38:$EW$38)++SUM([3]Ryan!$EL$38:$EW$38)+SUM([3]Omni!$EL$38:$EW$38)</f>
        <v>0</v>
      </c>
      <c r="N22" s="286">
        <f>SUM(B22:M22)</f>
        <v>28170</v>
      </c>
    </row>
    <row r="23" spans="1:14" ht="15.75" thickBot="1" x14ac:dyDescent="0.3">
      <c r="A23" s="63" t="s">
        <v>37</v>
      </c>
      <c r="B23" s="288">
        <f t="shared" ref="B23:M23" si="9">SUM(B21:B22)</f>
        <v>45506</v>
      </c>
      <c r="C23" s="288">
        <f t="shared" si="9"/>
        <v>683</v>
      </c>
      <c r="D23" s="288">
        <f t="shared" si="9"/>
        <v>3609</v>
      </c>
      <c r="E23" s="288">
        <f t="shared" si="9"/>
        <v>1767</v>
      </c>
      <c r="F23" s="288">
        <f t="shared" si="9"/>
        <v>1809</v>
      </c>
      <c r="G23" s="288">
        <f t="shared" si="9"/>
        <v>1905</v>
      </c>
      <c r="H23" s="288">
        <f t="shared" si="9"/>
        <v>1298</v>
      </c>
      <c r="I23" s="288">
        <f t="shared" si="9"/>
        <v>63</v>
      </c>
      <c r="J23" s="288">
        <f t="shared" ref="J23" si="10">SUM(J21:J22)</f>
        <v>0</v>
      </c>
      <c r="K23" s="288">
        <f t="shared" ref="K23" si="11">SUM(K21:K22)</f>
        <v>0</v>
      </c>
      <c r="L23" s="288">
        <f t="shared" si="9"/>
        <v>83</v>
      </c>
      <c r="M23" s="288">
        <f t="shared" si="9"/>
        <v>0</v>
      </c>
      <c r="N23" s="289">
        <f>SUM(B23:M23)</f>
        <v>56723</v>
      </c>
    </row>
    <row r="25" spans="1:14" ht="39" thickBot="1" x14ac:dyDescent="0.25">
      <c r="B25" s="12" t="s">
        <v>20</v>
      </c>
      <c r="C25" s="276" t="s">
        <v>54</v>
      </c>
      <c r="D25" s="436" t="s">
        <v>166</v>
      </c>
      <c r="E25" s="12" t="s">
        <v>124</v>
      </c>
      <c r="F25" s="12" t="s">
        <v>104</v>
      </c>
      <c r="G25" s="12" t="s">
        <v>146</v>
      </c>
      <c r="H25" s="12" t="s">
        <v>120</v>
      </c>
      <c r="I25" s="276" t="s">
        <v>207</v>
      </c>
      <c r="J25" s="276" t="s">
        <v>211</v>
      </c>
      <c r="K25" s="276" t="s">
        <v>179</v>
      </c>
      <c r="L25" s="12" t="s">
        <v>165</v>
      </c>
      <c r="M25" s="12" t="s">
        <v>147</v>
      </c>
      <c r="N25" s="276" t="s">
        <v>24</v>
      </c>
    </row>
    <row r="26" spans="1:14" ht="15" x14ac:dyDescent="0.25">
      <c r="A26" s="509" t="s">
        <v>151</v>
      </c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1"/>
    </row>
    <row r="27" spans="1:14" x14ac:dyDescent="0.2">
      <c r="A27" s="62" t="s">
        <v>25</v>
      </c>
      <c r="B27" s="21">
        <f>[3]Delta!$EW$15</f>
        <v>318</v>
      </c>
      <c r="C27" s="21">
        <f>'[3]Atlantic Southeast'!$EW$15</f>
        <v>13</v>
      </c>
      <c r="D27" s="21">
        <f>[3]Pinnacle!$EW$15</f>
        <v>163</v>
      </c>
      <c r="E27" s="21">
        <f>[3]Compass!$EW$15</f>
        <v>102</v>
      </c>
      <c r="F27" s="21">
        <f>'[3]Sky West'!$EW$15</f>
        <v>98</v>
      </c>
      <c r="G27" s="21">
        <f>'[3]Sun Country'!$EW$15</f>
        <v>99</v>
      </c>
      <c r="H27" s="21">
        <f>[3]Icelandair!$EW$15</f>
        <v>16</v>
      </c>
      <c r="I27" s="21">
        <f>'[3]Jazz Air'!$EW$15</f>
        <v>0</v>
      </c>
      <c r="J27" s="21">
        <f>'[3]Air Georgian'!$EW$15</f>
        <v>84</v>
      </c>
      <c r="K27" s="21">
        <f>[3]Condor!$EW$15</f>
        <v>0</v>
      </c>
      <c r="L27" s="21">
        <f>'[3]Air France'!$EW$15</f>
        <v>0</v>
      </c>
      <c r="M27" s="21">
        <f>'[3]Charter Misc'!$EW$15+[3]Ryan!$EW$15+[3]Omni!$EW$15</f>
        <v>0</v>
      </c>
      <c r="N27" s="285">
        <f>SUM(B27:M27)</f>
        <v>893</v>
      </c>
    </row>
    <row r="28" spans="1:14" x14ac:dyDescent="0.2">
      <c r="A28" s="62" t="s">
        <v>26</v>
      </c>
      <c r="B28" s="21">
        <f>[3]Delta!$EW$16</f>
        <v>318</v>
      </c>
      <c r="C28" s="21">
        <f>'[3]Atlantic Southeast'!$EW$16</f>
        <v>14</v>
      </c>
      <c r="D28" s="21">
        <f>[3]Pinnacle!$EW$16</f>
        <v>165</v>
      </c>
      <c r="E28" s="21">
        <f>[3]Compass!$EW$16</f>
        <v>103</v>
      </c>
      <c r="F28" s="21">
        <f>'[3]Sky West'!$EW$16</f>
        <v>96</v>
      </c>
      <c r="G28" s="21">
        <f>'[3]Sun Country'!$EW$16</f>
        <v>107</v>
      </c>
      <c r="H28" s="21">
        <f>[3]Icelandair!$EW$16</f>
        <v>16</v>
      </c>
      <c r="I28" s="21">
        <f>'[3]Jazz Air'!$EW$16</f>
        <v>0</v>
      </c>
      <c r="J28" s="21">
        <f>'[3]Air Georgian'!$EW$16</f>
        <v>84</v>
      </c>
      <c r="K28" s="21">
        <f>[3]Condor!$EW$16</f>
        <v>0</v>
      </c>
      <c r="L28" s="21">
        <f>'[3]Air France'!$EW$16</f>
        <v>0</v>
      </c>
      <c r="M28" s="21">
        <f>'[3]Charter Misc'!$EW$16+[3]Ryan!$EW$16+[3]Omni!$EW$16</f>
        <v>1</v>
      </c>
      <c r="N28" s="285">
        <f>SUM(B28:M28)</f>
        <v>904</v>
      </c>
    </row>
    <row r="29" spans="1:14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5"/>
    </row>
    <row r="30" spans="1:14" ht="15.75" thickBot="1" x14ac:dyDescent="0.3">
      <c r="A30" s="63" t="s">
        <v>31</v>
      </c>
      <c r="B30" s="390">
        <f t="shared" ref="B30:I30" si="12">SUM(B27:B28)</f>
        <v>636</v>
      </c>
      <c r="C30" s="390">
        <f t="shared" si="12"/>
        <v>27</v>
      </c>
      <c r="D30" s="390">
        <f t="shared" si="12"/>
        <v>328</v>
      </c>
      <c r="E30" s="390">
        <f t="shared" si="12"/>
        <v>205</v>
      </c>
      <c r="F30" s="390">
        <f>SUM(F27:F28)</f>
        <v>194</v>
      </c>
      <c r="G30" s="390">
        <f t="shared" si="12"/>
        <v>206</v>
      </c>
      <c r="H30" s="390">
        <f t="shared" si="12"/>
        <v>32</v>
      </c>
      <c r="I30" s="390">
        <f t="shared" si="12"/>
        <v>0</v>
      </c>
      <c r="J30" s="390">
        <f t="shared" ref="J30" si="13">SUM(J27:J28)</f>
        <v>168</v>
      </c>
      <c r="K30" s="390">
        <f>SUM(K27:K28)</f>
        <v>0</v>
      </c>
      <c r="L30" s="390">
        <f>SUM(L27:L28)</f>
        <v>0</v>
      </c>
      <c r="M30" s="390">
        <f>SUM(M27:M28)</f>
        <v>1</v>
      </c>
      <c r="N30" s="391">
        <f>SUM(B30:M30)</f>
        <v>1797</v>
      </c>
    </row>
    <row r="31" spans="1:14" ht="15" x14ac:dyDescent="0.25">
      <c r="A31" s="392"/>
    </row>
    <row r="32" spans="1:14" ht="39" thickBot="1" x14ac:dyDescent="0.25">
      <c r="B32" s="12" t="s">
        <v>20</v>
      </c>
      <c r="C32" s="276" t="s">
        <v>54</v>
      </c>
      <c r="D32" s="436" t="s">
        <v>166</v>
      </c>
      <c r="E32" s="12" t="s">
        <v>124</v>
      </c>
      <c r="F32" s="12" t="s">
        <v>104</v>
      </c>
      <c r="G32" s="12" t="s">
        <v>146</v>
      </c>
      <c r="H32" s="12" t="s">
        <v>120</v>
      </c>
      <c r="I32" s="276" t="s">
        <v>207</v>
      </c>
      <c r="J32" s="276" t="s">
        <v>211</v>
      </c>
      <c r="K32" s="276" t="s">
        <v>179</v>
      </c>
      <c r="L32" s="12" t="s">
        <v>165</v>
      </c>
      <c r="M32" s="12" t="s">
        <v>147</v>
      </c>
      <c r="N32" s="276" t="s">
        <v>149</v>
      </c>
    </row>
    <row r="33" spans="1:14" ht="15" x14ac:dyDescent="0.25">
      <c r="A33" s="512" t="s">
        <v>152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4"/>
    </row>
    <row r="34" spans="1:14" x14ac:dyDescent="0.2">
      <c r="A34" s="62" t="s">
        <v>25</v>
      </c>
      <c r="B34" s="21">
        <f>SUM([3]Delta!$EL$15:$EW$15)</f>
        <v>4581</v>
      </c>
      <c r="C34" s="21">
        <f>SUM('[3]Atlantic Southeast'!$EL$15:$EW$15)</f>
        <v>451</v>
      </c>
      <c r="D34" s="21">
        <f>SUM([3]Pinnacle!$EL$15:$EW$15)</f>
        <v>2392</v>
      </c>
      <c r="E34" s="21">
        <f>SUM([3]Compass!$EL$15:$EW$15)</f>
        <v>1065</v>
      </c>
      <c r="F34" s="21">
        <f>SUM('[3]Sky West'!$EL$15:$EW$15)</f>
        <v>1400</v>
      </c>
      <c r="G34" s="21">
        <f>SUM('[3]Sun Country'!$EL$15:$EW$15)</f>
        <v>1177</v>
      </c>
      <c r="H34" s="21">
        <f>SUM([3]Icelandair!$EL$15:$EW$15)</f>
        <v>209</v>
      </c>
      <c r="I34" s="21">
        <f>SUM('[3]Jazz Air'!$EL$15:$EW$15)</f>
        <v>92</v>
      </c>
      <c r="J34" s="21">
        <f>SUM('[3]Air Georgian'!$EL$15:$EW$15)</f>
        <v>1015</v>
      </c>
      <c r="K34" s="21">
        <f>SUM([3]Condor!$EL$15:$EW$15)</f>
        <v>42</v>
      </c>
      <c r="L34" s="21">
        <f>SUM('[3]Air France'!$EL$15:$EW$15)</f>
        <v>125</v>
      </c>
      <c r="M34" s="21">
        <f>SUM('[3]Charter Misc'!$EL$15:$EW$15)+SUM([3]Ryan!$EL$15:$EW$15)+SUM([3]Omni!$EL$15:$EW$15)</f>
        <v>7</v>
      </c>
      <c r="N34" s="285">
        <f>SUM(B34:M34)</f>
        <v>12556</v>
      </c>
    </row>
    <row r="35" spans="1:14" x14ac:dyDescent="0.2">
      <c r="A35" s="62" t="s">
        <v>26</v>
      </c>
      <c r="B35" s="21">
        <f>SUM([3]Delta!$EL$16:$EW$16)</f>
        <v>4584</v>
      </c>
      <c r="C35" s="21">
        <f>SUM('[3]Atlantic Southeast'!$EL$16:$EW$16)</f>
        <v>375</v>
      </c>
      <c r="D35" s="21">
        <f>SUM([3]Pinnacle!$EL$16:$EW$16)</f>
        <v>2492</v>
      </c>
      <c r="E35" s="21">
        <f>SUM([3]Compass!$EL$16:$EW$16)</f>
        <v>1066</v>
      </c>
      <c r="F35" s="21">
        <f>SUM('[3]Sky West'!$EL$16:$EW$16)</f>
        <v>1405</v>
      </c>
      <c r="G35" s="21">
        <f>SUM('[3]Sun Country'!$EL$16:$EW$16)</f>
        <v>1173</v>
      </c>
      <c r="H35" s="21">
        <f>SUM([3]Icelandair!$EL$16:$EW$16)</f>
        <v>209</v>
      </c>
      <c r="I35" s="21">
        <f>SUM('[3]Jazz Air'!$EL$16:$EW$16)</f>
        <v>93</v>
      </c>
      <c r="J35" s="21">
        <f>SUM('[3]Air Georgian'!$EL$16:$EW$16)</f>
        <v>1014</v>
      </c>
      <c r="K35" s="21">
        <f>SUM([3]Condor!$EL$16:$EW$16)</f>
        <v>42</v>
      </c>
      <c r="L35" s="21">
        <f>SUM('[3]Air France'!$EL$16:$EW$16)</f>
        <v>125</v>
      </c>
      <c r="M35" s="21">
        <f>SUM('[3]Charter Misc'!$EL$16:$EW$16)+SUM([3]Ryan!$EL$16:$EW$16)+SUM([3]Omni!$EL$16:$EW$16)</f>
        <v>5</v>
      </c>
      <c r="N35" s="285">
        <f>SUM(B35:M35)</f>
        <v>12583</v>
      </c>
    </row>
    <row r="36" spans="1:14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5"/>
    </row>
    <row r="37" spans="1:14" ht="15.75" thickBot="1" x14ac:dyDescent="0.3">
      <c r="A37" s="63" t="s">
        <v>31</v>
      </c>
      <c r="B37" s="390">
        <f t="shared" ref="B37:I37" si="14">+SUM(B34:B35)</f>
        <v>9165</v>
      </c>
      <c r="C37" s="390">
        <f t="shared" si="14"/>
        <v>826</v>
      </c>
      <c r="D37" s="390">
        <f t="shared" si="14"/>
        <v>4884</v>
      </c>
      <c r="E37" s="390">
        <f t="shared" si="14"/>
        <v>2131</v>
      </c>
      <c r="F37" s="390">
        <f>+SUM(F34:F35)</f>
        <v>2805</v>
      </c>
      <c r="G37" s="390">
        <f t="shared" si="14"/>
        <v>2350</v>
      </c>
      <c r="H37" s="390">
        <f t="shared" si="14"/>
        <v>418</v>
      </c>
      <c r="I37" s="390">
        <f t="shared" si="14"/>
        <v>185</v>
      </c>
      <c r="J37" s="390">
        <f t="shared" ref="J37" si="15">+SUM(J34:J35)</f>
        <v>2029</v>
      </c>
      <c r="K37" s="390">
        <f>+SUM(K34:K35)</f>
        <v>84</v>
      </c>
      <c r="L37" s="390">
        <f>+SUM(L34:L35)</f>
        <v>250</v>
      </c>
      <c r="M37" s="390">
        <f>+SUM(M34:M35)</f>
        <v>12</v>
      </c>
      <c r="N37" s="391">
        <f>SUM(B37:M37)</f>
        <v>25139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&amp;"Arial,Bold"December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2016-10-31T20:38:34Z</cp:lastPrinted>
  <dcterms:created xsi:type="dcterms:W3CDTF">2007-09-24T12:26:24Z</dcterms:created>
  <dcterms:modified xsi:type="dcterms:W3CDTF">2020-01-29T19:50:18Z</dcterms:modified>
</cp:coreProperties>
</file>