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8\"/>
    </mc:Choice>
  </mc:AlternateContent>
  <xr:revisionPtr revIDLastSave="0" documentId="13_ncr:1_{78EFB587-CB05-4DB3-B083-40C609114EAE}" xr6:coauthVersionLast="44" xr6:coauthVersionMax="44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6">Cargo!$A$1:$N$37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Activity'!$A$1:$R$67</definedName>
    <definedName name="_xlnm.Print_Area" localSheetId="2">'Other Major Airline Stats'!$A$2:$J$49</definedName>
    <definedName name="_xlnm.Print_Area" localSheetId="4">'Other Regional'!$A$1:$M$47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7" l="1"/>
  <c r="F5" i="17"/>
  <c r="F11" i="17"/>
  <c r="F7" i="17"/>
  <c r="C21" i="1" l="1"/>
  <c r="B21" i="1"/>
  <c r="P7" i="17" l="1"/>
  <c r="O7" i="17"/>
  <c r="M7" i="17"/>
  <c r="L7" i="17"/>
  <c r="G7" i="17"/>
  <c r="D7" i="17"/>
  <c r="C7" i="17"/>
  <c r="E50" i="2"/>
  <c r="C50" i="2"/>
  <c r="C51" i="2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5" i="9"/>
  <c r="M55" i="9"/>
  <c r="G55" i="9"/>
  <c r="D55" i="9"/>
  <c r="P52" i="9"/>
  <c r="M52" i="9"/>
  <c r="G52" i="9"/>
  <c r="D52" i="9"/>
  <c r="P50" i="9"/>
  <c r="M50" i="9"/>
  <c r="G50" i="9"/>
  <c r="D50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P5" i="9"/>
  <c r="M5" i="9"/>
  <c r="G5" i="9"/>
  <c r="D5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5" i="9"/>
  <c r="L55" i="9"/>
  <c r="F55" i="9"/>
  <c r="C55" i="9"/>
  <c r="O52" i="9"/>
  <c r="L52" i="9"/>
  <c r="F52" i="9"/>
  <c r="C52" i="9"/>
  <c r="O50" i="9"/>
  <c r="L50" i="9"/>
  <c r="F50" i="9"/>
  <c r="C50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O5" i="9"/>
  <c r="L5" i="9"/>
  <c r="F5" i="9"/>
  <c r="C5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3" i="17"/>
  <c r="M23" i="17"/>
  <c r="G23" i="17"/>
  <c r="D23" i="17"/>
  <c r="P21" i="17"/>
  <c r="M21" i="17"/>
  <c r="G21" i="17"/>
  <c r="D21" i="17"/>
  <c r="P19" i="17"/>
  <c r="M19" i="17"/>
  <c r="G19" i="17"/>
  <c r="D19" i="17"/>
  <c r="G17" i="17"/>
  <c r="D17" i="17"/>
  <c r="P15" i="17"/>
  <c r="M15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5" i="17"/>
  <c r="M5" i="17"/>
  <c r="G5" i="17"/>
  <c r="D5" i="17"/>
  <c r="E7" i="17" l="1"/>
  <c r="N7" i="17"/>
  <c r="P9" i="16"/>
  <c r="P4" i="16"/>
  <c r="P16" i="16"/>
  <c r="P5" i="16"/>
  <c r="P10" i="16"/>
  <c r="P17" i="16"/>
  <c r="Q7" i="17"/>
  <c r="H7" i="17"/>
  <c r="O23" i="17"/>
  <c r="L23" i="17"/>
  <c r="F23" i="17"/>
  <c r="C23" i="17"/>
  <c r="O21" i="17"/>
  <c r="L21" i="17"/>
  <c r="F21" i="17"/>
  <c r="C21" i="17"/>
  <c r="O19" i="17"/>
  <c r="L19" i="17"/>
  <c r="F19" i="17"/>
  <c r="C19" i="17"/>
  <c r="F17" i="17"/>
  <c r="C17" i="17"/>
  <c r="O15" i="17"/>
  <c r="L15" i="17"/>
  <c r="F15" i="17"/>
  <c r="C15" i="17"/>
  <c r="O13" i="17"/>
  <c r="L13" i="17"/>
  <c r="F13" i="17"/>
  <c r="C13" i="17"/>
  <c r="O11" i="17"/>
  <c r="L11" i="17"/>
  <c r="C11" i="17"/>
  <c r="O9" i="17"/>
  <c r="L9" i="17"/>
  <c r="C9" i="17"/>
  <c r="O5" i="17"/>
  <c r="L5" i="17"/>
  <c r="C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M27" i="8"/>
  <c r="L27" i="8"/>
  <c r="K27" i="8"/>
  <c r="I27" i="8"/>
  <c r="H27" i="8"/>
  <c r="G27" i="8"/>
  <c r="E27" i="8"/>
  <c r="D27" i="8"/>
  <c r="C27" i="8"/>
  <c r="B27" i="8"/>
  <c r="M26" i="8"/>
  <c r="L26" i="8"/>
  <c r="K26" i="8"/>
  <c r="I26" i="8"/>
  <c r="H26" i="8"/>
  <c r="G26" i="8"/>
  <c r="E26" i="8"/>
  <c r="D26" i="8"/>
  <c r="C26" i="8"/>
  <c r="B26" i="8"/>
  <c r="M22" i="8"/>
  <c r="L22" i="8"/>
  <c r="K22" i="8"/>
  <c r="I22" i="8"/>
  <c r="H22" i="8"/>
  <c r="G22" i="8"/>
  <c r="E22" i="8"/>
  <c r="D22" i="8"/>
  <c r="C22" i="8"/>
  <c r="B22" i="8"/>
  <c r="M21" i="8"/>
  <c r="L21" i="8"/>
  <c r="K21" i="8"/>
  <c r="I21" i="8"/>
  <c r="H21" i="8"/>
  <c r="G21" i="8"/>
  <c r="E21" i="8"/>
  <c r="D21" i="8"/>
  <c r="C21" i="8"/>
  <c r="B21" i="8"/>
  <c r="M17" i="8"/>
  <c r="L17" i="8"/>
  <c r="K17" i="8"/>
  <c r="I17" i="8"/>
  <c r="H17" i="8"/>
  <c r="G17" i="8"/>
  <c r="E17" i="8"/>
  <c r="D17" i="8"/>
  <c r="C17" i="8"/>
  <c r="B17" i="8"/>
  <c r="M16" i="8"/>
  <c r="L16" i="8"/>
  <c r="K16" i="8"/>
  <c r="I16" i="8"/>
  <c r="H16" i="8"/>
  <c r="G16" i="8"/>
  <c r="E16" i="8"/>
  <c r="D16" i="8"/>
  <c r="C16" i="8"/>
  <c r="B16" i="8"/>
  <c r="M9" i="8"/>
  <c r="M8" i="8"/>
  <c r="M5" i="8"/>
  <c r="L5" i="8"/>
  <c r="K5" i="8"/>
  <c r="J5" i="8"/>
  <c r="I5" i="8"/>
  <c r="H5" i="8"/>
  <c r="G5" i="8"/>
  <c r="E5" i="8"/>
  <c r="D5" i="8"/>
  <c r="C5" i="8"/>
  <c r="B5" i="8"/>
  <c r="M4" i="8"/>
  <c r="L4" i="8"/>
  <c r="K4" i="8"/>
  <c r="J4" i="8"/>
  <c r="I4" i="8"/>
  <c r="H4" i="8"/>
  <c r="G4" i="8"/>
  <c r="E4" i="8"/>
  <c r="D4" i="8"/>
  <c r="C4" i="8"/>
  <c r="B4" i="8"/>
  <c r="M31" i="7"/>
  <c r="L31" i="7"/>
  <c r="O32" i="7"/>
  <c r="J32" i="7"/>
  <c r="C31" i="7"/>
  <c r="B31" i="7"/>
  <c r="E32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J47" i="15"/>
  <c r="G47" i="15"/>
  <c r="F47" i="15"/>
  <c r="C47" i="15"/>
  <c r="J46" i="15"/>
  <c r="G46" i="15"/>
  <c r="F46" i="15"/>
  <c r="C46" i="15"/>
  <c r="J35" i="15"/>
  <c r="H35" i="15"/>
  <c r="G35" i="15"/>
  <c r="F35" i="15"/>
  <c r="E35" i="15"/>
  <c r="D35" i="15"/>
  <c r="C35" i="15"/>
  <c r="B35" i="15"/>
  <c r="L31" i="15"/>
  <c r="K31" i="15"/>
  <c r="J31" i="15"/>
  <c r="I31" i="15"/>
  <c r="H31" i="15"/>
  <c r="G31" i="15"/>
  <c r="F31" i="15"/>
  <c r="E31" i="15"/>
  <c r="D31" i="15"/>
  <c r="C31" i="15"/>
  <c r="B31" i="15"/>
  <c r="L30" i="15"/>
  <c r="J30" i="15"/>
  <c r="I30" i="15"/>
  <c r="H30" i="15"/>
  <c r="G30" i="15"/>
  <c r="F30" i="15"/>
  <c r="E30" i="15"/>
  <c r="D30" i="15"/>
  <c r="C30" i="15"/>
  <c r="B30" i="15"/>
  <c r="L26" i="15"/>
  <c r="K26" i="15"/>
  <c r="J26" i="15"/>
  <c r="I26" i="15"/>
  <c r="H26" i="15"/>
  <c r="G26" i="15"/>
  <c r="F26" i="15"/>
  <c r="E26" i="15"/>
  <c r="D26" i="15"/>
  <c r="C26" i="15"/>
  <c r="B26" i="15"/>
  <c r="L25" i="15"/>
  <c r="K25" i="15"/>
  <c r="J25" i="15"/>
  <c r="I25" i="15"/>
  <c r="H25" i="15"/>
  <c r="G25" i="15"/>
  <c r="F25" i="15"/>
  <c r="E25" i="15"/>
  <c r="D25" i="15"/>
  <c r="C25" i="15"/>
  <c r="B25" i="15"/>
  <c r="L19" i="15"/>
  <c r="K19" i="15"/>
  <c r="J19" i="15"/>
  <c r="I19" i="15"/>
  <c r="H19" i="15"/>
  <c r="G19" i="15"/>
  <c r="F19" i="15"/>
  <c r="E19" i="15"/>
  <c r="D19" i="15"/>
  <c r="C19" i="15"/>
  <c r="B19" i="15"/>
  <c r="L18" i="15"/>
  <c r="K18" i="15"/>
  <c r="J18" i="15"/>
  <c r="I18" i="15"/>
  <c r="H18" i="15"/>
  <c r="G18" i="15"/>
  <c r="F18" i="15"/>
  <c r="E18" i="15"/>
  <c r="D18" i="15"/>
  <c r="C18" i="15"/>
  <c r="B18" i="15"/>
  <c r="L16" i="15"/>
  <c r="K16" i="15"/>
  <c r="J16" i="15"/>
  <c r="I16" i="15"/>
  <c r="H16" i="15"/>
  <c r="G16" i="15"/>
  <c r="F16" i="15"/>
  <c r="E16" i="15"/>
  <c r="D16" i="15"/>
  <c r="C16" i="15"/>
  <c r="B16" i="15"/>
  <c r="L15" i="15"/>
  <c r="K15" i="15"/>
  <c r="J15" i="15"/>
  <c r="I15" i="15"/>
  <c r="H15" i="15"/>
  <c r="G15" i="15"/>
  <c r="F15" i="15"/>
  <c r="E15" i="15"/>
  <c r="D15" i="15"/>
  <c r="C15" i="15"/>
  <c r="B15" i="15"/>
  <c r="L11" i="15"/>
  <c r="K11" i="15"/>
  <c r="J11" i="15"/>
  <c r="I11" i="15"/>
  <c r="H11" i="15"/>
  <c r="G11" i="15"/>
  <c r="F11" i="15"/>
  <c r="E11" i="15"/>
  <c r="D11" i="15"/>
  <c r="C11" i="15"/>
  <c r="B11" i="15"/>
  <c r="L10" i="15"/>
  <c r="K10" i="15"/>
  <c r="J10" i="15"/>
  <c r="I10" i="15"/>
  <c r="H10" i="15"/>
  <c r="G10" i="15"/>
  <c r="F10" i="15"/>
  <c r="E10" i="15"/>
  <c r="D10" i="15"/>
  <c r="C10" i="15"/>
  <c r="B10" i="15"/>
  <c r="L6" i="15"/>
  <c r="K6" i="15"/>
  <c r="J6" i="15"/>
  <c r="I6" i="15"/>
  <c r="H6" i="15"/>
  <c r="G6" i="15"/>
  <c r="F6" i="15"/>
  <c r="E6" i="15"/>
  <c r="D6" i="15"/>
  <c r="C6" i="15"/>
  <c r="B6" i="15"/>
  <c r="L5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N31" i="7" l="1"/>
  <c r="D31" i="7"/>
  <c r="M30" i="7"/>
  <c r="L30" i="7"/>
  <c r="O31" i="7"/>
  <c r="J31" i="7"/>
  <c r="C30" i="7"/>
  <c r="B30" i="7"/>
  <c r="E31" i="7"/>
  <c r="O30" i="7" l="1"/>
  <c r="E30" i="7"/>
  <c r="J30" i="7"/>
  <c r="O29" i="7" l="1"/>
  <c r="M28" i="7"/>
  <c r="L28" i="7"/>
  <c r="J29" i="7"/>
  <c r="C28" i="7"/>
  <c r="B28" i="7"/>
  <c r="E29" i="7"/>
  <c r="D28" i="7" l="1"/>
  <c r="N28" i="7"/>
  <c r="C10" i="8" l="1"/>
  <c r="C23" i="8" l="1"/>
  <c r="C18" i="8"/>
  <c r="C28" i="8"/>
  <c r="C32" i="8"/>
  <c r="C6" i="8"/>
  <c r="C12" i="8" s="1"/>
  <c r="C31" i="8"/>
  <c r="C33" i="8" l="1"/>
  <c r="O28" i="7"/>
  <c r="M27" i="7"/>
  <c r="L27" i="7"/>
  <c r="N27" i="7" s="1"/>
  <c r="J28" i="7"/>
  <c r="C27" i="7"/>
  <c r="B27" i="7"/>
  <c r="E28" i="7"/>
  <c r="D27" i="7" l="1"/>
  <c r="O27" i="7"/>
  <c r="E27" i="7"/>
  <c r="J16" i="3" l="1"/>
  <c r="J17" i="3"/>
  <c r="O26" i="7"/>
  <c r="M26" i="7"/>
  <c r="L26" i="7"/>
  <c r="J27" i="7"/>
  <c r="E26" i="7"/>
  <c r="C26" i="7"/>
  <c r="B26" i="7"/>
  <c r="D20" i="1" l="1"/>
  <c r="G20" i="1" s="1"/>
  <c r="D26" i="7"/>
  <c r="N26" i="7"/>
  <c r="O25" i="7"/>
  <c r="M25" i="7"/>
  <c r="L25" i="7"/>
  <c r="J26" i="7"/>
  <c r="E25" i="7"/>
  <c r="C25" i="7"/>
  <c r="B25" i="7"/>
  <c r="D65" i="9" l="1"/>
  <c r="N25" i="7"/>
  <c r="D25" i="7"/>
  <c r="G40" i="2"/>
  <c r="G35" i="2"/>
  <c r="G30" i="2"/>
  <c r="G17" i="2"/>
  <c r="G11" i="2"/>
  <c r="G6" i="2"/>
  <c r="G44" i="2"/>
  <c r="N48" i="9" l="1"/>
  <c r="E48" i="9"/>
  <c r="G21" i="2"/>
  <c r="G23" i="2" s="1"/>
  <c r="Q48" i="9"/>
  <c r="G43" i="2"/>
  <c r="H48" i="9"/>
  <c r="M24" i="7" l="1"/>
  <c r="L24" i="7"/>
  <c r="J25" i="7"/>
  <c r="C24" i="7"/>
  <c r="B24" i="7"/>
  <c r="H40" i="2"/>
  <c r="H30" i="2"/>
  <c r="H17" i="2"/>
  <c r="H6" i="2"/>
  <c r="H11" i="2" l="1"/>
  <c r="H44" i="2"/>
  <c r="D24" i="7"/>
  <c r="N24" i="7"/>
  <c r="H21" i="2"/>
  <c r="H23" i="2" s="1"/>
  <c r="J20" i="3"/>
  <c r="J21" i="3"/>
  <c r="H35" i="2"/>
  <c r="E44" i="9"/>
  <c r="N44" i="9"/>
  <c r="Q44" i="9"/>
  <c r="H44" i="9"/>
  <c r="H43" i="2"/>
  <c r="H45" i="2" l="1"/>
  <c r="M23" i="7"/>
  <c r="L23" i="7"/>
  <c r="O24" i="7"/>
  <c r="J24" i="7"/>
  <c r="C23" i="7"/>
  <c r="B23" i="7"/>
  <c r="E24" i="7"/>
  <c r="G23" i="7" l="1"/>
  <c r="H23" i="7"/>
  <c r="M22" i="7"/>
  <c r="L22" i="7"/>
  <c r="C22" i="7"/>
  <c r="B22" i="7"/>
  <c r="O23" i="7"/>
  <c r="J23" i="7"/>
  <c r="E23" i="7"/>
  <c r="G22" i="7" l="1"/>
  <c r="H22" i="7"/>
  <c r="F65" i="9"/>
  <c r="C65" i="9"/>
  <c r="L65" i="9"/>
  <c r="O65" i="9"/>
  <c r="G65" i="9"/>
  <c r="M65" i="9"/>
  <c r="P65" i="9"/>
  <c r="O22" i="7"/>
  <c r="J22" i="7"/>
  <c r="E22" i="7"/>
  <c r="C21" i="7" l="1"/>
  <c r="B21" i="7"/>
  <c r="M21" i="7" l="1"/>
  <c r="L21" i="7"/>
  <c r="G21" i="7" l="1"/>
  <c r="H21" i="7" l="1"/>
  <c r="I21" i="2" l="1"/>
  <c r="I17" i="2"/>
  <c r="I11" i="2"/>
  <c r="I6" i="2"/>
  <c r="I40" i="2"/>
  <c r="I35" i="2"/>
  <c r="I43" i="2" l="1"/>
  <c r="I44" i="2"/>
  <c r="I23" i="2"/>
  <c r="I30" i="2"/>
  <c r="D36" i="15"/>
  <c r="O21" i="7"/>
  <c r="J21" i="7"/>
  <c r="E21" i="7"/>
  <c r="J3" i="17"/>
  <c r="I45" i="2" l="1"/>
  <c r="G17" i="4"/>
  <c r="G27" i="4"/>
  <c r="C13" i="9"/>
  <c r="G12" i="4"/>
  <c r="G20" i="4"/>
  <c r="G32" i="4"/>
  <c r="C18" i="9"/>
  <c r="C31" i="9"/>
  <c r="C4" i="9"/>
  <c r="C54" i="9"/>
  <c r="D17" i="15"/>
  <c r="D27" i="15"/>
  <c r="D37" i="15"/>
  <c r="G7" i="4"/>
  <c r="J6" i="16"/>
  <c r="G41" i="4"/>
  <c r="D41" i="15"/>
  <c r="D7" i="15"/>
  <c r="D32" i="15"/>
  <c r="J30" i="16"/>
  <c r="L11" i="16"/>
  <c r="L23" i="16"/>
  <c r="L37" i="16"/>
  <c r="D12" i="15"/>
  <c r="G37" i="4"/>
  <c r="J11" i="16"/>
  <c r="J23" i="16"/>
  <c r="J37" i="16"/>
  <c r="D20" i="15"/>
  <c r="L6" i="16"/>
  <c r="L18" i="16"/>
  <c r="L30" i="16"/>
  <c r="G40" i="4"/>
  <c r="D40" i="15"/>
  <c r="J18" i="16"/>
  <c r="G21" i="4" l="1"/>
  <c r="D21" i="15"/>
  <c r="G42" i="4"/>
  <c r="D42" i="15"/>
  <c r="Q61" i="9"/>
  <c r="E61" i="9"/>
  <c r="O54" i="9"/>
  <c r="N60" i="9"/>
  <c r="H60" i="9"/>
  <c r="E60" i="9"/>
  <c r="Q59" i="9"/>
  <c r="N58" i="9"/>
  <c r="H58" i="9"/>
  <c r="E58" i="9"/>
  <c r="Q57" i="9"/>
  <c r="N56" i="9"/>
  <c r="H56" i="9"/>
  <c r="E56" i="9"/>
  <c r="P54" i="9"/>
  <c r="Q55" i="9"/>
  <c r="M54" i="9"/>
  <c r="D54" i="9"/>
  <c r="Q52" i="9"/>
  <c r="N52" i="9"/>
  <c r="N50" i="9"/>
  <c r="E50" i="9"/>
  <c r="Q46" i="9"/>
  <c r="N46" i="9"/>
  <c r="H46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6" i="9" l="1"/>
  <c r="N7" i="9"/>
  <c r="L31" i="9"/>
  <c r="N31" i="9" s="1"/>
  <c r="D31" i="9"/>
  <c r="E31" i="9" s="1"/>
  <c r="G4" i="9"/>
  <c r="P4" i="9"/>
  <c r="Q4" i="9" s="1"/>
  <c r="N9" i="9"/>
  <c r="E11" i="9"/>
  <c r="L13" i="9"/>
  <c r="N13" i="9" s="1"/>
  <c r="Q14" i="9"/>
  <c r="E36" i="9"/>
  <c r="P31" i="9"/>
  <c r="E6" i="9"/>
  <c r="N6" i="9"/>
  <c r="F18" i="9"/>
  <c r="H18" i="9" s="1"/>
  <c r="O31" i="9"/>
  <c r="O66" i="9" s="1"/>
  <c r="N33" i="9"/>
  <c r="Q34" i="9"/>
  <c r="E37" i="9"/>
  <c r="N37" i="9"/>
  <c r="Q38" i="9"/>
  <c r="E57" i="9"/>
  <c r="N57" i="9"/>
  <c r="E59" i="9"/>
  <c r="N59" i="9"/>
  <c r="H35" i="9"/>
  <c r="H50" i="9"/>
  <c r="F4" i="9"/>
  <c r="L4" i="9"/>
  <c r="N4" i="9" s="1"/>
  <c r="H6" i="9"/>
  <c r="D13" i="9"/>
  <c r="E16" i="9"/>
  <c r="E19" i="9"/>
  <c r="H22" i="9"/>
  <c r="E29" i="9"/>
  <c r="F31" i="9"/>
  <c r="H33" i="9"/>
  <c r="E38" i="9"/>
  <c r="E46" i="9"/>
  <c r="H13" i="9"/>
  <c r="H20" i="9"/>
  <c r="E4" i="9"/>
  <c r="E7" i="9"/>
  <c r="L18" i="9"/>
  <c r="N18" i="9" s="1"/>
  <c r="D18" i="9"/>
  <c r="E21" i="9"/>
  <c r="H24" i="9"/>
  <c r="H40" i="9"/>
  <c r="Q54" i="9"/>
  <c r="G54" i="9"/>
  <c r="Q56" i="9"/>
  <c r="H15" i="9"/>
  <c r="E23" i="9"/>
  <c r="H27" i="9"/>
  <c r="E32" i="9"/>
  <c r="E34" i="9"/>
  <c r="H37" i="9"/>
  <c r="H42" i="9"/>
  <c r="E55" i="9"/>
  <c r="N55" i="9"/>
  <c r="Q58" i="9"/>
  <c r="Q60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Q50" i="9"/>
  <c r="F54" i="9"/>
  <c r="L54" i="9"/>
  <c r="H55" i="9"/>
  <c r="H57" i="9"/>
  <c r="H59" i="9"/>
  <c r="H61" i="9"/>
  <c r="N61" i="9"/>
  <c r="P66" i="9" l="1"/>
  <c r="P64" i="9" s="1"/>
  <c r="D66" i="9"/>
  <c r="D64" i="9" s="1"/>
  <c r="L66" i="9"/>
  <c r="G66" i="9"/>
  <c r="G64" i="9" s="1"/>
  <c r="R48" i="9"/>
  <c r="Q31" i="9"/>
  <c r="E18" i="9"/>
  <c r="E65" i="9"/>
  <c r="M64" i="9"/>
  <c r="N65" i="9"/>
  <c r="H54" i="9"/>
  <c r="H31" i="9"/>
  <c r="H4" i="9"/>
  <c r="Q65" i="9"/>
  <c r="N54" i="9"/>
  <c r="E13" i="9"/>
  <c r="H65" i="9"/>
  <c r="E54" i="9"/>
  <c r="R57" i="9" l="1"/>
  <c r="R44" i="9"/>
  <c r="R31" i="9"/>
  <c r="R35" i="9"/>
  <c r="R22" i="9"/>
  <c r="R33" i="9"/>
  <c r="R55" i="9"/>
  <c r="R23" i="9"/>
  <c r="R24" i="9"/>
  <c r="R65" i="9"/>
  <c r="R19" i="9"/>
  <c r="R46" i="9"/>
  <c r="R42" i="9"/>
  <c r="R14" i="9"/>
  <c r="R54" i="9"/>
  <c r="R20" i="9"/>
  <c r="R60" i="9"/>
  <c r="R13" i="9"/>
  <c r="R56" i="9"/>
  <c r="R9" i="9"/>
  <c r="O64" i="9"/>
  <c r="R50" i="9"/>
  <c r="R27" i="9"/>
  <c r="R59" i="9"/>
  <c r="R7" i="9"/>
  <c r="R6" i="9"/>
  <c r="R32" i="9"/>
  <c r="R52" i="9"/>
  <c r="R40" i="9"/>
  <c r="R58" i="9"/>
  <c r="R5" i="9"/>
  <c r="R34" i="9"/>
  <c r="R16" i="9"/>
  <c r="R25" i="9"/>
  <c r="Q66" i="9"/>
  <c r="R18" i="9"/>
  <c r="R29" i="9"/>
  <c r="R51" i="9"/>
  <c r="R61" i="9"/>
  <c r="R15" i="9"/>
  <c r="R4" i="9"/>
  <c r="R37" i="9"/>
  <c r="R36" i="9"/>
  <c r="R21" i="9"/>
  <c r="R11" i="9"/>
  <c r="R38" i="9"/>
  <c r="R66" i="9"/>
  <c r="N66" i="9"/>
  <c r="L64" i="9"/>
  <c r="R64" i="9" l="1"/>
  <c r="Q64" i="9"/>
  <c r="N64" i="9"/>
  <c r="J2" i="9" l="1"/>
  <c r="M26" i="17" l="1"/>
  <c r="P26" i="17" l="1"/>
  <c r="D26" i="17"/>
  <c r="G26" i="17"/>
  <c r="H15" i="17"/>
  <c r="Q15" i="17"/>
  <c r="H23" i="17"/>
  <c r="Q23" i="17"/>
  <c r="E5" i="17"/>
  <c r="E13" i="17"/>
  <c r="E15" i="17"/>
  <c r="H13" i="17"/>
  <c r="Q13" i="17"/>
  <c r="H21" i="17"/>
  <c r="Q21" i="17"/>
  <c r="F26" i="17"/>
  <c r="I7" i="17" s="1"/>
  <c r="Q5" i="17"/>
  <c r="Q9" i="17"/>
  <c r="H11" i="17"/>
  <c r="Q11" i="17"/>
  <c r="E17" i="17"/>
  <c r="E19" i="17"/>
  <c r="E23" i="17"/>
  <c r="H19" i="17"/>
  <c r="E9" i="17"/>
  <c r="N9" i="17"/>
  <c r="H9" i="17"/>
  <c r="E11" i="17"/>
  <c r="N13" i="17"/>
  <c r="H17" i="17"/>
  <c r="E21" i="17"/>
  <c r="N21" i="17"/>
  <c r="C26" i="17"/>
  <c r="L26" i="17"/>
  <c r="Q19" i="17"/>
  <c r="O26" i="17"/>
  <c r="R7" i="17" s="1"/>
  <c r="H5" i="17"/>
  <c r="N5" i="17"/>
  <c r="N11" i="17"/>
  <c r="N15" i="17"/>
  <c r="N19" i="17"/>
  <c r="N23" i="17"/>
  <c r="Q26" i="17" l="1"/>
  <c r="H26" i="17"/>
  <c r="R5" i="17"/>
  <c r="R23" i="17"/>
  <c r="R15" i="17"/>
  <c r="R21" i="17"/>
  <c r="R13" i="17"/>
  <c r="R11" i="17"/>
  <c r="R19" i="17"/>
  <c r="R9" i="17"/>
  <c r="I23" i="17"/>
  <c r="I17" i="17"/>
  <c r="I13" i="17"/>
  <c r="I11" i="17"/>
  <c r="I21" i="17"/>
  <c r="I15" i="17"/>
  <c r="I9" i="17"/>
  <c r="I19" i="17"/>
  <c r="I5" i="17"/>
  <c r="N26" i="17"/>
  <c r="E26" i="17"/>
  <c r="J45" i="15" l="1"/>
  <c r="J44" i="15"/>
  <c r="J36" i="15"/>
  <c r="J37" i="15" l="1"/>
  <c r="G11" i="16"/>
  <c r="G37" i="16"/>
  <c r="J12" i="15"/>
  <c r="J20" i="15"/>
  <c r="J32" i="15"/>
  <c r="G30" i="16"/>
  <c r="J7" i="15"/>
  <c r="J27" i="15"/>
  <c r="G23" i="16"/>
  <c r="J17" i="15"/>
  <c r="J41" i="15"/>
  <c r="G6" i="16"/>
  <c r="G18" i="16"/>
  <c r="J40" i="15"/>
  <c r="J21" i="15" l="1"/>
  <c r="J42" i="15"/>
  <c r="E36" i="15"/>
  <c r="E17" i="15" l="1"/>
  <c r="D18" i="3"/>
  <c r="E27" i="15"/>
  <c r="J7" i="4"/>
  <c r="D30" i="3"/>
  <c r="E22" i="3"/>
  <c r="I17" i="4"/>
  <c r="I37" i="4"/>
  <c r="J40" i="4"/>
  <c r="E44" i="3"/>
  <c r="D44" i="3"/>
  <c r="E7" i="15"/>
  <c r="J20" i="4"/>
  <c r="E12" i="15"/>
  <c r="E20" i="15"/>
  <c r="E32" i="15"/>
  <c r="D22" i="3"/>
  <c r="D7" i="3"/>
  <c r="D40" i="3"/>
  <c r="E7" i="3"/>
  <c r="E18" i="3"/>
  <c r="E30" i="3"/>
  <c r="J17" i="4"/>
  <c r="J27" i="4"/>
  <c r="J41" i="4"/>
  <c r="E41" i="15"/>
  <c r="E12" i="3"/>
  <c r="E35" i="3"/>
  <c r="I20" i="4"/>
  <c r="J37" i="4"/>
  <c r="J12" i="4"/>
  <c r="D12" i="3"/>
  <c r="D35" i="3"/>
  <c r="I7" i="4"/>
  <c r="I27" i="4"/>
  <c r="E40" i="15"/>
  <c r="E37" i="15"/>
  <c r="J32" i="4"/>
  <c r="I12" i="4"/>
  <c r="I32" i="4"/>
  <c r="I41" i="4"/>
  <c r="I40" i="4"/>
  <c r="E40" i="3"/>
  <c r="E43" i="3"/>
  <c r="D43" i="3"/>
  <c r="E21" i="15" l="1"/>
  <c r="E23" i="3"/>
  <c r="D23" i="3"/>
  <c r="D45" i="3"/>
  <c r="J21" i="4"/>
  <c r="I42" i="4"/>
  <c r="E45" i="3"/>
  <c r="I21" i="4"/>
  <c r="E42" i="15"/>
  <c r="J42" i="4"/>
  <c r="M10" i="15" l="1"/>
  <c r="M18" i="15"/>
  <c r="M5" i="15"/>
  <c r="M15" i="15"/>
  <c r="M6" i="15"/>
  <c r="M16" i="15"/>
  <c r="M11" i="15"/>
  <c r="M19" i="15"/>
  <c r="H32" i="8" l="1"/>
  <c r="H18" i="8"/>
  <c r="H6" i="8"/>
  <c r="H31" i="8"/>
  <c r="H10" i="8"/>
  <c r="H12" i="8" l="1"/>
  <c r="H23" i="8"/>
  <c r="H28" i="8"/>
  <c r="H33" i="8" l="1"/>
  <c r="F41" i="4" l="1"/>
  <c r="F20" i="4"/>
  <c r="F17" i="4"/>
  <c r="F40" i="4"/>
  <c r="F7" i="4"/>
  <c r="F27" i="4"/>
  <c r="F12" i="4"/>
  <c r="F32" i="4"/>
  <c r="F37" i="4"/>
  <c r="F21" i="4" l="1"/>
  <c r="F42" i="4"/>
  <c r="F45" i="15"/>
  <c r="F44" i="15"/>
  <c r="L36" i="15"/>
  <c r="K36" i="15"/>
  <c r="I36" i="15"/>
  <c r="H36" i="15"/>
  <c r="G36" i="15"/>
  <c r="F36" i="15"/>
  <c r="C36" i="15"/>
  <c r="B36" i="15"/>
  <c r="L35" i="15"/>
  <c r="K35" i="15"/>
  <c r="I35" i="15"/>
  <c r="K30" i="15"/>
  <c r="K7" i="15" l="1"/>
  <c r="M23" i="16"/>
  <c r="F11" i="2"/>
  <c r="F21" i="2"/>
  <c r="F35" i="2"/>
  <c r="K37" i="15"/>
  <c r="M30" i="16"/>
  <c r="M6" i="16"/>
  <c r="M37" i="16"/>
  <c r="F6" i="2"/>
  <c r="F17" i="2"/>
  <c r="F30" i="2"/>
  <c r="F40" i="2"/>
  <c r="K32" i="15"/>
  <c r="K12" i="15"/>
  <c r="K27" i="15"/>
  <c r="K17" i="15"/>
  <c r="M18" i="16"/>
  <c r="K40" i="15"/>
  <c r="K20" i="15"/>
  <c r="M11" i="16"/>
  <c r="K41" i="15"/>
  <c r="F43" i="2"/>
  <c r="F44" i="2"/>
  <c r="F45" i="2" l="1"/>
  <c r="F23" i="2"/>
  <c r="G45" i="2"/>
  <c r="K21" i="15"/>
  <c r="K42" i="15"/>
  <c r="I10" i="8" l="1"/>
  <c r="I18" i="8" l="1"/>
  <c r="I28" i="8"/>
  <c r="I31" i="8"/>
  <c r="I23" i="8"/>
  <c r="I6" i="8"/>
  <c r="I12" i="8" s="1"/>
  <c r="I32" i="8"/>
  <c r="L18" i="8"/>
  <c r="D30" i="2"/>
  <c r="B30" i="3"/>
  <c r="C27" i="4"/>
  <c r="K27" i="4"/>
  <c r="F27" i="15"/>
  <c r="D23" i="8"/>
  <c r="D35" i="2"/>
  <c r="B35" i="3"/>
  <c r="F35" i="3"/>
  <c r="H35" i="3"/>
  <c r="E32" i="4"/>
  <c r="B32" i="15"/>
  <c r="I32" i="15"/>
  <c r="L32" i="15"/>
  <c r="K31" i="8"/>
  <c r="D17" i="4"/>
  <c r="G17" i="15"/>
  <c r="L17" i="15"/>
  <c r="D20" i="4"/>
  <c r="B20" i="15"/>
  <c r="C17" i="2"/>
  <c r="F18" i="3"/>
  <c r="I18" i="3"/>
  <c r="D21" i="2"/>
  <c r="H22" i="3"/>
  <c r="C11" i="2"/>
  <c r="D11" i="2"/>
  <c r="K12" i="4"/>
  <c r="C12" i="15"/>
  <c r="F12" i="15"/>
  <c r="B7" i="15"/>
  <c r="L7" i="15"/>
  <c r="J49" i="3"/>
  <c r="J51" i="2" s="1"/>
  <c r="O33" i="7"/>
  <c r="J33" i="7"/>
  <c r="E33" i="7"/>
  <c r="K47" i="2"/>
  <c r="M45" i="15"/>
  <c r="M44" i="15"/>
  <c r="P20" i="16"/>
  <c r="P8" i="16"/>
  <c r="K42" i="2"/>
  <c r="K37" i="2"/>
  <c r="K36" i="2"/>
  <c r="K32" i="2"/>
  <c r="K8" i="2"/>
  <c r="M34" i="4"/>
  <c r="M33" i="4"/>
  <c r="M14" i="4"/>
  <c r="B10" i="8"/>
  <c r="D10" i="8"/>
  <c r="E10" i="8"/>
  <c r="G10" i="8"/>
  <c r="J10" i="8"/>
  <c r="K10" i="8"/>
  <c r="L10" i="8"/>
  <c r="J33" i="8"/>
  <c r="L32" i="8" l="1"/>
  <c r="O37" i="16"/>
  <c r="H18" i="3"/>
  <c r="H23" i="3" s="1"/>
  <c r="C17" i="4"/>
  <c r="K37" i="4"/>
  <c r="K37" i="16"/>
  <c r="E32" i="8"/>
  <c r="I37" i="16"/>
  <c r="B18" i="3"/>
  <c r="F17" i="15"/>
  <c r="B37" i="16"/>
  <c r="F37" i="16"/>
  <c r="H44" i="3"/>
  <c r="J48" i="3"/>
  <c r="J50" i="2" s="1"/>
  <c r="K50" i="2" s="1"/>
  <c r="D30" i="16"/>
  <c r="I30" i="16"/>
  <c r="O11" i="16"/>
  <c r="F41" i="15"/>
  <c r="K41" i="4"/>
  <c r="C23" i="16"/>
  <c r="L28" i="8"/>
  <c r="B22" i="3"/>
  <c r="K20" i="4"/>
  <c r="K17" i="4"/>
  <c r="B46" i="4"/>
  <c r="B47" i="4" s="1"/>
  <c r="B44" i="3"/>
  <c r="D44" i="2"/>
  <c r="B18" i="8"/>
  <c r="N18" i="16"/>
  <c r="D6" i="16"/>
  <c r="C7" i="7"/>
  <c r="G18" i="3"/>
  <c r="I20" i="15"/>
  <c r="H17" i="4"/>
  <c r="K28" i="8"/>
  <c r="B28" i="8"/>
  <c r="I37" i="15"/>
  <c r="E40" i="2"/>
  <c r="B40" i="2"/>
  <c r="H40" i="15"/>
  <c r="O18" i="16"/>
  <c r="B27" i="15"/>
  <c r="B30" i="16"/>
  <c r="F30" i="16"/>
  <c r="N30" i="16"/>
  <c r="E18" i="16"/>
  <c r="K18" i="16"/>
  <c r="E6" i="2"/>
  <c r="G12" i="15"/>
  <c r="I22" i="3"/>
  <c r="I23" i="3" s="1"/>
  <c r="B17" i="15"/>
  <c r="F12" i="7"/>
  <c r="B12" i="7"/>
  <c r="K6" i="8"/>
  <c r="K12" i="8" s="1"/>
  <c r="M32" i="8"/>
  <c r="L41" i="15"/>
  <c r="G41" i="15"/>
  <c r="B41" i="15"/>
  <c r="D41" i="4"/>
  <c r="D28" i="8"/>
  <c r="F40" i="15"/>
  <c r="K40" i="4"/>
  <c r="I18" i="16"/>
  <c r="E43" i="2"/>
  <c r="B43" i="2"/>
  <c r="H32" i="15"/>
  <c r="C32" i="15"/>
  <c r="G44" i="3"/>
  <c r="B23" i="16"/>
  <c r="H11" i="16"/>
  <c r="F6" i="16"/>
  <c r="B6" i="16"/>
  <c r="K11" i="16"/>
  <c r="E11" i="16"/>
  <c r="I6" i="16"/>
  <c r="I12" i="15"/>
  <c r="H12" i="4"/>
  <c r="G12" i="3"/>
  <c r="C21" i="2"/>
  <c r="C23" i="2" s="1"/>
  <c r="H20" i="4"/>
  <c r="I17" i="15"/>
  <c r="D32" i="4"/>
  <c r="I35" i="3"/>
  <c r="C35" i="3"/>
  <c r="M23" i="8"/>
  <c r="E23" i="8"/>
  <c r="L27" i="15"/>
  <c r="G27" i="15"/>
  <c r="J28" i="3"/>
  <c r="J28" i="2" s="1"/>
  <c r="K28" i="2" s="1"/>
  <c r="B5" i="5" s="1"/>
  <c r="K23" i="8"/>
  <c r="I33" i="8"/>
  <c r="C30" i="16"/>
  <c r="H30" i="16"/>
  <c r="G7" i="3"/>
  <c r="E7" i="7"/>
  <c r="C12" i="7"/>
  <c r="L6" i="8"/>
  <c r="L12" i="8" s="1"/>
  <c r="C44" i="3"/>
  <c r="F32" i="15"/>
  <c r="K32" i="4"/>
  <c r="D27" i="4"/>
  <c r="M18" i="8"/>
  <c r="E18" i="8"/>
  <c r="G31" i="8"/>
  <c r="I23" i="16"/>
  <c r="H6" i="16"/>
  <c r="C6" i="16"/>
  <c r="E6" i="16"/>
  <c r="F7" i="3"/>
  <c r="I7" i="3"/>
  <c r="C7" i="3"/>
  <c r="B6" i="8"/>
  <c r="B12" i="8" s="1"/>
  <c r="B40" i="4"/>
  <c r="E23" i="16"/>
  <c r="K23" i="16"/>
  <c r="K7" i="4"/>
  <c r="C7" i="4"/>
  <c r="J10" i="3"/>
  <c r="J9" i="2" s="1"/>
  <c r="B17" i="2"/>
  <c r="D21" i="1"/>
  <c r="H41" i="15"/>
  <c r="M36" i="15"/>
  <c r="L36" i="4" s="1"/>
  <c r="M36" i="4" s="1"/>
  <c r="C16" i="5" s="1"/>
  <c r="B37" i="4"/>
  <c r="M31" i="8"/>
  <c r="E28" i="8"/>
  <c r="L40" i="15"/>
  <c r="D40" i="4"/>
  <c r="H40" i="3"/>
  <c r="B40" i="3"/>
  <c r="D40" i="2"/>
  <c r="F44" i="3"/>
  <c r="B32" i="8"/>
  <c r="M10" i="8"/>
  <c r="I7" i="15"/>
  <c r="L12" i="15"/>
  <c r="D12" i="4"/>
  <c r="C12" i="3"/>
  <c r="C22" i="3"/>
  <c r="G40" i="3"/>
  <c r="C40" i="2"/>
  <c r="G5" i="7"/>
  <c r="B7" i="1" s="1"/>
  <c r="H12" i="15"/>
  <c r="E12" i="4"/>
  <c r="B12" i="4"/>
  <c r="E21" i="2"/>
  <c r="E17" i="2"/>
  <c r="H20" i="15"/>
  <c r="C20" i="15"/>
  <c r="E20" i="4"/>
  <c r="B20" i="4"/>
  <c r="H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M26" i="15"/>
  <c r="L26" i="4" s="1"/>
  <c r="M26" i="4" s="1"/>
  <c r="C6" i="5" s="1"/>
  <c r="C40" i="3"/>
  <c r="B23" i="8"/>
  <c r="N23" i="16"/>
  <c r="D37" i="4"/>
  <c r="B40" i="15"/>
  <c r="J19" i="2"/>
  <c r="K19" i="2" s="1"/>
  <c r="N8" i="8"/>
  <c r="G43" i="3"/>
  <c r="B27" i="4"/>
  <c r="L19" i="4"/>
  <c r="M19" i="4" s="1"/>
  <c r="E31" i="8"/>
  <c r="D7" i="4"/>
  <c r="J39" i="3"/>
  <c r="J39" i="2" s="1"/>
  <c r="K39" i="2" s="1"/>
  <c r="B16" i="5" s="1"/>
  <c r="B32" i="4"/>
  <c r="E35" i="2"/>
  <c r="B35" i="2"/>
  <c r="G23" i="8"/>
  <c r="D43" i="2"/>
  <c r="F23" i="16"/>
  <c r="N11" i="16"/>
  <c r="L20" i="15"/>
  <c r="L21" i="15" s="1"/>
  <c r="C40" i="4"/>
  <c r="D31" i="8"/>
  <c r="F43" i="3"/>
  <c r="B41" i="4"/>
  <c r="C32" i="4"/>
  <c r="B18" i="16"/>
  <c r="F18" i="16"/>
  <c r="P21" i="16"/>
  <c r="H7" i="3"/>
  <c r="C6" i="2"/>
  <c r="F7" i="15"/>
  <c r="H7" i="15"/>
  <c r="E7" i="4"/>
  <c r="J15" i="2"/>
  <c r="K15" i="2" s="1"/>
  <c r="I40" i="15"/>
  <c r="E6" i="8"/>
  <c r="E12" i="8" s="1"/>
  <c r="N5" i="8"/>
  <c r="C19" i="1" s="1"/>
  <c r="N27" i="8"/>
  <c r="D16" i="5" s="1"/>
  <c r="C44" i="2"/>
  <c r="H23" i="16"/>
  <c r="J5" i="3"/>
  <c r="J4" i="2" s="1"/>
  <c r="K4" i="2" s="1"/>
  <c r="B5" i="1" s="1"/>
  <c r="C7" i="15"/>
  <c r="L5" i="4"/>
  <c r="M5" i="4" s="1"/>
  <c r="L16" i="4"/>
  <c r="M16" i="4" s="1"/>
  <c r="G20" i="15"/>
  <c r="G21" i="15" s="1"/>
  <c r="I30" i="3"/>
  <c r="I43" i="3"/>
  <c r="J34" i="3"/>
  <c r="J34" i="2" s="1"/>
  <c r="K34" i="2" s="1"/>
  <c r="B11" i="5" s="1"/>
  <c r="J29" i="3"/>
  <c r="J29" i="2" s="1"/>
  <c r="F12" i="3"/>
  <c r="G35" i="3"/>
  <c r="M31" i="15"/>
  <c r="L31" i="4" s="1"/>
  <c r="G18" i="8"/>
  <c r="C30" i="2"/>
  <c r="I40" i="3"/>
  <c r="I44" i="3"/>
  <c r="N9" i="8"/>
  <c r="K30" i="16"/>
  <c r="P28" i="16"/>
  <c r="H18" i="16"/>
  <c r="D23" i="16"/>
  <c r="H40" i="4"/>
  <c r="H37" i="4"/>
  <c r="J38" i="3"/>
  <c r="J38" i="2" s="1"/>
  <c r="F40" i="3"/>
  <c r="G28" i="8"/>
  <c r="G32" i="8"/>
  <c r="N16" i="8"/>
  <c r="D5" i="5" s="1"/>
  <c r="H37" i="15"/>
  <c r="L18" i="4"/>
  <c r="M18" i="4" s="1"/>
  <c r="K32" i="8"/>
  <c r="B11" i="16"/>
  <c r="K51" i="2"/>
  <c r="J20" i="2"/>
  <c r="K20" i="2" s="1"/>
  <c r="G22" i="3"/>
  <c r="H41" i="4"/>
  <c r="N26" i="8"/>
  <c r="D15" i="5" s="1"/>
  <c r="C37" i="15"/>
  <c r="G30" i="3"/>
  <c r="M46" i="15"/>
  <c r="L44" i="4" s="1"/>
  <c r="M44" i="4" s="1"/>
  <c r="N37" i="16"/>
  <c r="F11" i="16"/>
  <c r="M47" i="15"/>
  <c r="L45" i="4" s="1"/>
  <c r="M45" i="4" s="1"/>
  <c r="F22" i="3"/>
  <c r="F23" i="3" s="1"/>
  <c r="B21" i="2"/>
  <c r="L37" i="15"/>
  <c r="E37" i="4"/>
  <c r="M30" i="15"/>
  <c r="L30" i="4" s="1"/>
  <c r="M30" i="4" s="1"/>
  <c r="C10" i="5" s="1"/>
  <c r="I27" i="15"/>
  <c r="N22" i="8"/>
  <c r="D11" i="5" s="1"/>
  <c r="H27" i="15"/>
  <c r="C41" i="15"/>
  <c r="E41" i="4"/>
  <c r="F30" i="3"/>
  <c r="N17" i="8"/>
  <c r="E30" i="16"/>
  <c r="H37" i="16"/>
  <c r="K6" i="16"/>
  <c r="I11" i="16"/>
  <c r="D11" i="16"/>
  <c r="D6" i="2"/>
  <c r="L6" i="4"/>
  <c r="M6" i="4" s="1"/>
  <c r="F7" i="7"/>
  <c r="E11" i="2"/>
  <c r="B11" i="2"/>
  <c r="B12" i="3"/>
  <c r="F20" i="15"/>
  <c r="C20" i="4"/>
  <c r="F37" i="15"/>
  <c r="B37" i="15"/>
  <c r="N21" i="8"/>
  <c r="H27" i="4"/>
  <c r="O6" i="16"/>
  <c r="J6" i="3"/>
  <c r="J5" i="2" s="1"/>
  <c r="K5" i="2" s="1"/>
  <c r="C5" i="1" s="1"/>
  <c r="B7" i="3"/>
  <c r="G7" i="15"/>
  <c r="H7" i="4"/>
  <c r="D7" i="7"/>
  <c r="I12" i="3"/>
  <c r="D17" i="2"/>
  <c r="D23" i="2" s="1"/>
  <c r="C17" i="15"/>
  <c r="E17" i="4"/>
  <c r="D12" i="7"/>
  <c r="E12" i="7"/>
  <c r="M6" i="8"/>
  <c r="I41" i="15"/>
  <c r="B31" i="8"/>
  <c r="K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J6" i="8"/>
  <c r="J12" i="8" s="1"/>
  <c r="M28" i="8"/>
  <c r="G6" i="8"/>
  <c r="G12" i="8" s="1"/>
  <c r="B6" i="2"/>
  <c r="J16" i="2"/>
  <c r="C41" i="4"/>
  <c r="C40" i="15"/>
  <c r="M25" i="15"/>
  <c r="L25" i="4" s="1"/>
  <c r="C27" i="15"/>
  <c r="E40" i="4"/>
  <c r="E27" i="4"/>
  <c r="O30" i="16"/>
  <c r="P27" i="16"/>
  <c r="D18" i="16"/>
  <c r="O23" i="16"/>
  <c r="P22" i="16"/>
  <c r="E37" i="16"/>
  <c r="P34" i="16"/>
  <c r="J12" i="5"/>
  <c r="J21" i="5"/>
  <c r="N4" i="8"/>
  <c r="B19" i="1" s="1"/>
  <c r="D6" i="8"/>
  <c r="L31" i="8"/>
  <c r="L23" i="8"/>
  <c r="D32" i="8"/>
  <c r="B43" i="3"/>
  <c r="C11" i="16"/>
  <c r="B32" i="7"/>
  <c r="B12" i="15"/>
  <c r="L10" i="4"/>
  <c r="M10" i="4" s="1"/>
  <c r="G40" i="15"/>
  <c r="M35" i="15"/>
  <c r="L35" i="4" s="1"/>
  <c r="G37" i="15"/>
  <c r="E44" i="2"/>
  <c r="E30" i="2"/>
  <c r="B44" i="2"/>
  <c r="B30" i="2"/>
  <c r="J33" i="3"/>
  <c r="J33" i="2" s="1"/>
  <c r="D18" i="8"/>
  <c r="D37" i="16"/>
  <c r="C37" i="16"/>
  <c r="P35" i="16"/>
  <c r="L11" i="4"/>
  <c r="M11" i="4" s="1"/>
  <c r="L15" i="4"/>
  <c r="M15" i="4" s="1"/>
  <c r="N6" i="16"/>
  <c r="B7" i="7"/>
  <c r="G32" i="15"/>
  <c r="C43" i="2"/>
  <c r="C35" i="2"/>
  <c r="D21" i="4"/>
  <c r="C18" i="16"/>
  <c r="B7" i="4"/>
  <c r="C12" i="4"/>
  <c r="H12" i="3"/>
  <c r="C18" i="3"/>
  <c r="G10" i="7"/>
  <c r="B18" i="1" s="1"/>
  <c r="C37" i="4"/>
  <c r="H43" i="3"/>
  <c r="H30" i="3"/>
  <c r="C30" i="3"/>
  <c r="C43" i="3"/>
  <c r="G21" i="1" l="1"/>
  <c r="C32" i="7"/>
  <c r="F27" i="7"/>
  <c r="F26" i="7"/>
  <c r="J22" i="3"/>
  <c r="J18" i="3"/>
  <c r="F25" i="7"/>
  <c r="F24" i="7"/>
  <c r="D23" i="7"/>
  <c r="F23" i="7" s="1"/>
  <c r="F20" i="1"/>
  <c r="F21" i="1"/>
  <c r="M20" i="15"/>
  <c r="M7" i="15"/>
  <c r="B21" i="15"/>
  <c r="M17" i="15"/>
  <c r="M12" i="15"/>
  <c r="C6" i="1"/>
  <c r="B6" i="1"/>
  <c r="H21" i="4"/>
  <c r="H21" i="15"/>
  <c r="B23" i="3"/>
  <c r="B42" i="15"/>
  <c r="K42" i="4"/>
  <c r="L42" i="15"/>
  <c r="L7" i="4"/>
  <c r="M7" i="4" s="1"/>
  <c r="K21" i="4"/>
  <c r="I45" i="3"/>
  <c r="C21" i="4"/>
  <c r="B23" i="2"/>
  <c r="B33" i="1"/>
  <c r="D33" i="1" s="1"/>
  <c r="N10" i="8"/>
  <c r="H45" i="3"/>
  <c r="K33" i="8"/>
  <c r="F21" i="15"/>
  <c r="G45" i="3"/>
  <c r="D45" i="2"/>
  <c r="C45" i="3"/>
  <c r="M12" i="8"/>
  <c r="G23" i="3"/>
  <c r="B33" i="8"/>
  <c r="H42" i="15"/>
  <c r="I21" i="15"/>
  <c r="F42" i="15"/>
  <c r="B42" i="4"/>
  <c r="D7" i="1"/>
  <c r="J17" i="2"/>
  <c r="K17" i="2" s="1"/>
  <c r="J12" i="3"/>
  <c r="J44" i="3"/>
  <c r="E45" i="2"/>
  <c r="M33" i="8"/>
  <c r="E21" i="4"/>
  <c r="D17" i="5"/>
  <c r="F45" i="3"/>
  <c r="G42" i="15"/>
  <c r="D18" i="1"/>
  <c r="C10" i="1"/>
  <c r="L27" i="4"/>
  <c r="M27" i="4" s="1"/>
  <c r="C21" i="15"/>
  <c r="D42" i="4"/>
  <c r="E33" i="8"/>
  <c r="J11" i="2"/>
  <c r="K11" i="2" s="1"/>
  <c r="K9" i="2"/>
  <c r="G33" i="8"/>
  <c r="J35" i="3"/>
  <c r="J40" i="3"/>
  <c r="J44" i="2"/>
  <c r="K44" i="2" s="1"/>
  <c r="M32" i="15"/>
  <c r="M25" i="4"/>
  <c r="C5" i="5" s="1"/>
  <c r="J30" i="3"/>
  <c r="P6" i="16"/>
  <c r="J7" i="3"/>
  <c r="N23" i="8"/>
  <c r="B21" i="4"/>
  <c r="N18" i="8"/>
  <c r="N31" i="8"/>
  <c r="G12" i="7"/>
  <c r="P11" i="16"/>
  <c r="J22" i="5"/>
  <c r="K29" i="2"/>
  <c r="B6" i="5" s="1"/>
  <c r="B7" i="5" s="1"/>
  <c r="J21" i="2"/>
  <c r="K21" i="2" s="1"/>
  <c r="H42" i="4"/>
  <c r="P23" i="16"/>
  <c r="L32" i="4"/>
  <c r="M32" i="4" s="1"/>
  <c r="C37" i="1"/>
  <c r="I42" i="15"/>
  <c r="E23" i="2"/>
  <c r="M27" i="15"/>
  <c r="B16" i="1"/>
  <c r="C17" i="1"/>
  <c r="P37" i="16"/>
  <c r="L41" i="4"/>
  <c r="M41" i="4" s="1"/>
  <c r="P18" i="16"/>
  <c r="D19" i="1"/>
  <c r="J6" i="2"/>
  <c r="K6" i="2" s="1"/>
  <c r="D5" i="1" s="1"/>
  <c r="L20" i="4"/>
  <c r="M20" i="4" s="1"/>
  <c r="N32" i="8"/>
  <c r="G7" i="7"/>
  <c r="P30" i="16"/>
  <c r="N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L33" i="8"/>
  <c r="M37" i="15"/>
  <c r="C23" i="3"/>
  <c r="L17" i="4"/>
  <c r="M17" i="4" s="1"/>
  <c r="D10" i="5"/>
  <c r="D12" i="8"/>
  <c r="N6" i="8"/>
  <c r="E42" i="4"/>
  <c r="C42" i="15"/>
  <c r="M40" i="15"/>
  <c r="M41" i="15"/>
  <c r="D33" i="8"/>
  <c r="B45" i="2"/>
  <c r="L37" i="4"/>
  <c r="L40" i="4"/>
  <c r="M40" i="4" s="1"/>
  <c r="M35" i="4"/>
  <c r="C15" i="5" s="1"/>
  <c r="L12" i="4"/>
  <c r="M12" i="4" s="1"/>
  <c r="E16" i="5"/>
  <c r="F16" i="5" s="1"/>
  <c r="I16" i="5" s="1"/>
  <c r="K16" i="2"/>
  <c r="C16" i="1" s="1"/>
  <c r="C42" i="4"/>
  <c r="B45" i="3"/>
  <c r="J43" i="3"/>
  <c r="G18" i="1" l="1"/>
  <c r="G5" i="1"/>
  <c r="G19" i="1"/>
  <c r="G7" i="1"/>
  <c r="D32" i="7"/>
  <c r="F32" i="7" s="1"/>
  <c r="F31" i="7"/>
  <c r="D30" i="7"/>
  <c r="F30" i="7" s="1"/>
  <c r="F28" i="7"/>
  <c r="D22" i="7"/>
  <c r="F22" i="7" s="1"/>
  <c r="B8" i="1"/>
  <c r="F18" i="1"/>
  <c r="M21" i="15"/>
  <c r="D6" i="1"/>
  <c r="C8" i="1"/>
  <c r="C33" i="1" s="1"/>
  <c r="N12" i="8"/>
  <c r="B10" i="1"/>
  <c r="D21" i="7"/>
  <c r="F21" i="7" s="1"/>
  <c r="F19" i="1"/>
  <c r="J45" i="2"/>
  <c r="K45" i="2" s="1"/>
  <c r="J45" i="3"/>
  <c r="F7" i="1"/>
  <c r="J23" i="2"/>
  <c r="K23" i="2" s="1"/>
  <c r="B27" i="1"/>
  <c r="B21" i="5"/>
  <c r="B28" i="1"/>
  <c r="L42" i="4"/>
  <c r="M42" i="4" s="1"/>
  <c r="M42" i="15"/>
  <c r="J23" i="3"/>
  <c r="B17" i="1"/>
  <c r="D17" i="1" s="1"/>
  <c r="G17" i="1" s="1"/>
  <c r="K43" i="2"/>
  <c r="C11" i="5"/>
  <c r="C28" i="1"/>
  <c r="C27" i="1"/>
  <c r="N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I6" i="5" s="1"/>
  <c r="C7" i="5"/>
  <c r="E5" i="5"/>
  <c r="G16" i="1" l="1"/>
  <c r="G6" i="1"/>
  <c r="D10" i="1"/>
  <c r="G10" i="1" s="1"/>
  <c r="D8" i="1"/>
  <c r="F8" i="1" s="1"/>
  <c r="F6" i="1"/>
  <c r="C11" i="1"/>
  <c r="M32" i="7" s="1"/>
  <c r="B32" i="1"/>
  <c r="B11" i="1"/>
  <c r="L32" i="7" s="1"/>
  <c r="D28" i="1"/>
  <c r="G28" i="1" s="1"/>
  <c r="B22" i="1"/>
  <c r="B29" i="1"/>
  <c r="C12" i="5"/>
  <c r="C21" i="5"/>
  <c r="E21" i="5" s="1"/>
  <c r="F21" i="5" s="1"/>
  <c r="I21" i="5" s="1"/>
  <c r="E11" i="5"/>
  <c r="F11" i="5" s="1"/>
  <c r="I11" i="5" s="1"/>
  <c r="C29" i="1"/>
  <c r="F5" i="5"/>
  <c r="I5" i="5" s="1"/>
  <c r="E7" i="5"/>
  <c r="F16" i="1"/>
  <c r="D22" i="1"/>
  <c r="F22" i="1" s="1"/>
  <c r="D22" i="5"/>
  <c r="F15" i="5"/>
  <c r="I15" i="5" s="1"/>
  <c r="E17" i="5"/>
  <c r="D27" i="1" s="1"/>
  <c r="G27" i="1" s="1"/>
  <c r="B22" i="5"/>
  <c r="E20" i="5"/>
  <c r="H6" i="5"/>
  <c r="F10" i="5"/>
  <c r="I10" i="5" s="1"/>
  <c r="F17" i="1"/>
  <c r="H32" i="7" l="1"/>
  <c r="D32" i="1"/>
  <c r="C32" i="1"/>
  <c r="N32" i="7"/>
  <c r="P32" i="7" s="1"/>
  <c r="G32" i="7"/>
  <c r="H30" i="7"/>
  <c r="H31" i="7"/>
  <c r="G31" i="7"/>
  <c r="N30" i="7"/>
  <c r="P30" i="7" s="1"/>
  <c r="G30" i="7"/>
  <c r="H28" i="7"/>
  <c r="P28" i="7"/>
  <c r="G28" i="7"/>
  <c r="G27" i="7"/>
  <c r="H26" i="7"/>
  <c r="H27" i="7"/>
  <c r="P26" i="7"/>
  <c r="G26" i="7"/>
  <c r="G25" i="7"/>
  <c r="H24" i="7"/>
  <c r="H25" i="7"/>
  <c r="G24" i="7"/>
  <c r="P24" i="7"/>
  <c r="F10" i="1"/>
  <c r="I23" i="7"/>
  <c r="K23" i="7" s="1"/>
  <c r="N23" i="7"/>
  <c r="P23" i="7" s="1"/>
  <c r="N22" i="7"/>
  <c r="P22" i="7" s="1"/>
  <c r="H21" i="5"/>
  <c r="F28" i="1"/>
  <c r="D11" i="1"/>
  <c r="F11" i="1" s="1"/>
  <c r="N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I20" i="5" s="1"/>
  <c r="E22" i="5"/>
  <c r="F12" i="5"/>
  <c r="H12" i="5" s="1"/>
  <c r="H10" i="5"/>
  <c r="I32" i="7" l="1"/>
  <c r="K32" i="7" s="1"/>
  <c r="I31" i="7"/>
  <c r="K31" i="7" s="1"/>
  <c r="P31" i="7"/>
  <c r="I30" i="7"/>
  <c r="K30" i="7" s="1"/>
  <c r="I28" i="7"/>
  <c r="K28" i="7" s="1"/>
  <c r="I26" i="7"/>
  <c r="K26" i="7" s="1"/>
  <c r="I27" i="7"/>
  <c r="K27" i="7" s="1"/>
  <c r="P27" i="7"/>
  <c r="I24" i="7"/>
  <c r="K24" i="7" s="1"/>
  <c r="I25" i="7"/>
  <c r="K25" i="7" s="1"/>
  <c r="P25" i="7"/>
  <c r="I22" i="7"/>
  <c r="K22" i="7" s="1"/>
  <c r="P21" i="7"/>
  <c r="I21" i="7"/>
  <c r="F22" i="5"/>
  <c r="H22" i="5" s="1"/>
  <c r="H20" i="5"/>
  <c r="K21" i="7" l="1"/>
  <c r="H52" i="9" l="1"/>
  <c r="F66" i="9"/>
  <c r="I52" i="9" s="1"/>
  <c r="C66" i="9"/>
  <c r="E52" i="9"/>
  <c r="C64" i="9" l="1"/>
  <c r="E66" i="9"/>
  <c r="I48" i="9"/>
  <c r="I4" i="9"/>
  <c r="I9" i="9"/>
  <c r="I40" i="9"/>
  <c r="I32" i="9"/>
  <c r="I11" i="9"/>
  <c r="I15" i="9"/>
  <c r="I55" i="9"/>
  <c r="I24" i="9"/>
  <c r="I44" i="9"/>
  <c r="I65" i="9"/>
  <c r="I56" i="9"/>
  <c r="I19" i="9"/>
  <c r="I34" i="9"/>
  <c r="I57" i="9"/>
  <c r="I38" i="9"/>
  <c r="I31" i="9"/>
  <c r="I37" i="9"/>
  <c r="I21" i="9"/>
  <c r="I16" i="9"/>
  <c r="I42" i="9"/>
  <c r="I27" i="9"/>
  <c r="I61" i="9"/>
  <c r="I20" i="9"/>
  <c r="I5" i="9"/>
  <c r="I46" i="9"/>
  <c r="I25" i="9"/>
  <c r="I54" i="9"/>
  <c r="I36" i="9"/>
  <c r="I29" i="9"/>
  <c r="I58" i="9"/>
  <c r="H66" i="9"/>
  <c r="I66" i="9" s="1"/>
  <c r="I59" i="9"/>
  <c r="I35" i="9"/>
  <c r="I18" i="9"/>
  <c r="F64" i="9"/>
  <c r="I13" i="9"/>
  <c r="I6" i="9"/>
  <c r="I22" i="9"/>
  <c r="I23" i="9"/>
  <c r="I60" i="9"/>
  <c r="I14" i="9"/>
  <c r="I50" i="9"/>
  <c r="I33" i="9"/>
  <c r="I7" i="9"/>
  <c r="E64" i="9" l="1"/>
  <c r="H64" i="9"/>
  <c r="I64" i="9"/>
  <c r="I20" i="1" l="1"/>
  <c r="B29" i="7" l="1"/>
  <c r="I21" i="1" l="1"/>
  <c r="B33" i="7"/>
  <c r="I7" i="1"/>
  <c r="I18" i="1" l="1"/>
  <c r="I19" i="1"/>
  <c r="I5" i="1"/>
  <c r="C29" i="7"/>
  <c r="I6" i="1"/>
  <c r="I17" i="1"/>
  <c r="K6" i="5"/>
  <c r="I16" i="1" l="1"/>
  <c r="G22" i="1"/>
  <c r="I22" i="1" s="1"/>
  <c r="C33" i="7"/>
  <c r="D29" i="7"/>
  <c r="G8" i="1"/>
  <c r="I10" i="1"/>
  <c r="L29" i="7"/>
  <c r="I28" i="1"/>
  <c r="K21" i="5"/>
  <c r="K11" i="5"/>
  <c r="F29" i="7" l="1"/>
  <c r="D33" i="7"/>
  <c r="K5" i="5"/>
  <c r="I7" i="5"/>
  <c r="K7" i="5" s="1"/>
  <c r="K10" i="5"/>
  <c r="I12" i="5"/>
  <c r="K12" i="5" s="1"/>
  <c r="G29" i="1"/>
  <c r="I29" i="1" s="1"/>
  <c r="I27" i="1"/>
  <c r="L33" i="7"/>
  <c r="G29" i="7"/>
  <c r="I17" i="5"/>
  <c r="K17" i="5" s="1"/>
  <c r="K15" i="5"/>
  <c r="D34" i="1"/>
  <c r="E33" i="1" s="1"/>
  <c r="I8" i="1"/>
  <c r="G11" i="1"/>
  <c r="I11" i="1" s="1"/>
  <c r="F33" i="7" l="1"/>
  <c r="K20" i="5"/>
  <c r="I22" i="5"/>
  <c r="K22" i="5" s="1"/>
  <c r="M29" i="7"/>
  <c r="E32" i="1"/>
  <c r="G33" i="7"/>
  <c r="H29" i="7" l="1"/>
  <c r="M33" i="7"/>
  <c r="N29" i="7"/>
  <c r="P29" i="7" l="1"/>
  <c r="N33" i="7"/>
  <c r="P33" i="7" s="1"/>
  <c r="H33" i="7"/>
  <c r="I29" i="7"/>
  <c r="K29" i="7" l="1"/>
  <c r="I33" i="7"/>
  <c r="K33" i="7" l="1"/>
</calcChain>
</file>

<file path=xl/sharedStrings.xml><?xml version="1.0" encoding="utf-8"?>
<sst xmlns="http://schemas.openxmlformats.org/spreadsheetml/2006/main" count="600" uniqueCount="233">
  <si>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</si>
  <si>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</si>
  <si>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</si>
  <si>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</si>
  <si>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</si>
  <si>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</si>
  <si>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</si>
  <si>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</si>
  <si>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</si>
  <si>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</si>
  <si>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</si>
  <si>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</si>
  <si>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</si>
  <si>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</si>
  <si>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</si>
  <si>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</si>
  <si>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</si>
  <si>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</si>
  <si>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</si>
  <si>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</si>
  <si>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</si>
  <si>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</si>
  <si>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</si>
  <si>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</si>
  <si>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</si>
  <si>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</si>
  <si>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</si>
  <si>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</si>
  <si>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</si>
  <si>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</si>
  <si>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</si>
  <si>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</si>
  <si>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</si>
  <si>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</si>
  <si>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</si>
  <si>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</si>
  <si>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</si>
  <si>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</si>
  <si>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</si>
  <si>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</si>
  <si>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</si>
  <si>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</si>
  <si>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</si>
  <si>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</si>
  <si>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</si>
  <si>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</si>
  <si>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</si>
  <si>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</si>
  <si>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</si>
  <si>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</si>
  <si>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</si>
  <si>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</si>
  <si>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</si>
  <si>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</si>
  <si>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</si>
  <si>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</si>
  <si>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</si>
  <si>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</si>
  <si>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</si>
  <si>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</si>
  <si>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</si>
  <si>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</si>
  <si>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</si>
  <si>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</si>
  <si>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</si>
  <si>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</si>
  <si>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</si>
  <si>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</si>
  <si>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</si>
  <si>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</si>
  <si>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</si>
  <si>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</si>
  <si>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</si>
  <si>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</si>
  <si>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</si>
  <si>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</si>
  <si>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</si>
  <si>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</si>
  <si>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</si>
  <si>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</si>
  <si>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</si>
  <si>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</si>
  <si>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</si>
  <si>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</si>
  <si>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</si>
  <si>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</si>
  <si>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</si>
  <si>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</si>
  <si>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</si>
  <si>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</si>
  <si>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</si>
  <si>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</si>
  <si>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</si>
  <si>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</si>
  <si>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</si>
  <si>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</si>
  <si>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</si>
  <si>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</si>
  <si>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</si>
  <si>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</si>
  <si>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</si>
  <si>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</si>
  <si>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</si>
  <si>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</si>
  <si>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</si>
  <si>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</si>
  <si>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</si>
  <si>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</si>
  <si>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</si>
  <si>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</si>
  <si>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</si>
  <si>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</si>
  <si>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</si>
  <si>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</si>
  <si>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</si>
  <si>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</si>
  <si>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</si>
  <si>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</si>
  <si>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</si>
  <si>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</si>
  <si>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</si>
  <si>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</si>
  <si>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</si>
  <si>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</si>
  <si>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</si>
  <si>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</si>
  <si>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</si>
  <si>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</si>
  <si>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</si>
  <si>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</si>
  <si>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</si>
  <si>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</si>
  <si>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</si>
  <si>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</si>
  <si>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</si>
  <si>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</si>
  <si>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</si>
  <si>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</si>
  <si>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</si>
  <si>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</si>
  <si>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</si>
  <si>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</si>
  <si>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</si>
  <si>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</si>
  <si>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</si>
  <si>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</si>
  <si>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</si>
  <si>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</si>
  <si>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</si>
  <si>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</si>
  <si>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</si>
  <si>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</si>
  <si>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</si>
  <si>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</si>
  <si>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</si>
  <si>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</si>
  <si>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</si>
  <si>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</si>
  <si>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</si>
  <si>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</si>
  <si>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</si>
  <si>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</si>
  <si>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</si>
  <si>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</si>
  <si>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</si>
  <si>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</si>
  <si>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</si>
  <si>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</si>
  <si>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</si>
  <si>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</si>
  <si>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</si>
  <si>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</si>
  <si>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</si>
  <si>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</si>
  <si>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</si>
  <si>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</si>
  <si>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</si>
  <si>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</si>
  <si>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</si>
  <si>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</si>
  <si>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</si>
  <si>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</si>
  <si>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</si>
  <si>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</si>
  <si>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</si>
  <si>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</si>
  <si>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</si>
  <si>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</si>
  <si>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</si>
  <si>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</si>
  <si>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</si>
  <si>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</si>
  <si>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</si>
  <si>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</si>
  <si>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</si>
  <si>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</si>
  <si>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</si>
  <si>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</si>
  <si>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</si>
  <si>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</si>
  <si>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</si>
  <si>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</si>
  <si>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</si>
  <si>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</si>
  <si>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</si>
  <si>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</si>
  <si>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</si>
  <si>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</si>
  <si>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</si>
  <si>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</si>
  <si>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</si>
  <si>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</si>
  <si>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</si>
  <si>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 xml:space="preserve">2017 YTD 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</si>
  <si>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</si>
  <si>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</si>
  <si>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</si>
  <si>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</si>
  <si>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</si>
  <si>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</si>
  <si>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</si>
  <si>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</si>
  <si>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</si>
  <si>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</si>
  <si>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2018 % Cargo</t>
  </si>
  <si>
    <t>Metric Tons 2018</t>
  </si>
  <si>
    <t>Total 2018</t>
  </si>
  <si>
    <t>Horizon Air - Alaska</t>
  </si>
  <si>
    <t>Sky West - American</t>
  </si>
  <si>
    <t>Jet Blue</t>
  </si>
  <si>
    <t>Atlas Air -Amazon</t>
  </si>
  <si>
    <t>December 2017</t>
  </si>
  <si>
    <t>Atlas Air - 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</si>
</sst>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7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5" xfId="0" applyFont="1" applyFill="1" applyBorder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5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6" xfId="0" applyNumberFormat="1" applyFont="1" applyBorder="1"/>
    <xf numFmtId="165" fontId="29" fillId="0" borderId="57" xfId="1" applyNumberFormat="1" applyFont="1" applyBorder="1"/>
    <xf numFmtId="10" fontId="29" fillId="0" borderId="76" xfId="0" applyNumberFormat="1" applyFont="1" applyBorder="1"/>
    <xf numFmtId="10" fontId="29" fillId="0" borderId="58" xfId="3" applyNumberFormat="1" applyFont="1" applyBorder="1"/>
    <xf numFmtId="165" fontId="29" fillId="0" borderId="76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 applyBorder="1"/>
    <xf numFmtId="0" fontId="4" fillId="0" borderId="24" xfId="0" applyFont="1" applyFill="1" applyBorder="1" applyAlignment="1">
      <alignment horizontal="center" vertical="center"/>
    </xf>
    <xf numFmtId="41" fontId="0" fillId="0" borderId="77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1" xfId="0" applyNumberFormat="1" applyFill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16" xfId="0" applyFont="1" applyBorder="1"/>
    <xf numFmtId="0" fontId="4" fillId="0" borderId="0" xfId="0" applyFont="1" applyBorder="1" applyAlignment="1">
      <alignment horizont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December%2020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April%20201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8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y%20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une%20201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8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uly%202017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August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ember%202018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8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September%202017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8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October%202017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November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anuary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February%20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rch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2206292</v>
          </cell>
          <cell r="G5">
            <v>29222280</v>
          </cell>
        </row>
        <row r="6">
          <cell r="D6">
            <v>625690</v>
          </cell>
          <cell r="G6">
            <v>7572015</v>
          </cell>
        </row>
        <row r="7">
          <cell r="D7">
            <v>300</v>
          </cell>
          <cell r="G7">
            <v>5683</v>
          </cell>
        </row>
        <row r="10">
          <cell r="D10">
            <v>95508</v>
          </cell>
          <cell r="G10">
            <v>1234363</v>
          </cell>
        </row>
        <row r="16">
          <cell r="D16">
            <v>17715</v>
          </cell>
          <cell r="G16">
            <v>228393</v>
          </cell>
        </row>
        <row r="17">
          <cell r="D17">
            <v>12334</v>
          </cell>
          <cell r="G17">
            <v>149879</v>
          </cell>
        </row>
        <row r="18">
          <cell r="D18">
            <v>2</v>
          </cell>
          <cell r="G18">
            <v>45</v>
          </cell>
        </row>
        <row r="19">
          <cell r="D19">
            <v>1509</v>
          </cell>
          <cell r="G19">
            <v>14911</v>
          </cell>
        </row>
        <row r="20">
          <cell r="D20">
            <v>1666</v>
          </cell>
          <cell r="G20">
            <v>22226</v>
          </cell>
        </row>
        <row r="21">
          <cell r="D21">
            <v>92</v>
          </cell>
          <cell r="G21">
            <v>759</v>
          </cell>
        </row>
        <row r="27">
          <cell r="D27">
            <v>18798.741602880469</v>
          </cell>
          <cell r="G27">
            <v>203856.72384288366</v>
          </cell>
        </row>
        <row r="28">
          <cell r="D28">
            <v>2645.0830823417</v>
          </cell>
          <cell r="G28">
            <v>25583.629797240123</v>
          </cell>
        </row>
        <row r="32">
          <cell r="B32">
            <v>897705</v>
          </cell>
          <cell r="D32">
            <v>11032337</v>
          </cell>
        </row>
        <row r="33">
          <cell r="B33">
            <v>525778</v>
          </cell>
          <cell r="D33">
            <v>7352817</v>
          </cell>
        </row>
      </sheetData>
      <sheetData sheetId="1"/>
      <sheetData sheetId="2"/>
      <sheetData sheetId="3"/>
      <sheetData sheetId="4"/>
      <sheetData sheetId="5">
        <row r="21">
          <cell r="D21">
            <v>256747</v>
          </cell>
        </row>
        <row r="32">
          <cell r="D32">
            <v>214327</v>
          </cell>
          <cell r="I32">
            <v>2713463</v>
          </cell>
          <cell r="N32">
            <v>2927790</v>
          </cell>
        </row>
      </sheetData>
      <sheetData sheetId="6"/>
      <sheetData sheetId="7">
        <row r="5">
          <cell r="F5">
            <v>10158.32631764412</v>
          </cell>
          <cell r="I5">
            <v>110337.88213422667</v>
          </cell>
        </row>
        <row r="6">
          <cell r="F6">
            <v>1247.91198853475</v>
          </cell>
          <cell r="I6">
            <v>11228.730375287809</v>
          </cell>
        </row>
        <row r="10">
          <cell r="F10">
            <v>8640.4152852363495</v>
          </cell>
          <cell r="I10">
            <v>93518.841708656968</v>
          </cell>
        </row>
        <row r="11">
          <cell r="F11">
            <v>1397.17109380695</v>
          </cell>
          <cell r="I11">
            <v>14354.899421952319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18798.741602880469</v>
          </cell>
        </row>
        <row r="21">
          <cell r="F21">
            <v>2645.0830823417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130702</v>
          </cell>
          <cell r="C24">
            <v>111716</v>
          </cell>
          <cell r="L24">
            <v>1544136</v>
          </cell>
          <cell r="M24">
            <v>1449126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251391</v>
          </cell>
          <cell r="I24">
            <v>2843673</v>
          </cell>
          <cell r="N24">
            <v>3095064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128052</v>
          </cell>
          <cell r="C25">
            <v>118282</v>
          </cell>
          <cell r="L25">
            <v>1632409</v>
          </cell>
          <cell r="M25">
            <v>1595081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225442</v>
          </cell>
          <cell r="I25">
            <v>2980236</v>
          </cell>
          <cell r="N25">
            <v>3205678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128004</v>
          </cell>
          <cell r="C26">
            <v>132185</v>
          </cell>
          <cell r="L26">
            <v>1762626</v>
          </cell>
          <cell r="M26">
            <v>1753039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248451</v>
          </cell>
          <cell r="I26">
            <v>3247151</v>
          </cell>
          <cell r="N26">
            <v>3495602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139361</v>
          </cell>
          <cell r="C27">
            <v>126713</v>
          </cell>
          <cell r="L27">
            <v>1834236</v>
          </cell>
          <cell r="M27">
            <v>1830772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263710</v>
          </cell>
          <cell r="I27">
            <v>3397860</v>
          </cell>
          <cell r="N27">
            <v>3661570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139687</v>
          </cell>
          <cell r="C28">
            <v>136180</v>
          </cell>
          <cell r="L28">
            <v>1876007</v>
          </cell>
          <cell r="M28">
            <v>1863098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267158</v>
          </cell>
          <cell r="I28">
            <v>3401041</v>
          </cell>
          <cell r="N28">
            <v>3668199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26857722</v>
          </cell>
        </row>
        <row r="6">
          <cell r="G6">
            <v>7123005</v>
          </cell>
        </row>
        <row r="7">
          <cell r="G7">
            <v>4479</v>
          </cell>
        </row>
        <row r="10">
          <cell r="G10">
            <v>1160452</v>
          </cell>
        </row>
        <row r="16">
          <cell r="G16">
            <v>204570</v>
          </cell>
        </row>
        <row r="17">
          <cell r="G17">
            <v>136982</v>
          </cell>
        </row>
        <row r="18">
          <cell r="G18">
            <v>36</v>
          </cell>
        </row>
        <row r="19">
          <cell r="G19">
            <v>14057</v>
          </cell>
        </row>
        <row r="20">
          <cell r="G20">
            <v>18781</v>
          </cell>
        </row>
        <row r="21">
          <cell r="G21">
            <v>1070</v>
          </cell>
        </row>
        <row r="27">
          <cell r="G27">
            <v>195816.5627630089</v>
          </cell>
        </row>
        <row r="28">
          <cell r="G28">
            <v>23226.877694404997</v>
          </cell>
        </row>
        <row r="32">
          <cell r="D32">
            <v>10619905</v>
          </cell>
        </row>
        <row r="33">
          <cell r="D33">
            <v>6359663</v>
          </cell>
        </row>
      </sheetData>
      <sheetData sheetId="1"/>
      <sheetData sheetId="2"/>
      <sheetData sheetId="3"/>
      <sheetData sheetId="4"/>
      <sheetData sheetId="5">
        <row r="31">
          <cell r="B31">
            <v>89321</v>
          </cell>
          <cell r="C31">
            <v>89501</v>
          </cell>
          <cell r="L31">
            <v>1448574</v>
          </cell>
          <cell r="M31">
            <v>1473347</v>
          </cell>
        </row>
      </sheetData>
      <sheetData sheetId="6"/>
      <sheetData sheetId="7">
        <row r="5">
          <cell r="I5">
            <v>109795.21646975265</v>
          </cell>
        </row>
        <row r="6">
          <cell r="I6">
            <v>9476.2866864173211</v>
          </cell>
        </row>
        <row r="10">
          <cell r="I10">
            <v>86021.346293256211</v>
          </cell>
        </row>
        <row r="11">
          <cell r="I11">
            <v>13750.591007987679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195816.5627630089</v>
          </cell>
        </row>
        <row r="21">
          <cell r="I21">
            <v>23226.877694404997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112387</v>
          </cell>
          <cell r="C29">
            <v>113274</v>
          </cell>
          <cell r="L29">
            <v>1516481</v>
          </cell>
          <cell r="M29">
            <v>1533733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219794</v>
          </cell>
          <cell r="I29">
            <v>2821616</v>
          </cell>
          <cell r="N29">
            <v>3041410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B30">
            <v>108154</v>
          </cell>
          <cell r="C30">
            <v>100391</v>
          </cell>
          <cell r="L30">
            <v>1611180</v>
          </cell>
          <cell r="M30">
            <v>1614763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203624</v>
          </cell>
          <cell r="I30">
            <v>3047366</v>
          </cell>
          <cell r="N30">
            <v>3250990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179608</v>
          </cell>
          <cell r="I31">
            <v>2773901</v>
          </cell>
          <cell r="N31">
            <v>2953509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 Air Cargo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Y4">
            <v>101</v>
          </cell>
        </row>
        <row r="5">
          <cell r="FY5">
            <v>101</v>
          </cell>
        </row>
        <row r="19"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E19">
            <v>250</v>
          </cell>
          <cell r="FF19">
            <v>250</v>
          </cell>
          <cell r="FG19">
            <v>254</v>
          </cell>
          <cell r="FH19">
            <v>246</v>
          </cell>
          <cell r="FI19">
            <v>256</v>
          </cell>
          <cell r="FJ19">
            <v>250</v>
          </cell>
          <cell r="FK19">
            <v>260</v>
          </cell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FS19">
            <v>182</v>
          </cell>
          <cell r="FT19">
            <v>194</v>
          </cell>
          <cell r="FU19">
            <v>200</v>
          </cell>
          <cell r="FV19">
            <v>180</v>
          </cell>
          <cell r="FW19">
            <v>202</v>
          </cell>
          <cell r="FX19">
            <v>200</v>
          </cell>
          <cell r="FY19">
            <v>202</v>
          </cell>
        </row>
        <row r="22">
          <cell r="FY22">
            <v>483</v>
          </cell>
        </row>
        <row r="23">
          <cell r="FY23">
            <v>436</v>
          </cell>
        </row>
        <row r="41"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E41">
            <v>923</v>
          </cell>
          <cell r="FF41">
            <v>958</v>
          </cell>
          <cell r="FG41">
            <v>941</v>
          </cell>
          <cell r="FH41">
            <v>781</v>
          </cell>
          <cell r="FI41">
            <v>806</v>
          </cell>
          <cell r="FJ41">
            <v>877</v>
          </cell>
          <cell r="FK41">
            <v>928</v>
          </cell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FS41">
            <v>867</v>
          </cell>
          <cell r="FT41">
            <v>901</v>
          </cell>
          <cell r="FU41">
            <v>922</v>
          </cell>
          <cell r="FV41">
            <v>804</v>
          </cell>
          <cell r="FW41">
            <v>850</v>
          </cell>
          <cell r="FX41">
            <v>850</v>
          </cell>
          <cell r="FY41">
            <v>919</v>
          </cell>
        </row>
      </sheetData>
      <sheetData sheetId="3"/>
      <sheetData sheetId="4">
        <row r="15">
          <cell r="FR15">
            <v>20</v>
          </cell>
          <cell r="FS15">
            <v>28</v>
          </cell>
          <cell r="FT15">
            <v>26</v>
          </cell>
          <cell r="FU15">
            <v>31</v>
          </cell>
          <cell r="FV15">
            <v>21</v>
          </cell>
        </row>
        <row r="16">
          <cell r="FR16">
            <v>20</v>
          </cell>
          <cell r="FS16">
            <v>28</v>
          </cell>
          <cell r="FT16">
            <v>26</v>
          </cell>
          <cell r="FU16">
            <v>31</v>
          </cell>
          <cell r="FV16">
            <v>21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E19">
            <v>58</v>
          </cell>
          <cell r="FF19">
            <v>60</v>
          </cell>
          <cell r="FG19">
            <v>60</v>
          </cell>
          <cell r="FH19">
            <v>42</v>
          </cell>
          <cell r="FI19">
            <v>0</v>
          </cell>
          <cell r="FJ19">
            <v>0</v>
          </cell>
          <cell r="FK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FS19">
            <v>56</v>
          </cell>
          <cell r="FT19">
            <v>52</v>
          </cell>
          <cell r="FU19">
            <v>62</v>
          </cell>
          <cell r="FV19">
            <v>42</v>
          </cell>
          <cell r="FW19">
            <v>0</v>
          </cell>
          <cell r="FX19">
            <v>0</v>
          </cell>
          <cell r="FY19">
            <v>0</v>
          </cell>
        </row>
        <row r="32">
          <cell r="FR32">
            <v>3781</v>
          </cell>
          <cell r="FS32">
            <v>6449</v>
          </cell>
          <cell r="FT32">
            <v>6560</v>
          </cell>
          <cell r="FU32">
            <v>7850</v>
          </cell>
          <cell r="FV32">
            <v>4862</v>
          </cell>
        </row>
        <row r="33">
          <cell r="FR33">
            <v>3802</v>
          </cell>
          <cell r="FS33">
            <v>6319</v>
          </cell>
          <cell r="FT33">
            <v>4769</v>
          </cell>
          <cell r="FU33">
            <v>7190</v>
          </cell>
          <cell r="FV33">
            <v>4458</v>
          </cell>
        </row>
        <row r="37">
          <cell r="FR37">
            <v>16</v>
          </cell>
          <cell r="FS37">
            <v>6</v>
          </cell>
          <cell r="FT37">
            <v>7</v>
          </cell>
          <cell r="FU37">
            <v>24</v>
          </cell>
          <cell r="FV37">
            <v>8</v>
          </cell>
        </row>
        <row r="38">
          <cell r="FR38">
            <v>13</v>
          </cell>
          <cell r="FS38">
            <v>8</v>
          </cell>
          <cell r="FT38">
            <v>6</v>
          </cell>
          <cell r="FU38">
            <v>13</v>
          </cell>
          <cell r="FV38">
            <v>10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E41">
            <v>15010</v>
          </cell>
          <cell r="FF41">
            <v>14824</v>
          </cell>
          <cell r="FG41">
            <v>14501</v>
          </cell>
          <cell r="FH41">
            <v>10531</v>
          </cell>
          <cell r="FI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FS41">
            <v>12768</v>
          </cell>
          <cell r="FT41">
            <v>11329</v>
          </cell>
          <cell r="FU41">
            <v>15040</v>
          </cell>
          <cell r="FV41">
            <v>9320</v>
          </cell>
          <cell r="FW41">
            <v>0</v>
          </cell>
          <cell r="FX41">
            <v>0</v>
          </cell>
          <cell r="FY41">
            <v>0</v>
          </cell>
        </row>
      </sheetData>
      <sheetData sheetId="5"/>
      <sheetData sheetId="6">
        <row r="4">
          <cell r="FY4">
            <v>58</v>
          </cell>
        </row>
        <row r="5">
          <cell r="FY5">
            <v>59</v>
          </cell>
        </row>
        <row r="19"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E19">
            <v>178</v>
          </cell>
          <cell r="FF19">
            <v>180</v>
          </cell>
          <cell r="FG19">
            <v>176</v>
          </cell>
          <cell r="FH19">
            <v>120</v>
          </cell>
          <cell r="FI19">
            <v>124</v>
          </cell>
          <cell r="FJ19">
            <v>116</v>
          </cell>
          <cell r="FK19">
            <v>96</v>
          </cell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FS19">
            <v>120</v>
          </cell>
          <cell r="FT19">
            <v>124</v>
          </cell>
          <cell r="FU19">
            <v>124</v>
          </cell>
          <cell r="FV19">
            <v>120</v>
          </cell>
          <cell r="FW19">
            <v>126</v>
          </cell>
          <cell r="FX19">
            <v>114</v>
          </cell>
          <cell r="FY19">
            <v>117</v>
          </cell>
        </row>
        <row r="22">
          <cell r="FY22">
            <v>8276</v>
          </cell>
        </row>
        <row r="23">
          <cell r="FY23">
            <v>8431</v>
          </cell>
        </row>
        <row r="27">
          <cell r="FY27">
            <v>353</v>
          </cell>
        </row>
        <row r="28">
          <cell r="FY28">
            <v>477</v>
          </cell>
        </row>
        <row r="41"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E41">
            <v>27296</v>
          </cell>
          <cell r="FF41">
            <v>26803</v>
          </cell>
          <cell r="FG41">
            <v>26885</v>
          </cell>
          <cell r="FH41">
            <v>18013</v>
          </cell>
          <cell r="FI41">
            <v>17799</v>
          </cell>
          <cell r="FJ41">
            <v>15916</v>
          </cell>
          <cell r="FK41">
            <v>13557</v>
          </cell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FS41">
            <v>19748</v>
          </cell>
          <cell r="FT41">
            <v>20085</v>
          </cell>
          <cell r="FU41">
            <v>20429</v>
          </cell>
          <cell r="FV41">
            <v>19752</v>
          </cell>
          <cell r="FW41">
            <v>19950</v>
          </cell>
          <cell r="FX41">
            <v>17882</v>
          </cell>
          <cell r="FY41">
            <v>16707</v>
          </cell>
        </row>
        <row r="47">
          <cell r="FY47">
            <v>5579</v>
          </cell>
        </row>
        <row r="48">
          <cell r="FY48">
            <v>2871</v>
          </cell>
        </row>
        <row r="52">
          <cell r="FY52">
            <v>6429</v>
          </cell>
        </row>
        <row r="53">
          <cell r="FY53">
            <v>6424</v>
          </cell>
        </row>
      </sheetData>
      <sheetData sheetId="7"/>
      <sheetData sheetId="8">
        <row r="4">
          <cell r="FY4">
            <v>552</v>
          </cell>
        </row>
        <row r="5">
          <cell r="FY5">
            <v>552</v>
          </cell>
        </row>
        <row r="19"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E19">
            <v>1522</v>
          </cell>
          <cell r="FF19">
            <v>1523</v>
          </cell>
          <cell r="FG19">
            <v>1540</v>
          </cell>
          <cell r="FH19">
            <v>1342</v>
          </cell>
          <cell r="FI19">
            <v>1335</v>
          </cell>
          <cell r="FJ19">
            <v>1167</v>
          </cell>
          <cell r="FK19">
            <v>1272</v>
          </cell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FS19">
            <v>1327</v>
          </cell>
          <cell r="FT19">
            <v>1351</v>
          </cell>
          <cell r="FU19">
            <v>1322</v>
          </cell>
          <cell r="FV19">
            <v>1188</v>
          </cell>
          <cell r="FW19">
            <v>1267</v>
          </cell>
          <cell r="FX19">
            <v>1062</v>
          </cell>
          <cell r="FY19">
            <v>1104</v>
          </cell>
        </row>
        <row r="22">
          <cell r="FY22">
            <v>65866</v>
          </cell>
        </row>
        <row r="23">
          <cell r="FY23">
            <v>65733</v>
          </cell>
        </row>
        <row r="27">
          <cell r="FY27">
            <v>3158</v>
          </cell>
        </row>
        <row r="28">
          <cell r="FY28">
            <v>3270</v>
          </cell>
        </row>
        <row r="41"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E41">
            <v>186633</v>
          </cell>
          <cell r="FF41">
            <v>183111</v>
          </cell>
          <cell r="FG41">
            <v>192977</v>
          </cell>
          <cell r="FH41">
            <v>164573</v>
          </cell>
          <cell r="FI41">
            <v>172592</v>
          </cell>
          <cell r="FJ41">
            <v>149393</v>
          </cell>
          <cell r="FK41">
            <v>156295</v>
          </cell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FS41">
            <v>164437</v>
          </cell>
          <cell r="FT41">
            <v>164580</v>
          </cell>
          <cell r="FU41">
            <v>165586</v>
          </cell>
          <cell r="FV41">
            <v>133585</v>
          </cell>
          <cell r="FW41">
            <v>154703</v>
          </cell>
          <cell r="FX41">
            <v>128867</v>
          </cell>
          <cell r="FY41">
            <v>131599</v>
          </cell>
        </row>
        <row r="47">
          <cell r="FY47">
            <v>38230</v>
          </cell>
        </row>
        <row r="48">
          <cell r="FY48">
            <v>29260</v>
          </cell>
        </row>
        <row r="52">
          <cell r="FY52">
            <v>10229</v>
          </cell>
        </row>
        <row r="53">
          <cell r="FY53">
            <v>73779</v>
          </cell>
        </row>
      </sheetData>
      <sheetData sheetId="9"/>
      <sheetData sheetId="10">
        <row r="4">
          <cell r="FY4">
            <v>700</v>
          </cell>
        </row>
        <row r="5">
          <cell r="FY5">
            <v>682</v>
          </cell>
        </row>
        <row r="8">
          <cell r="FY8">
            <v>46</v>
          </cell>
        </row>
        <row r="9">
          <cell r="FY9">
            <v>49</v>
          </cell>
        </row>
        <row r="15">
          <cell r="FN15">
            <v>200</v>
          </cell>
          <cell r="FO15">
            <v>294</v>
          </cell>
          <cell r="FP15">
            <v>332</v>
          </cell>
          <cell r="FQ15">
            <v>149</v>
          </cell>
          <cell r="FR15">
            <v>27</v>
          </cell>
          <cell r="FS15">
            <v>15</v>
          </cell>
          <cell r="FT15">
            <v>5</v>
          </cell>
          <cell r="FU15">
            <v>5</v>
          </cell>
          <cell r="FV15">
            <v>7</v>
          </cell>
          <cell r="FW15">
            <v>17</v>
          </cell>
          <cell r="FX15">
            <v>21</v>
          </cell>
          <cell r="FY15">
            <v>83</v>
          </cell>
        </row>
        <row r="16">
          <cell r="FN16">
            <v>198</v>
          </cell>
          <cell r="FO16">
            <v>293</v>
          </cell>
          <cell r="FP16">
            <v>335</v>
          </cell>
          <cell r="FQ16">
            <v>143</v>
          </cell>
          <cell r="FR16">
            <v>26</v>
          </cell>
          <cell r="FS16">
            <v>14</v>
          </cell>
          <cell r="FT16">
            <v>6</v>
          </cell>
          <cell r="FU16">
            <v>5</v>
          </cell>
          <cell r="FV16">
            <v>7</v>
          </cell>
          <cell r="FW16">
            <v>15</v>
          </cell>
          <cell r="FX16">
            <v>23</v>
          </cell>
          <cell r="FY16">
            <v>90</v>
          </cell>
        </row>
        <row r="19"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E19">
            <v>1626</v>
          </cell>
          <cell r="FF19">
            <v>1811</v>
          </cell>
          <cell r="FG19">
            <v>1713</v>
          </cell>
          <cell r="FH19">
            <v>1285</v>
          </cell>
          <cell r="FI19">
            <v>1525</v>
          </cell>
          <cell r="FJ19">
            <v>1665</v>
          </cell>
          <cell r="FK19">
            <v>1953</v>
          </cell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FS19">
            <v>1475</v>
          </cell>
          <cell r="FT19">
            <v>1529</v>
          </cell>
          <cell r="FU19">
            <v>1575</v>
          </cell>
          <cell r="FV19">
            <v>1188</v>
          </cell>
          <cell r="FW19">
            <v>1382</v>
          </cell>
          <cell r="FX19">
            <v>1306</v>
          </cell>
          <cell r="FY19">
            <v>1650</v>
          </cell>
        </row>
        <row r="22">
          <cell r="FY22">
            <v>93716</v>
          </cell>
        </row>
        <row r="23">
          <cell r="FY23">
            <v>94648</v>
          </cell>
        </row>
        <row r="27">
          <cell r="FY27">
            <v>1614</v>
          </cell>
        </row>
        <row r="28">
          <cell r="FY28">
            <v>1714</v>
          </cell>
        </row>
        <row r="32">
          <cell r="FN32">
            <v>22274</v>
          </cell>
          <cell r="FO32">
            <v>32562</v>
          </cell>
          <cell r="FP32">
            <v>43677</v>
          </cell>
          <cell r="FQ32">
            <v>21482</v>
          </cell>
          <cell r="FR32">
            <v>2853</v>
          </cell>
          <cell r="FS32">
            <v>1767</v>
          </cell>
          <cell r="FT32">
            <v>643</v>
          </cell>
          <cell r="FU32">
            <v>591</v>
          </cell>
          <cell r="FV32">
            <v>422</v>
          </cell>
          <cell r="FW32">
            <v>1578</v>
          </cell>
          <cell r="FX32">
            <v>2576</v>
          </cell>
          <cell r="FY32">
            <v>8401</v>
          </cell>
        </row>
        <row r="33">
          <cell r="FN33">
            <v>22273</v>
          </cell>
          <cell r="FO33">
            <v>35468</v>
          </cell>
          <cell r="FP33">
            <v>44681</v>
          </cell>
          <cell r="FQ33">
            <v>11675</v>
          </cell>
          <cell r="FR33">
            <v>2375</v>
          </cell>
          <cell r="FS33">
            <v>1806</v>
          </cell>
          <cell r="FT33">
            <v>585</v>
          </cell>
          <cell r="FU33">
            <v>660</v>
          </cell>
          <cell r="FV33">
            <v>608</v>
          </cell>
          <cell r="FW33">
            <v>1823</v>
          </cell>
          <cell r="FX33">
            <v>3098</v>
          </cell>
          <cell r="FY33">
            <v>13771</v>
          </cell>
        </row>
        <row r="37">
          <cell r="FN37">
            <v>214</v>
          </cell>
          <cell r="FO37">
            <v>188</v>
          </cell>
          <cell r="FP37">
            <v>236</v>
          </cell>
          <cell r="FQ37">
            <v>95</v>
          </cell>
          <cell r="FR37">
            <v>33</v>
          </cell>
          <cell r="FS37">
            <v>1</v>
          </cell>
          <cell r="FT37">
            <v>8</v>
          </cell>
          <cell r="FU37">
            <v>6</v>
          </cell>
          <cell r="FV37">
            <v>6</v>
          </cell>
          <cell r="FW37">
            <v>18</v>
          </cell>
          <cell r="FX37">
            <v>31</v>
          </cell>
          <cell r="FY37">
            <v>52</v>
          </cell>
        </row>
        <row r="38">
          <cell r="FN38">
            <v>240</v>
          </cell>
          <cell r="FO38">
            <v>256</v>
          </cell>
          <cell r="FP38">
            <v>270</v>
          </cell>
          <cell r="FQ38">
            <v>132</v>
          </cell>
          <cell r="FR38">
            <v>27</v>
          </cell>
          <cell r="FS38">
            <v>7</v>
          </cell>
          <cell r="FT38">
            <v>12</v>
          </cell>
          <cell r="FU38">
            <v>5</v>
          </cell>
          <cell r="FV38">
            <v>3</v>
          </cell>
          <cell r="FW38">
            <v>23</v>
          </cell>
          <cell r="FX38">
            <v>38</v>
          </cell>
          <cell r="FY38">
            <v>61</v>
          </cell>
        </row>
        <row r="41"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E41">
            <v>192376</v>
          </cell>
          <cell r="FF41">
            <v>221850</v>
          </cell>
          <cell r="FG41">
            <v>202959</v>
          </cell>
          <cell r="FH41">
            <v>136394</v>
          </cell>
          <cell r="FI41">
            <v>173849</v>
          </cell>
          <cell r="FJ41">
            <v>185455</v>
          </cell>
          <cell r="FK41">
            <v>227101</v>
          </cell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FS41">
            <v>173230</v>
          </cell>
          <cell r="FT41">
            <v>198882</v>
          </cell>
          <cell r="FU41">
            <v>194148</v>
          </cell>
          <cell r="FV41">
            <v>132514</v>
          </cell>
          <cell r="FW41">
            <v>171893</v>
          </cell>
          <cell r="FX41">
            <v>160206</v>
          </cell>
          <cell r="FY41">
            <v>210536</v>
          </cell>
        </row>
        <row r="47">
          <cell r="FY47">
            <v>97552</v>
          </cell>
        </row>
        <row r="48">
          <cell r="FY48">
            <v>275356</v>
          </cell>
        </row>
        <row r="52">
          <cell r="FY52">
            <v>48077</v>
          </cell>
        </row>
        <row r="53">
          <cell r="FY53">
            <v>423972</v>
          </cell>
        </row>
        <row r="70">
          <cell r="FY70">
            <v>92437</v>
          </cell>
        </row>
        <row r="71">
          <cell r="FY71">
            <v>2211</v>
          </cell>
        </row>
        <row r="73">
          <cell r="FY73">
            <v>13708</v>
          </cell>
        </row>
        <row r="74">
          <cell r="FY74">
            <v>63</v>
          </cell>
        </row>
      </sheetData>
      <sheetData sheetId="11">
        <row r="4">
          <cell r="FY4">
            <v>73</v>
          </cell>
        </row>
        <row r="5">
          <cell r="FY5">
            <v>73</v>
          </cell>
        </row>
        <row r="19"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E19">
            <v>150</v>
          </cell>
          <cell r="FF19">
            <v>152</v>
          </cell>
          <cell r="FG19">
            <v>164</v>
          </cell>
          <cell r="FH19">
            <v>154</v>
          </cell>
          <cell r="FI19">
            <v>148</v>
          </cell>
          <cell r="FJ19">
            <v>154</v>
          </cell>
          <cell r="FK19">
            <v>154</v>
          </cell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FS19">
            <v>148</v>
          </cell>
          <cell r="FT19">
            <v>166</v>
          </cell>
          <cell r="FU19">
            <v>156</v>
          </cell>
          <cell r="FV19">
            <v>144</v>
          </cell>
          <cell r="FW19">
            <v>164</v>
          </cell>
          <cell r="FX19">
            <v>118</v>
          </cell>
          <cell r="FY19">
            <v>146</v>
          </cell>
        </row>
        <row r="22">
          <cell r="FY22">
            <v>363</v>
          </cell>
        </row>
        <row r="23">
          <cell r="FY23">
            <v>345</v>
          </cell>
        </row>
        <row r="41"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E41">
            <v>960</v>
          </cell>
          <cell r="FF41">
            <v>908</v>
          </cell>
          <cell r="FG41">
            <v>966</v>
          </cell>
          <cell r="FH41">
            <v>866</v>
          </cell>
          <cell r="FI41">
            <v>817</v>
          </cell>
          <cell r="FJ41">
            <v>892</v>
          </cell>
          <cell r="FK41">
            <v>869</v>
          </cell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FS41">
            <v>826</v>
          </cell>
          <cell r="FT41">
            <v>863</v>
          </cell>
          <cell r="FU41">
            <v>885</v>
          </cell>
          <cell r="FV41">
            <v>790</v>
          </cell>
          <cell r="FW41">
            <v>933</v>
          </cell>
          <cell r="FX41">
            <v>603</v>
          </cell>
          <cell r="FY41">
            <v>708</v>
          </cell>
        </row>
      </sheetData>
      <sheetData sheetId="12">
        <row r="15">
          <cell r="FR15">
            <v>4</v>
          </cell>
          <cell r="FS15">
            <v>11</v>
          </cell>
          <cell r="FT15">
            <v>18</v>
          </cell>
          <cell r="FU15">
            <v>18</v>
          </cell>
          <cell r="FV15">
            <v>8</v>
          </cell>
        </row>
        <row r="16">
          <cell r="FR16">
            <v>4</v>
          </cell>
          <cell r="FS16">
            <v>11</v>
          </cell>
          <cell r="FT16">
            <v>18</v>
          </cell>
          <cell r="FU16">
            <v>18</v>
          </cell>
          <cell r="FV16">
            <v>9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E19">
            <v>28</v>
          </cell>
          <cell r="FF19">
            <v>36</v>
          </cell>
          <cell r="FG19">
            <v>36</v>
          </cell>
          <cell r="FH19">
            <v>3</v>
          </cell>
          <cell r="FI19">
            <v>0</v>
          </cell>
          <cell r="FJ19">
            <v>0</v>
          </cell>
          <cell r="FK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FS19">
            <v>22</v>
          </cell>
          <cell r="FT19">
            <v>36</v>
          </cell>
          <cell r="FU19">
            <v>36</v>
          </cell>
          <cell r="FV19">
            <v>17</v>
          </cell>
          <cell r="FW19">
            <v>0</v>
          </cell>
          <cell r="FX19">
            <v>0</v>
          </cell>
          <cell r="FY19">
            <v>0</v>
          </cell>
        </row>
        <row r="32">
          <cell r="FR32">
            <v>730</v>
          </cell>
          <cell r="FS32">
            <v>2566</v>
          </cell>
          <cell r="FT32">
            <v>4485</v>
          </cell>
          <cell r="FU32">
            <v>4458</v>
          </cell>
          <cell r="FV32">
            <v>1784</v>
          </cell>
        </row>
        <row r="33">
          <cell r="FR33">
            <v>972</v>
          </cell>
          <cell r="FS33">
            <v>2779</v>
          </cell>
          <cell r="FT33">
            <v>4391</v>
          </cell>
          <cell r="FU33">
            <v>4529</v>
          </cell>
          <cell r="FV33">
            <v>2146</v>
          </cell>
        </row>
        <row r="37">
          <cell r="FR37">
            <v>5</v>
          </cell>
          <cell r="FT37">
            <v>4</v>
          </cell>
          <cell r="FU37">
            <v>6</v>
          </cell>
          <cell r="FV37">
            <v>3</v>
          </cell>
        </row>
        <row r="38">
          <cell r="FR38">
            <v>4</v>
          </cell>
          <cell r="FT38">
            <v>5</v>
          </cell>
          <cell r="FU38">
            <v>6</v>
          </cell>
          <cell r="FV38">
            <v>4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E41">
            <v>6544</v>
          </cell>
          <cell r="FF41">
            <v>8783</v>
          </cell>
          <cell r="FG41">
            <v>8645</v>
          </cell>
          <cell r="FH41">
            <v>702</v>
          </cell>
          <cell r="FI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FS41">
            <v>5345</v>
          </cell>
          <cell r="FT41">
            <v>8876</v>
          </cell>
          <cell r="FU41">
            <v>8987</v>
          </cell>
          <cell r="FV41">
            <v>3930</v>
          </cell>
          <cell r="FW41">
            <v>0</v>
          </cell>
          <cell r="FX41">
            <v>0</v>
          </cell>
          <cell r="FY41">
            <v>0</v>
          </cell>
        </row>
      </sheetData>
      <sheetData sheetId="13">
        <row r="4">
          <cell r="FY4">
            <v>5063</v>
          </cell>
        </row>
        <row r="5">
          <cell r="FY5">
            <v>5062</v>
          </cell>
        </row>
        <row r="8">
          <cell r="FY8">
            <v>2</v>
          </cell>
        </row>
        <row r="9">
          <cell r="FY9">
            <v>11</v>
          </cell>
        </row>
        <row r="15">
          <cell r="FN15">
            <v>551</v>
          </cell>
          <cell r="FO15">
            <v>538</v>
          </cell>
          <cell r="FP15">
            <v>631</v>
          </cell>
          <cell r="FQ15">
            <v>426</v>
          </cell>
          <cell r="FR15">
            <v>409</v>
          </cell>
          <cell r="FS15">
            <v>452</v>
          </cell>
          <cell r="FT15">
            <v>497</v>
          </cell>
          <cell r="FU15">
            <v>502</v>
          </cell>
          <cell r="FV15">
            <v>452</v>
          </cell>
          <cell r="FW15">
            <v>465</v>
          </cell>
          <cell r="FX15">
            <v>440</v>
          </cell>
          <cell r="FY15">
            <v>432</v>
          </cell>
        </row>
        <row r="16">
          <cell r="FN16">
            <v>561</v>
          </cell>
          <cell r="FO16">
            <v>536</v>
          </cell>
          <cell r="FP16">
            <v>635</v>
          </cell>
          <cell r="FQ16">
            <v>434</v>
          </cell>
          <cell r="FR16">
            <v>409</v>
          </cell>
          <cell r="FS16">
            <v>450</v>
          </cell>
          <cell r="FT16">
            <v>502</v>
          </cell>
          <cell r="FU16">
            <v>505</v>
          </cell>
          <cell r="FV16">
            <v>452</v>
          </cell>
          <cell r="FW16">
            <v>463</v>
          </cell>
          <cell r="FX16">
            <v>438</v>
          </cell>
          <cell r="FY16">
            <v>427</v>
          </cell>
        </row>
        <row r="19"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E19">
            <v>13186</v>
          </cell>
          <cell r="FF19">
            <v>14386</v>
          </cell>
          <cell r="FG19">
            <v>14425</v>
          </cell>
          <cell r="FH19">
            <v>12468</v>
          </cell>
          <cell r="FI19">
            <v>12866</v>
          </cell>
          <cell r="FJ19">
            <v>11689</v>
          </cell>
          <cell r="FK19">
            <v>11228</v>
          </cell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FS19">
            <v>13480</v>
          </cell>
          <cell r="FT19">
            <v>14017</v>
          </cell>
          <cell r="FU19">
            <v>14261</v>
          </cell>
          <cell r="FV19">
            <v>12487</v>
          </cell>
          <cell r="FW19">
            <v>12655</v>
          </cell>
          <cell r="FX19">
            <v>11437</v>
          </cell>
          <cell r="FY19">
            <v>10997</v>
          </cell>
        </row>
        <row r="22">
          <cell r="FY22">
            <v>663444</v>
          </cell>
        </row>
        <row r="23">
          <cell r="FY23">
            <v>662845</v>
          </cell>
        </row>
        <row r="27">
          <cell r="FY27">
            <v>26396</v>
          </cell>
        </row>
        <row r="28">
          <cell r="FY28">
            <v>25955</v>
          </cell>
        </row>
        <row r="32">
          <cell r="FN32">
            <v>84987</v>
          </cell>
          <cell r="FO32">
            <v>81807</v>
          </cell>
          <cell r="FP32">
            <v>104588</v>
          </cell>
          <cell r="FQ32">
            <v>76269</v>
          </cell>
          <cell r="FR32">
            <v>67615</v>
          </cell>
          <cell r="FS32">
            <v>79056</v>
          </cell>
          <cell r="FT32">
            <v>88990</v>
          </cell>
          <cell r="FU32">
            <v>89576</v>
          </cell>
          <cell r="FV32">
            <v>73777</v>
          </cell>
          <cell r="FW32">
            <v>74576</v>
          </cell>
          <cell r="FX32">
            <v>62421</v>
          </cell>
          <cell r="FY32">
            <v>59655</v>
          </cell>
        </row>
        <row r="33">
          <cell r="FN33">
            <v>80924</v>
          </cell>
          <cell r="FO33">
            <v>80963</v>
          </cell>
          <cell r="FP33">
            <v>103660</v>
          </cell>
          <cell r="FQ33">
            <v>67693</v>
          </cell>
          <cell r="FR33">
            <v>72768</v>
          </cell>
          <cell r="FS33">
            <v>81087</v>
          </cell>
          <cell r="FT33">
            <v>81699</v>
          </cell>
          <cell r="FU33">
            <v>86560</v>
          </cell>
          <cell r="FV33">
            <v>74010</v>
          </cell>
          <cell r="FW33">
            <v>69977</v>
          </cell>
          <cell r="FX33">
            <v>63439</v>
          </cell>
          <cell r="FY33">
            <v>67853</v>
          </cell>
        </row>
        <row r="37">
          <cell r="FN37">
            <v>2439</v>
          </cell>
          <cell r="FO37">
            <v>2388</v>
          </cell>
          <cell r="FP37">
            <v>2172</v>
          </cell>
          <cell r="FQ37">
            <v>2000</v>
          </cell>
          <cell r="FR37">
            <v>20229</v>
          </cell>
          <cell r="FS37">
            <v>2000</v>
          </cell>
          <cell r="FT37">
            <v>2405</v>
          </cell>
          <cell r="FU37">
            <v>2213</v>
          </cell>
          <cell r="FV37">
            <v>2047</v>
          </cell>
          <cell r="FW37">
            <v>2311</v>
          </cell>
          <cell r="FX37">
            <v>1779</v>
          </cell>
          <cell r="FY37">
            <v>1930</v>
          </cell>
        </row>
        <row r="38">
          <cell r="FN38">
            <v>2364</v>
          </cell>
          <cell r="FO38">
            <v>2391</v>
          </cell>
          <cell r="FP38">
            <v>2463</v>
          </cell>
          <cell r="FQ38">
            <v>1917</v>
          </cell>
          <cell r="FR38">
            <v>2116</v>
          </cell>
          <cell r="FS38">
            <v>2239</v>
          </cell>
          <cell r="FT38">
            <v>2272</v>
          </cell>
          <cell r="FU38">
            <v>2316</v>
          </cell>
          <cell r="FV38">
            <v>1865</v>
          </cell>
          <cell r="FW38">
            <v>1979</v>
          </cell>
          <cell r="FX38">
            <v>1799</v>
          </cell>
          <cell r="FY38">
            <v>2145</v>
          </cell>
        </row>
        <row r="41"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E41">
            <v>1838429</v>
          </cell>
          <cell r="FF41">
            <v>1978999</v>
          </cell>
          <cell r="FG41">
            <v>1969909</v>
          </cell>
          <cell r="FH41">
            <v>1646655</v>
          </cell>
          <cell r="FI41">
            <v>1725419</v>
          </cell>
          <cell r="FJ41">
            <v>1544710</v>
          </cell>
          <cell r="FK41">
            <v>1452490</v>
          </cell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FS41">
            <v>1892530</v>
          </cell>
          <cell r="FT41">
            <v>1963810</v>
          </cell>
          <cell r="FU41">
            <v>2005395</v>
          </cell>
          <cell r="FV41">
            <v>1653558</v>
          </cell>
          <cell r="FW41">
            <v>1710446</v>
          </cell>
          <cell r="FX41">
            <v>1539785</v>
          </cell>
          <cell r="FY41">
            <v>1453797</v>
          </cell>
        </row>
        <row r="47">
          <cell r="FY47">
            <v>3325667</v>
          </cell>
        </row>
        <row r="48">
          <cell r="FY48">
            <v>1669568</v>
          </cell>
        </row>
        <row r="52">
          <cell r="FY52">
            <v>2154826</v>
          </cell>
        </row>
        <row r="53">
          <cell r="FY53">
            <v>2071696</v>
          </cell>
        </row>
        <row r="70">
          <cell r="FY70">
            <v>365228</v>
          </cell>
        </row>
        <row r="71">
          <cell r="FY71">
            <v>297617</v>
          </cell>
        </row>
        <row r="73">
          <cell r="FY73">
            <v>37387</v>
          </cell>
        </row>
        <row r="74">
          <cell r="FY74">
            <v>30466</v>
          </cell>
        </row>
      </sheetData>
      <sheetData sheetId="14">
        <row r="4">
          <cell r="FY4">
            <v>108</v>
          </cell>
        </row>
        <row r="5">
          <cell r="FY5">
            <v>108</v>
          </cell>
        </row>
        <row r="19"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E19">
            <v>180</v>
          </cell>
          <cell r="FF19">
            <v>184</v>
          </cell>
          <cell r="FG19">
            <v>187</v>
          </cell>
          <cell r="FH19">
            <v>181</v>
          </cell>
          <cell r="FI19">
            <v>206</v>
          </cell>
          <cell r="FJ19">
            <v>234</v>
          </cell>
          <cell r="FK19">
            <v>248</v>
          </cell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FS19">
            <v>300</v>
          </cell>
          <cell r="FT19">
            <v>312</v>
          </cell>
          <cell r="FU19">
            <v>316</v>
          </cell>
          <cell r="FV19">
            <v>300</v>
          </cell>
          <cell r="FW19">
            <v>286</v>
          </cell>
          <cell r="FX19">
            <v>244</v>
          </cell>
          <cell r="FY19">
            <v>216</v>
          </cell>
        </row>
        <row r="22">
          <cell r="FY22">
            <v>17137</v>
          </cell>
        </row>
        <row r="23">
          <cell r="FY23">
            <v>18271</v>
          </cell>
        </row>
        <row r="27">
          <cell r="FY27">
            <v>135</v>
          </cell>
        </row>
        <row r="28">
          <cell r="FY28">
            <v>142</v>
          </cell>
        </row>
        <row r="41"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E41">
            <v>22777</v>
          </cell>
          <cell r="FF41">
            <v>25172</v>
          </cell>
          <cell r="FG41">
            <v>25158</v>
          </cell>
          <cell r="FH41">
            <v>23865</v>
          </cell>
          <cell r="FI41">
            <v>30783</v>
          </cell>
          <cell r="FJ41">
            <v>36385</v>
          </cell>
          <cell r="FK41">
            <v>43467</v>
          </cell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FS41">
            <v>41449</v>
          </cell>
          <cell r="FT41">
            <v>45702</v>
          </cell>
          <cell r="FU41">
            <v>48043</v>
          </cell>
          <cell r="FV41">
            <v>40905</v>
          </cell>
          <cell r="FW41">
            <v>40541</v>
          </cell>
          <cell r="FX41">
            <v>36479</v>
          </cell>
          <cell r="FY41">
            <v>35408</v>
          </cell>
        </row>
      </sheetData>
      <sheetData sheetId="15"/>
      <sheetData sheetId="16">
        <row r="15">
          <cell r="FN15">
            <v>5</v>
          </cell>
          <cell r="FP15">
            <v>17</v>
          </cell>
          <cell r="FQ15">
            <v>20</v>
          </cell>
          <cell r="FR15">
            <v>37</v>
          </cell>
          <cell r="FS15">
            <v>46</v>
          </cell>
          <cell r="FT15">
            <v>47</v>
          </cell>
          <cell r="FU15">
            <v>49</v>
          </cell>
          <cell r="FV15">
            <v>37</v>
          </cell>
          <cell r="FW15">
            <v>24</v>
          </cell>
          <cell r="FX15">
            <v>17</v>
          </cell>
          <cell r="FY15">
            <v>16</v>
          </cell>
        </row>
        <row r="16">
          <cell r="FN16">
            <v>5</v>
          </cell>
          <cell r="FP16">
            <v>17</v>
          </cell>
          <cell r="FQ16">
            <v>20</v>
          </cell>
          <cell r="FR16">
            <v>37</v>
          </cell>
          <cell r="FS16">
            <v>46</v>
          </cell>
          <cell r="FT16">
            <v>47</v>
          </cell>
          <cell r="FU16">
            <v>49</v>
          </cell>
          <cell r="FV16">
            <v>37</v>
          </cell>
          <cell r="FW16">
            <v>24</v>
          </cell>
          <cell r="FX16">
            <v>17</v>
          </cell>
          <cell r="FY16">
            <v>16</v>
          </cell>
        </row>
        <row r="19"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E19">
            <v>58</v>
          </cell>
          <cell r="FF19">
            <v>62</v>
          </cell>
          <cell r="FG19">
            <v>62</v>
          </cell>
          <cell r="FH19">
            <v>60</v>
          </cell>
          <cell r="FI19">
            <v>50</v>
          </cell>
          <cell r="FJ19">
            <v>34</v>
          </cell>
          <cell r="FK19">
            <v>32</v>
          </cell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FS19">
            <v>92</v>
          </cell>
          <cell r="FT19">
            <v>94</v>
          </cell>
          <cell r="FU19">
            <v>98</v>
          </cell>
          <cell r="FV19">
            <v>74</v>
          </cell>
          <cell r="FW19">
            <v>48</v>
          </cell>
          <cell r="FX19">
            <v>34</v>
          </cell>
          <cell r="FY19">
            <v>32</v>
          </cell>
        </row>
        <row r="32">
          <cell r="FN32">
            <v>852</v>
          </cell>
          <cell r="FP32">
            <v>2019</v>
          </cell>
          <cell r="FQ32">
            <v>2672</v>
          </cell>
          <cell r="FR32">
            <v>4435</v>
          </cell>
          <cell r="FS32">
            <v>6735</v>
          </cell>
          <cell r="FT32">
            <v>7414</v>
          </cell>
          <cell r="FU32">
            <v>7211</v>
          </cell>
          <cell r="FV32">
            <v>5539</v>
          </cell>
          <cell r="FW32">
            <v>3796</v>
          </cell>
          <cell r="FX32">
            <v>2238</v>
          </cell>
          <cell r="FY32">
            <v>2121</v>
          </cell>
        </row>
        <row r="33">
          <cell r="FN33">
            <v>671</v>
          </cell>
          <cell r="FP33">
            <v>2431</v>
          </cell>
          <cell r="FQ33">
            <v>2690</v>
          </cell>
          <cell r="FR33">
            <v>5599</v>
          </cell>
          <cell r="FS33">
            <v>7357</v>
          </cell>
          <cell r="FT33">
            <v>6448</v>
          </cell>
          <cell r="FU33">
            <v>7240</v>
          </cell>
          <cell r="FV33">
            <v>5600</v>
          </cell>
          <cell r="FW33">
            <v>3249</v>
          </cell>
          <cell r="FX33">
            <v>2363</v>
          </cell>
          <cell r="FY33">
            <v>2178</v>
          </cell>
        </row>
        <row r="37">
          <cell r="FN37">
            <v>20</v>
          </cell>
          <cell r="FP37">
            <v>75</v>
          </cell>
          <cell r="FQ37">
            <v>52</v>
          </cell>
          <cell r="FR37">
            <v>75</v>
          </cell>
          <cell r="FS37">
            <v>64</v>
          </cell>
          <cell r="FT37">
            <v>82</v>
          </cell>
          <cell r="FU37">
            <v>91</v>
          </cell>
          <cell r="FV37">
            <v>71</v>
          </cell>
          <cell r="FW37">
            <v>53</v>
          </cell>
          <cell r="FX37">
            <v>83</v>
          </cell>
          <cell r="FY37">
            <v>57</v>
          </cell>
        </row>
        <row r="38">
          <cell r="FN38">
            <v>13</v>
          </cell>
          <cell r="FP38">
            <v>54</v>
          </cell>
          <cell r="FQ38">
            <v>60</v>
          </cell>
          <cell r="FR38">
            <v>82</v>
          </cell>
          <cell r="FS38">
            <v>78</v>
          </cell>
          <cell r="FT38">
            <v>80</v>
          </cell>
          <cell r="FU38">
            <v>141</v>
          </cell>
          <cell r="FV38">
            <v>69</v>
          </cell>
          <cell r="FW38">
            <v>49</v>
          </cell>
          <cell r="FX38">
            <v>80</v>
          </cell>
          <cell r="FY38">
            <v>65</v>
          </cell>
        </row>
        <row r="41"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E41">
            <v>13699</v>
          </cell>
          <cell r="FF41">
            <v>14696</v>
          </cell>
          <cell r="FG41">
            <v>13784</v>
          </cell>
          <cell r="FH41">
            <v>9956</v>
          </cell>
          <cell r="FI41">
            <v>7502</v>
          </cell>
          <cell r="FJ41">
            <v>4965</v>
          </cell>
          <cell r="FK41">
            <v>4466</v>
          </cell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FS41">
            <v>14092</v>
          </cell>
          <cell r="FT41">
            <v>13862</v>
          </cell>
          <cell r="FU41">
            <v>14451</v>
          </cell>
          <cell r="FV41">
            <v>11139</v>
          </cell>
          <cell r="FW41">
            <v>7045</v>
          </cell>
          <cell r="FX41">
            <v>4601</v>
          </cell>
          <cell r="FY41">
            <v>4299</v>
          </cell>
        </row>
        <row r="47">
          <cell r="FY47">
            <v>12833</v>
          </cell>
        </row>
        <row r="52">
          <cell r="FY52">
            <v>132</v>
          </cell>
        </row>
      </sheetData>
      <sheetData sheetId="17">
        <row r="4">
          <cell r="FY4">
            <v>76</v>
          </cell>
        </row>
        <row r="5">
          <cell r="FY5">
            <v>76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FS19">
            <v>173</v>
          </cell>
          <cell r="FT19">
            <v>186</v>
          </cell>
          <cell r="FU19">
            <v>185</v>
          </cell>
          <cell r="FV19">
            <v>172</v>
          </cell>
          <cell r="FW19">
            <v>178</v>
          </cell>
          <cell r="FX19">
            <v>170</v>
          </cell>
          <cell r="FY19">
            <v>152</v>
          </cell>
        </row>
        <row r="22">
          <cell r="FY22">
            <v>7525</v>
          </cell>
        </row>
        <row r="23">
          <cell r="FY23">
            <v>6793</v>
          </cell>
        </row>
        <row r="27">
          <cell r="FY27">
            <v>236</v>
          </cell>
        </row>
        <row r="28">
          <cell r="FY28">
            <v>217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FS41">
            <v>22201</v>
          </cell>
          <cell r="FT41">
            <v>22956</v>
          </cell>
          <cell r="FU41">
            <v>20403</v>
          </cell>
          <cell r="FV41">
            <v>19609</v>
          </cell>
          <cell r="FW41">
            <v>17526</v>
          </cell>
          <cell r="FX41">
            <v>17231</v>
          </cell>
          <cell r="FY41">
            <v>14318</v>
          </cell>
        </row>
      </sheetData>
      <sheetData sheetId="18">
        <row r="15">
          <cell r="FN15">
            <v>14</v>
          </cell>
          <cell r="FO15">
            <v>12</v>
          </cell>
          <cell r="FP15">
            <v>13</v>
          </cell>
          <cell r="FQ15">
            <v>8</v>
          </cell>
          <cell r="FR15">
            <v>17</v>
          </cell>
          <cell r="FS15">
            <v>20</v>
          </cell>
          <cell r="FT15">
            <v>18</v>
          </cell>
          <cell r="FU15">
            <v>17</v>
          </cell>
          <cell r="FV15">
            <v>16</v>
          </cell>
          <cell r="FW15">
            <v>18</v>
          </cell>
          <cell r="FX15">
            <v>17</v>
          </cell>
          <cell r="FY15">
            <v>18</v>
          </cell>
        </row>
        <row r="16">
          <cell r="FN16">
            <v>14</v>
          </cell>
          <cell r="FO16">
            <v>12</v>
          </cell>
          <cell r="FP16">
            <v>13</v>
          </cell>
          <cell r="FQ16">
            <v>8</v>
          </cell>
          <cell r="FR16">
            <v>17</v>
          </cell>
          <cell r="FS16">
            <v>20</v>
          </cell>
          <cell r="FT16">
            <v>18</v>
          </cell>
          <cell r="FU16">
            <v>17</v>
          </cell>
          <cell r="FV16">
            <v>16</v>
          </cell>
          <cell r="FW16">
            <v>18</v>
          </cell>
          <cell r="FX16">
            <v>17</v>
          </cell>
          <cell r="FY16">
            <v>18</v>
          </cell>
        </row>
        <row r="19"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E19">
            <v>24</v>
          </cell>
          <cell r="FF19">
            <v>26</v>
          </cell>
          <cell r="FG19">
            <v>26</v>
          </cell>
          <cell r="FH19">
            <v>22</v>
          </cell>
          <cell r="FI19">
            <v>28</v>
          </cell>
          <cell r="FJ19">
            <v>22</v>
          </cell>
          <cell r="FK19">
            <v>28</v>
          </cell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FS19">
            <v>40</v>
          </cell>
          <cell r="FT19">
            <v>36</v>
          </cell>
          <cell r="FU19">
            <v>34</v>
          </cell>
          <cell r="FV19">
            <v>32</v>
          </cell>
          <cell r="FW19">
            <v>36</v>
          </cell>
          <cell r="FX19">
            <v>34</v>
          </cell>
          <cell r="FY19">
            <v>36</v>
          </cell>
        </row>
        <row r="32">
          <cell r="FN32">
            <v>3469</v>
          </cell>
          <cell r="FO32">
            <v>2187</v>
          </cell>
          <cell r="FP32">
            <v>3342</v>
          </cell>
          <cell r="FQ32">
            <v>2003</v>
          </cell>
          <cell r="FR32">
            <v>3887</v>
          </cell>
          <cell r="FS32">
            <v>5068</v>
          </cell>
          <cell r="FT32">
            <v>4888</v>
          </cell>
          <cell r="FU32">
            <v>4403</v>
          </cell>
          <cell r="FV32">
            <v>3978</v>
          </cell>
          <cell r="FW32">
            <v>4430</v>
          </cell>
          <cell r="FX32">
            <v>4177</v>
          </cell>
          <cell r="FY32">
            <v>4227</v>
          </cell>
        </row>
        <row r="33">
          <cell r="FN33">
            <v>2510</v>
          </cell>
          <cell r="FO33">
            <v>1897</v>
          </cell>
          <cell r="FP33">
            <v>2851</v>
          </cell>
          <cell r="FQ33">
            <v>1753</v>
          </cell>
          <cell r="FR33">
            <v>4354</v>
          </cell>
          <cell r="FS33">
            <v>5026</v>
          </cell>
          <cell r="FT33">
            <v>3899</v>
          </cell>
          <cell r="FU33">
            <v>4249</v>
          </cell>
          <cell r="FV33">
            <v>3883</v>
          </cell>
          <cell r="FW33">
            <v>3303</v>
          </cell>
          <cell r="FX33">
            <v>3429</v>
          </cell>
          <cell r="FY33">
            <v>4254</v>
          </cell>
        </row>
        <row r="37">
          <cell r="FN37">
            <v>25</v>
          </cell>
          <cell r="FO37">
            <v>24</v>
          </cell>
          <cell r="FP37">
            <v>22</v>
          </cell>
          <cell r="FQ37">
            <v>25</v>
          </cell>
          <cell r="FR37">
            <v>15</v>
          </cell>
          <cell r="FS37">
            <v>47</v>
          </cell>
          <cell r="FT37">
            <v>41</v>
          </cell>
          <cell r="FU37">
            <v>23</v>
          </cell>
          <cell r="FV37">
            <v>16</v>
          </cell>
          <cell r="FW37">
            <v>8</v>
          </cell>
          <cell r="FX37">
            <v>13</v>
          </cell>
        </row>
        <row r="38">
          <cell r="FN38">
            <v>24</v>
          </cell>
          <cell r="FO38">
            <v>14</v>
          </cell>
          <cell r="FP38">
            <v>28</v>
          </cell>
          <cell r="FQ38">
            <v>16</v>
          </cell>
          <cell r="FR38">
            <v>16</v>
          </cell>
          <cell r="FS38">
            <v>16</v>
          </cell>
          <cell r="FT38">
            <v>37</v>
          </cell>
          <cell r="FU38">
            <v>29</v>
          </cell>
          <cell r="FV38">
            <v>12</v>
          </cell>
          <cell r="FW38">
            <v>15</v>
          </cell>
          <cell r="FX38">
            <v>15</v>
          </cell>
        </row>
        <row r="41"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E41">
            <v>5925</v>
          </cell>
          <cell r="FF41">
            <v>6075</v>
          </cell>
          <cell r="FG41">
            <v>6263</v>
          </cell>
          <cell r="FH41">
            <v>4872</v>
          </cell>
          <cell r="FI41">
            <v>5953</v>
          </cell>
          <cell r="FJ41">
            <v>4545</v>
          </cell>
          <cell r="FK41">
            <v>5768</v>
          </cell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FS41">
            <v>10094</v>
          </cell>
          <cell r="FT41">
            <v>8787</v>
          </cell>
          <cell r="FU41">
            <v>8652</v>
          </cell>
          <cell r="FV41">
            <v>7861</v>
          </cell>
          <cell r="FW41">
            <v>7733</v>
          </cell>
          <cell r="FX41">
            <v>7606</v>
          </cell>
          <cell r="FY41">
            <v>8481</v>
          </cell>
        </row>
        <row r="47">
          <cell r="FY47">
            <v>549353</v>
          </cell>
        </row>
        <row r="52">
          <cell r="FY52">
            <v>160542</v>
          </cell>
        </row>
      </sheetData>
      <sheetData sheetId="19"/>
      <sheetData sheetId="20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</row>
      </sheetData>
      <sheetData sheetId="21">
        <row r="4">
          <cell r="FY4">
            <v>609</v>
          </cell>
        </row>
        <row r="5">
          <cell r="FY5">
            <v>608</v>
          </cell>
        </row>
        <row r="8">
          <cell r="FY8">
            <v>1</v>
          </cell>
        </row>
        <row r="19"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E19">
            <v>1509</v>
          </cell>
          <cell r="FF19">
            <v>1526</v>
          </cell>
          <cell r="FG19">
            <v>1598</v>
          </cell>
          <cell r="FH19">
            <v>1458</v>
          </cell>
          <cell r="FI19">
            <v>1553</v>
          </cell>
          <cell r="FJ19">
            <v>1269</v>
          </cell>
          <cell r="FK19">
            <v>1256</v>
          </cell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FS19">
            <v>1373</v>
          </cell>
          <cell r="FT19">
            <v>1469</v>
          </cell>
          <cell r="FU19">
            <v>1491</v>
          </cell>
          <cell r="FV19">
            <v>1368</v>
          </cell>
          <cell r="FW19">
            <v>1477</v>
          </cell>
          <cell r="FX19">
            <v>1261</v>
          </cell>
          <cell r="FY19">
            <v>1218</v>
          </cell>
        </row>
        <row r="22">
          <cell r="FY22">
            <v>72082</v>
          </cell>
        </row>
        <row r="23">
          <cell r="FY23">
            <v>71348</v>
          </cell>
        </row>
        <row r="27">
          <cell r="FY27">
            <v>1568</v>
          </cell>
        </row>
        <row r="28">
          <cell r="FY28">
            <v>1846</v>
          </cell>
        </row>
        <row r="41"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E41">
            <v>182823</v>
          </cell>
          <cell r="FF41">
            <v>179354</v>
          </cell>
          <cell r="FG41">
            <v>193207</v>
          </cell>
          <cell r="FH41">
            <v>167576</v>
          </cell>
          <cell r="FI41">
            <v>179643</v>
          </cell>
          <cell r="FJ41">
            <v>154160</v>
          </cell>
          <cell r="FK41">
            <v>152742</v>
          </cell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FS41">
            <v>170775</v>
          </cell>
          <cell r="FT41">
            <v>179912</v>
          </cell>
          <cell r="FU41">
            <v>184520</v>
          </cell>
          <cell r="FV41">
            <v>160682</v>
          </cell>
          <cell r="FW41">
            <v>178514</v>
          </cell>
          <cell r="FX41">
            <v>150256</v>
          </cell>
          <cell r="FY41">
            <v>143430</v>
          </cell>
        </row>
        <row r="47">
          <cell r="FY47">
            <v>262502</v>
          </cell>
        </row>
        <row r="52">
          <cell r="FY52">
            <v>77220</v>
          </cell>
        </row>
        <row r="70">
          <cell r="FY70">
            <v>71051</v>
          </cell>
        </row>
        <row r="71">
          <cell r="FY71">
            <v>297</v>
          </cell>
        </row>
      </sheetData>
      <sheetData sheetId="22">
        <row r="4">
          <cell r="FY4">
            <v>353</v>
          </cell>
        </row>
        <row r="5">
          <cell r="FY5">
            <v>353</v>
          </cell>
        </row>
        <row r="19"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E19">
            <v>739</v>
          </cell>
          <cell r="FF19">
            <v>758</v>
          </cell>
          <cell r="FG19">
            <v>780</v>
          </cell>
          <cell r="FH19">
            <v>704</v>
          </cell>
          <cell r="FI19">
            <v>780</v>
          </cell>
          <cell r="FJ19">
            <v>742</v>
          </cell>
          <cell r="FK19">
            <v>718</v>
          </cell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FS19">
            <v>718</v>
          </cell>
          <cell r="FT19">
            <v>740</v>
          </cell>
          <cell r="FU19">
            <v>744</v>
          </cell>
          <cell r="FV19">
            <v>618</v>
          </cell>
          <cell r="FW19">
            <v>602</v>
          </cell>
          <cell r="FX19">
            <v>666</v>
          </cell>
          <cell r="FY19">
            <v>706</v>
          </cell>
        </row>
        <row r="22">
          <cell r="FY22">
            <v>45999</v>
          </cell>
        </row>
        <row r="23">
          <cell r="FY23">
            <v>48846</v>
          </cell>
        </row>
        <row r="27">
          <cell r="FY27">
            <v>228</v>
          </cell>
        </row>
        <row r="28">
          <cell r="FY28">
            <v>223</v>
          </cell>
        </row>
        <row r="41"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E41">
            <v>102395</v>
          </cell>
          <cell r="FF41">
            <v>108907</v>
          </cell>
          <cell r="FG41">
            <v>114899</v>
          </cell>
          <cell r="FH41">
            <v>93251</v>
          </cell>
          <cell r="FI41">
            <v>105443</v>
          </cell>
          <cell r="FJ41">
            <v>91625</v>
          </cell>
          <cell r="FK41">
            <v>89435</v>
          </cell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FS41">
            <v>101895</v>
          </cell>
          <cell r="FT41">
            <v>108629</v>
          </cell>
          <cell r="FU41">
            <v>112678</v>
          </cell>
          <cell r="FV41">
            <v>83947</v>
          </cell>
          <cell r="FW41">
            <v>89265</v>
          </cell>
          <cell r="FX41">
            <v>87557</v>
          </cell>
          <cell r="FY41">
            <v>94845</v>
          </cell>
        </row>
      </sheetData>
      <sheetData sheetId="23">
        <row r="4">
          <cell r="FY4">
            <v>204</v>
          </cell>
        </row>
        <row r="5">
          <cell r="FY5">
            <v>204</v>
          </cell>
        </row>
        <row r="19"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E19">
            <v>912</v>
          </cell>
          <cell r="FF19">
            <v>914</v>
          </cell>
          <cell r="FG19">
            <v>926</v>
          </cell>
          <cell r="FH19">
            <v>844</v>
          </cell>
          <cell r="FI19">
            <v>730</v>
          </cell>
          <cell r="FJ19">
            <v>602</v>
          </cell>
          <cell r="FK19">
            <v>470</v>
          </cell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FS19">
            <v>748</v>
          </cell>
          <cell r="FT19">
            <v>812</v>
          </cell>
          <cell r="FU19">
            <v>822</v>
          </cell>
          <cell r="FV19">
            <v>652</v>
          </cell>
          <cell r="FW19">
            <v>666</v>
          </cell>
          <cell r="FX19">
            <v>450</v>
          </cell>
          <cell r="FY19">
            <v>408</v>
          </cell>
        </row>
        <row r="22">
          <cell r="FY22">
            <v>28118</v>
          </cell>
        </row>
        <row r="23">
          <cell r="FY23">
            <v>28385</v>
          </cell>
        </row>
        <row r="27">
          <cell r="FY27">
            <v>1007</v>
          </cell>
        </row>
        <row r="28">
          <cell r="FY28">
            <v>1051</v>
          </cell>
        </row>
        <row r="41"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E41">
            <v>105779</v>
          </cell>
          <cell r="FF41">
            <v>106947</v>
          </cell>
          <cell r="FG41">
            <v>109039</v>
          </cell>
          <cell r="FH41">
            <v>99698</v>
          </cell>
          <cell r="FI41">
            <v>88591</v>
          </cell>
          <cell r="FJ41">
            <v>73084</v>
          </cell>
          <cell r="FK41">
            <v>59174</v>
          </cell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FS41">
            <v>92739</v>
          </cell>
          <cell r="FT41">
            <v>101431</v>
          </cell>
          <cell r="FU41">
            <v>101481</v>
          </cell>
          <cell r="FV41">
            <v>78239</v>
          </cell>
          <cell r="FW41">
            <v>86741</v>
          </cell>
          <cell r="FX41">
            <v>66229</v>
          </cell>
          <cell r="FY41">
            <v>56503</v>
          </cell>
        </row>
        <row r="47">
          <cell r="FY47">
            <v>56950</v>
          </cell>
        </row>
        <row r="48">
          <cell r="FY48">
            <v>19509</v>
          </cell>
        </row>
        <row r="52">
          <cell r="FY52">
            <v>8232</v>
          </cell>
        </row>
        <row r="53">
          <cell r="FY53">
            <v>51820</v>
          </cell>
        </row>
      </sheetData>
      <sheetData sheetId="24"/>
      <sheetData sheetId="25"/>
      <sheetData sheetId="26">
        <row r="19"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E19">
            <v>79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</row>
        <row r="41"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E41">
            <v>3525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</row>
      </sheetData>
      <sheetData sheetId="27">
        <row r="19"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</row>
        <row r="41"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</row>
      </sheetData>
      <sheetData sheetId="28">
        <row r="4">
          <cell r="FY4">
            <v>7</v>
          </cell>
        </row>
        <row r="5">
          <cell r="FY5">
            <v>7</v>
          </cell>
        </row>
        <row r="19"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E19">
            <v>8</v>
          </cell>
          <cell r="FF19">
            <v>10</v>
          </cell>
          <cell r="FG19">
            <v>8</v>
          </cell>
          <cell r="FH19">
            <v>0</v>
          </cell>
          <cell r="FI19">
            <v>6</v>
          </cell>
          <cell r="FJ19">
            <v>14</v>
          </cell>
          <cell r="FK19">
            <v>18</v>
          </cell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FS19">
            <v>20</v>
          </cell>
          <cell r="FT19">
            <v>10</v>
          </cell>
          <cell r="FU19">
            <v>14</v>
          </cell>
          <cell r="FV19">
            <v>10</v>
          </cell>
          <cell r="FW19">
            <v>12</v>
          </cell>
          <cell r="FX19">
            <v>10</v>
          </cell>
          <cell r="FY19">
            <v>14</v>
          </cell>
        </row>
        <row r="22">
          <cell r="FY22">
            <v>329</v>
          </cell>
        </row>
        <row r="23">
          <cell r="FY23">
            <v>302</v>
          </cell>
        </row>
        <row r="27">
          <cell r="FY27">
            <v>62</v>
          </cell>
        </row>
        <row r="28">
          <cell r="FY28">
            <v>40</v>
          </cell>
        </row>
        <row r="41"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E41">
            <v>443</v>
          </cell>
          <cell r="FF41">
            <v>550</v>
          </cell>
          <cell r="FG41">
            <v>392</v>
          </cell>
          <cell r="FH41">
            <v>0</v>
          </cell>
          <cell r="FI41">
            <v>374</v>
          </cell>
          <cell r="FJ41">
            <v>691</v>
          </cell>
          <cell r="FK41">
            <v>1063</v>
          </cell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FS41">
            <v>1197</v>
          </cell>
          <cell r="FT41">
            <v>346</v>
          </cell>
          <cell r="FU41">
            <v>412</v>
          </cell>
          <cell r="FV41">
            <v>440</v>
          </cell>
          <cell r="FW41">
            <v>459</v>
          </cell>
          <cell r="FX41">
            <v>511</v>
          </cell>
          <cell r="FY41">
            <v>631</v>
          </cell>
        </row>
      </sheetData>
      <sheetData sheetId="29">
        <row r="15">
          <cell r="FN15">
            <v>21</v>
          </cell>
          <cell r="FO15">
            <v>22</v>
          </cell>
          <cell r="FP15">
            <v>2</v>
          </cell>
        </row>
        <row r="16">
          <cell r="FN16">
            <v>23</v>
          </cell>
          <cell r="FO16">
            <v>26</v>
          </cell>
          <cell r="FP16">
            <v>5</v>
          </cell>
        </row>
        <row r="19"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E19">
            <v>468</v>
          </cell>
          <cell r="FF19">
            <v>250</v>
          </cell>
          <cell r="FG19">
            <v>220</v>
          </cell>
          <cell r="FH19">
            <v>119</v>
          </cell>
          <cell r="FI19">
            <v>145</v>
          </cell>
          <cell r="FJ19">
            <v>112</v>
          </cell>
          <cell r="FK19">
            <v>184</v>
          </cell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FS19">
            <v>56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</row>
        <row r="32">
          <cell r="FN32">
            <v>1136</v>
          </cell>
          <cell r="FO32">
            <v>1111</v>
          </cell>
          <cell r="FP32">
            <v>122</v>
          </cell>
        </row>
        <row r="33">
          <cell r="FN33">
            <v>1362</v>
          </cell>
          <cell r="FO33">
            <v>1562</v>
          </cell>
          <cell r="FP33">
            <v>242</v>
          </cell>
        </row>
        <row r="37">
          <cell r="FN37">
            <v>17</v>
          </cell>
          <cell r="FO37">
            <v>30</v>
          </cell>
          <cell r="FP37">
            <v>1</v>
          </cell>
        </row>
        <row r="38">
          <cell r="FN38">
            <v>14</v>
          </cell>
          <cell r="FO38">
            <v>17</v>
          </cell>
          <cell r="FP38">
            <v>4</v>
          </cell>
        </row>
        <row r="41"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E41">
            <v>26872</v>
          </cell>
          <cell r="FF41">
            <v>11383</v>
          </cell>
          <cell r="FG41">
            <v>10470</v>
          </cell>
          <cell r="FH41">
            <v>5966</v>
          </cell>
          <cell r="FI41">
            <v>7685</v>
          </cell>
          <cell r="FJ41">
            <v>6319</v>
          </cell>
          <cell r="FK41">
            <v>10436</v>
          </cell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FS41">
            <v>2500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</row>
      </sheetData>
      <sheetData sheetId="30"/>
      <sheetData sheetId="31"/>
      <sheetData sheetId="32"/>
      <sheetData sheetId="33">
        <row r="15">
          <cell r="FO15">
            <v>1</v>
          </cell>
        </row>
        <row r="19"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E19">
            <v>928</v>
          </cell>
          <cell r="FF19">
            <v>1043</v>
          </cell>
          <cell r="FG19">
            <v>1021</v>
          </cell>
          <cell r="FH19">
            <v>744</v>
          </cell>
          <cell r="FI19">
            <v>348</v>
          </cell>
          <cell r="FJ19">
            <v>210</v>
          </cell>
          <cell r="FK19">
            <v>0</v>
          </cell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</row>
        <row r="41"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E41">
            <v>58464</v>
          </cell>
          <cell r="FF41">
            <v>65241</v>
          </cell>
          <cell r="FG41">
            <v>62261</v>
          </cell>
          <cell r="FH41">
            <v>46429</v>
          </cell>
          <cell r="FI41">
            <v>22364</v>
          </cell>
          <cell r="FJ41">
            <v>12940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</row>
        <row r="70">
          <cell r="BG70">
            <v>26242</v>
          </cell>
        </row>
        <row r="71">
          <cell r="BG71">
            <v>44562</v>
          </cell>
        </row>
        <row r="73">
          <cell r="BG73">
            <v>1540</v>
          </cell>
        </row>
        <row r="74">
          <cell r="BG74">
            <v>2614</v>
          </cell>
        </row>
      </sheetData>
      <sheetData sheetId="34"/>
      <sheetData sheetId="35">
        <row r="19"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E19">
            <v>6</v>
          </cell>
          <cell r="FF19">
            <v>10</v>
          </cell>
          <cell r="FG19">
            <v>4</v>
          </cell>
          <cell r="FH19">
            <v>12</v>
          </cell>
          <cell r="FI19">
            <v>20</v>
          </cell>
          <cell r="FJ19">
            <v>2</v>
          </cell>
          <cell r="FK19">
            <v>16</v>
          </cell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10</v>
          </cell>
          <cell r="FW19">
            <v>0</v>
          </cell>
          <cell r="FX19">
            <v>0</v>
          </cell>
          <cell r="FY19">
            <v>0</v>
          </cell>
        </row>
        <row r="41"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E41">
            <v>293</v>
          </cell>
          <cell r="FF41">
            <v>490</v>
          </cell>
          <cell r="FG41">
            <v>198</v>
          </cell>
          <cell r="FH41">
            <v>399</v>
          </cell>
          <cell r="FI41">
            <v>785</v>
          </cell>
          <cell r="FJ41">
            <v>98</v>
          </cell>
          <cell r="FK41">
            <v>643</v>
          </cell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FS41">
            <v>0</v>
          </cell>
          <cell r="FT41">
            <v>0</v>
          </cell>
          <cell r="FU41">
            <v>93</v>
          </cell>
          <cell r="FV41">
            <v>379</v>
          </cell>
          <cell r="FW41">
            <v>0</v>
          </cell>
          <cell r="FX41">
            <v>0</v>
          </cell>
          <cell r="FY41">
            <v>0</v>
          </cell>
        </row>
      </sheetData>
      <sheetData sheetId="36"/>
      <sheetData sheetId="37">
        <row r="4">
          <cell r="FY4">
            <v>274</v>
          </cell>
        </row>
        <row r="5">
          <cell r="FY5">
            <v>274</v>
          </cell>
        </row>
        <row r="15">
          <cell r="FN15">
            <v>52</v>
          </cell>
          <cell r="FO15">
            <v>46</v>
          </cell>
          <cell r="FP15">
            <v>2</v>
          </cell>
          <cell r="FQ15">
            <v>49</v>
          </cell>
          <cell r="FR15">
            <v>55</v>
          </cell>
          <cell r="FS15">
            <v>13</v>
          </cell>
          <cell r="FT15">
            <v>21</v>
          </cell>
          <cell r="FU15">
            <v>28</v>
          </cell>
          <cell r="FV15">
            <v>30</v>
          </cell>
          <cell r="FW15">
            <v>31</v>
          </cell>
          <cell r="FX15">
            <v>28</v>
          </cell>
          <cell r="FY15">
            <v>18</v>
          </cell>
        </row>
        <row r="16">
          <cell r="FN16">
            <v>53</v>
          </cell>
          <cell r="FO16">
            <v>44</v>
          </cell>
          <cell r="FP16">
            <v>2</v>
          </cell>
          <cell r="FQ16">
            <v>47</v>
          </cell>
          <cell r="FR16">
            <v>52</v>
          </cell>
          <cell r="FS16">
            <v>12</v>
          </cell>
          <cell r="FT16">
            <v>21</v>
          </cell>
          <cell r="FU16">
            <v>26</v>
          </cell>
          <cell r="FV16">
            <v>30</v>
          </cell>
          <cell r="FW16">
            <v>31</v>
          </cell>
          <cell r="FX16">
            <v>31</v>
          </cell>
          <cell r="FY16">
            <v>17</v>
          </cell>
        </row>
        <row r="19"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E19">
            <v>281</v>
          </cell>
          <cell r="FF19">
            <v>318</v>
          </cell>
          <cell r="FG19">
            <v>406</v>
          </cell>
          <cell r="FH19">
            <v>284</v>
          </cell>
          <cell r="FI19">
            <v>121</v>
          </cell>
          <cell r="FJ19">
            <v>201</v>
          </cell>
          <cell r="FK19">
            <v>328</v>
          </cell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FS19">
            <v>590</v>
          </cell>
          <cell r="FT19">
            <v>478</v>
          </cell>
          <cell r="FU19">
            <v>472</v>
          </cell>
          <cell r="FV19">
            <v>166</v>
          </cell>
          <cell r="FW19">
            <v>222</v>
          </cell>
          <cell r="FX19">
            <v>367</v>
          </cell>
          <cell r="FY19">
            <v>583</v>
          </cell>
        </row>
        <row r="22">
          <cell r="FY22">
            <v>15584</v>
          </cell>
        </row>
        <row r="23">
          <cell r="FY23">
            <v>14929</v>
          </cell>
        </row>
        <row r="27">
          <cell r="FY27">
            <v>665</v>
          </cell>
        </row>
        <row r="28">
          <cell r="FY28">
            <v>646</v>
          </cell>
        </row>
        <row r="32">
          <cell r="FN32">
            <v>3029</v>
          </cell>
          <cell r="FO32">
            <v>2858</v>
          </cell>
          <cell r="FP32">
            <v>125</v>
          </cell>
          <cell r="FQ32">
            <v>3264</v>
          </cell>
          <cell r="FR32">
            <v>3535</v>
          </cell>
          <cell r="FS32">
            <v>849</v>
          </cell>
          <cell r="FT32">
            <v>1484</v>
          </cell>
          <cell r="FU32">
            <v>1821</v>
          </cell>
          <cell r="FV32">
            <v>1891</v>
          </cell>
          <cell r="FW32">
            <v>2093</v>
          </cell>
          <cell r="FX32">
            <v>1712</v>
          </cell>
          <cell r="FY32">
            <v>891</v>
          </cell>
        </row>
        <row r="33">
          <cell r="FN33">
            <v>2891</v>
          </cell>
          <cell r="FO33">
            <v>2444</v>
          </cell>
          <cell r="FP33">
            <v>107</v>
          </cell>
          <cell r="FQ33">
            <v>3000</v>
          </cell>
          <cell r="FR33">
            <v>3400</v>
          </cell>
          <cell r="FS33">
            <v>815</v>
          </cell>
          <cell r="FT33">
            <v>1363</v>
          </cell>
          <cell r="FU33">
            <v>1794</v>
          </cell>
          <cell r="FV33">
            <v>2030</v>
          </cell>
          <cell r="FW33">
            <v>1941</v>
          </cell>
          <cell r="FX33">
            <v>1823</v>
          </cell>
          <cell r="FY33">
            <v>1016</v>
          </cell>
        </row>
        <row r="37">
          <cell r="FN37">
            <v>47</v>
          </cell>
          <cell r="FO37">
            <v>35</v>
          </cell>
          <cell r="FQ37">
            <v>53</v>
          </cell>
          <cell r="FR37">
            <v>60</v>
          </cell>
          <cell r="FS37">
            <v>18</v>
          </cell>
          <cell r="FT37">
            <v>37</v>
          </cell>
          <cell r="FU37">
            <v>22</v>
          </cell>
          <cell r="FV37">
            <v>33</v>
          </cell>
          <cell r="FW37">
            <v>23</v>
          </cell>
          <cell r="FX37">
            <v>29</v>
          </cell>
          <cell r="FY37">
            <v>18</v>
          </cell>
        </row>
        <row r="38">
          <cell r="FN38">
            <v>46</v>
          </cell>
          <cell r="FO38">
            <v>44</v>
          </cell>
          <cell r="FP38">
            <v>3</v>
          </cell>
          <cell r="FQ38">
            <v>61</v>
          </cell>
          <cell r="FR38">
            <v>71</v>
          </cell>
          <cell r="FS38">
            <v>20</v>
          </cell>
          <cell r="FT38">
            <v>42</v>
          </cell>
          <cell r="FU38">
            <v>23</v>
          </cell>
          <cell r="FV38">
            <v>27</v>
          </cell>
          <cell r="FW38">
            <v>23</v>
          </cell>
          <cell r="FX38">
            <v>26</v>
          </cell>
          <cell r="FY38">
            <v>9</v>
          </cell>
        </row>
        <row r="41"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E41">
            <v>17051</v>
          </cell>
          <cell r="FF41">
            <v>18469</v>
          </cell>
          <cell r="FG41">
            <v>23154</v>
          </cell>
          <cell r="FH41">
            <v>16916</v>
          </cell>
          <cell r="FI41">
            <v>7353</v>
          </cell>
          <cell r="FJ41">
            <v>12041</v>
          </cell>
          <cell r="FK41">
            <v>18944</v>
          </cell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FS41">
            <v>36990</v>
          </cell>
          <cell r="FT41">
            <v>30084</v>
          </cell>
          <cell r="FU41">
            <v>29058</v>
          </cell>
          <cell r="FV41">
            <v>10075</v>
          </cell>
          <cell r="FW41">
            <v>13848</v>
          </cell>
          <cell r="FX41">
            <v>22476</v>
          </cell>
          <cell r="FY41">
            <v>32420</v>
          </cell>
        </row>
        <row r="47">
          <cell r="FY47">
            <v>1175</v>
          </cell>
        </row>
        <row r="70">
          <cell r="FY70">
            <v>7524</v>
          </cell>
        </row>
        <row r="71">
          <cell r="FY71">
            <v>7405</v>
          </cell>
        </row>
        <row r="73">
          <cell r="FY73">
            <v>512</v>
          </cell>
        </row>
        <row r="74">
          <cell r="FY74">
            <v>504</v>
          </cell>
        </row>
      </sheetData>
      <sheetData sheetId="38">
        <row r="4">
          <cell r="FY4">
            <v>14</v>
          </cell>
        </row>
        <row r="5">
          <cell r="FY5">
            <v>14</v>
          </cell>
        </row>
        <row r="19"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E19">
            <v>56</v>
          </cell>
          <cell r="FF19">
            <v>26</v>
          </cell>
          <cell r="FG19">
            <v>40</v>
          </cell>
          <cell r="FH19">
            <v>10</v>
          </cell>
          <cell r="FI19">
            <v>14</v>
          </cell>
          <cell r="FJ19">
            <v>172</v>
          </cell>
          <cell r="FK19">
            <v>100</v>
          </cell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FS19">
            <v>6</v>
          </cell>
          <cell r="FT19">
            <v>0</v>
          </cell>
          <cell r="FU19">
            <v>1</v>
          </cell>
          <cell r="FV19">
            <v>0</v>
          </cell>
          <cell r="FW19">
            <v>0</v>
          </cell>
          <cell r="FX19">
            <v>0</v>
          </cell>
          <cell r="FY19">
            <v>28</v>
          </cell>
        </row>
        <row r="22">
          <cell r="FY22">
            <v>891</v>
          </cell>
        </row>
        <row r="23">
          <cell r="FY23">
            <v>869</v>
          </cell>
        </row>
        <row r="27">
          <cell r="FY27">
            <v>44</v>
          </cell>
        </row>
        <row r="28">
          <cell r="FY28">
            <v>49</v>
          </cell>
        </row>
        <row r="41"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E41">
            <v>3573</v>
          </cell>
          <cell r="FF41">
            <v>1722</v>
          </cell>
          <cell r="FG41">
            <v>2669</v>
          </cell>
          <cell r="FH41">
            <v>634</v>
          </cell>
          <cell r="FI41">
            <v>934</v>
          </cell>
          <cell r="FJ41">
            <v>11532</v>
          </cell>
          <cell r="FK41">
            <v>6496</v>
          </cell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FS41">
            <v>391</v>
          </cell>
          <cell r="FT41">
            <v>0</v>
          </cell>
          <cell r="FU41">
            <v>61</v>
          </cell>
          <cell r="FV41">
            <v>0</v>
          </cell>
          <cell r="FW41">
            <v>0</v>
          </cell>
          <cell r="FX41">
            <v>0</v>
          </cell>
          <cell r="FY41">
            <v>1760</v>
          </cell>
        </row>
      </sheetData>
      <sheetData sheetId="39">
        <row r="4">
          <cell r="FY4">
            <v>31</v>
          </cell>
        </row>
        <row r="5">
          <cell r="FY5">
            <v>31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52</v>
          </cell>
          <cell r="FK19">
            <v>160</v>
          </cell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FS19">
            <v>120</v>
          </cell>
          <cell r="FT19">
            <v>122</v>
          </cell>
          <cell r="FU19">
            <v>124</v>
          </cell>
          <cell r="FV19">
            <v>120</v>
          </cell>
          <cell r="FW19">
            <v>122</v>
          </cell>
          <cell r="FX19">
            <v>66</v>
          </cell>
          <cell r="FY19">
            <v>62</v>
          </cell>
        </row>
        <row r="22">
          <cell r="FY22">
            <v>2050</v>
          </cell>
        </row>
        <row r="23">
          <cell r="FY23">
            <v>2144</v>
          </cell>
        </row>
        <row r="27">
          <cell r="FY27">
            <v>80</v>
          </cell>
        </row>
        <row r="28">
          <cell r="FY28">
            <v>72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2954</v>
          </cell>
          <cell r="FK41">
            <v>9051</v>
          </cell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FS41">
            <v>8149</v>
          </cell>
          <cell r="FT41">
            <v>7915</v>
          </cell>
          <cell r="FU41">
            <v>8050</v>
          </cell>
          <cell r="FV41">
            <v>7540</v>
          </cell>
          <cell r="FW41">
            <v>7891</v>
          </cell>
          <cell r="FX41">
            <v>4457</v>
          </cell>
          <cell r="FY41">
            <v>4194</v>
          </cell>
        </row>
        <row r="47">
          <cell r="FY47">
            <v>1765</v>
          </cell>
        </row>
        <row r="53">
          <cell r="FY53">
            <v>4654</v>
          </cell>
        </row>
      </sheetData>
      <sheetData sheetId="40">
        <row r="4">
          <cell r="FY4">
            <v>160</v>
          </cell>
        </row>
        <row r="5">
          <cell r="FY5">
            <v>160</v>
          </cell>
        </row>
        <row r="19"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E19">
            <v>288</v>
          </cell>
          <cell r="FF19">
            <v>308</v>
          </cell>
          <cell r="FG19">
            <v>290</v>
          </cell>
          <cell r="FH19">
            <v>288</v>
          </cell>
          <cell r="FI19">
            <v>318</v>
          </cell>
          <cell r="FJ19">
            <v>296</v>
          </cell>
          <cell r="FK19">
            <v>212</v>
          </cell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FS19">
            <v>290</v>
          </cell>
          <cell r="FT19">
            <v>262</v>
          </cell>
          <cell r="FU19">
            <v>282</v>
          </cell>
          <cell r="FV19">
            <v>246</v>
          </cell>
          <cell r="FW19">
            <v>274</v>
          </cell>
          <cell r="FX19">
            <v>326</v>
          </cell>
          <cell r="FY19">
            <v>320</v>
          </cell>
        </row>
        <row r="22">
          <cell r="FY22">
            <v>9797</v>
          </cell>
        </row>
        <row r="23">
          <cell r="FY23">
            <v>10275</v>
          </cell>
        </row>
        <row r="27">
          <cell r="FY27">
            <v>326</v>
          </cell>
        </row>
        <row r="28">
          <cell r="FY28">
            <v>306</v>
          </cell>
        </row>
        <row r="41"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E41">
            <v>17247</v>
          </cell>
          <cell r="FF41">
            <v>18775</v>
          </cell>
          <cell r="FG41">
            <v>16637</v>
          </cell>
          <cell r="FH41">
            <v>14348</v>
          </cell>
          <cell r="FI41">
            <v>18566</v>
          </cell>
          <cell r="FJ41">
            <v>17610</v>
          </cell>
          <cell r="FK41">
            <v>13074</v>
          </cell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FS41">
            <v>20128</v>
          </cell>
          <cell r="FT41">
            <v>18318</v>
          </cell>
          <cell r="FU41">
            <v>20000</v>
          </cell>
          <cell r="FV41">
            <v>15314</v>
          </cell>
          <cell r="FW41">
            <v>17814</v>
          </cell>
          <cell r="FX41">
            <v>21051</v>
          </cell>
          <cell r="FY41">
            <v>20072</v>
          </cell>
        </row>
      </sheetData>
      <sheetData sheetId="41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</sheetData>
      <sheetData sheetId="42"/>
      <sheetData sheetId="43">
        <row r="4">
          <cell r="FY4">
            <v>1276</v>
          </cell>
        </row>
        <row r="5">
          <cell r="FY5">
            <v>1273</v>
          </cell>
        </row>
        <row r="8">
          <cell r="FY8">
            <v>2</v>
          </cell>
        </row>
        <row r="9">
          <cell r="FY9">
            <v>3</v>
          </cell>
        </row>
        <row r="15">
          <cell r="FN15">
            <v>33</v>
          </cell>
          <cell r="FO15">
            <v>36</v>
          </cell>
          <cell r="FP15">
            <v>171</v>
          </cell>
          <cell r="FQ15">
            <v>92</v>
          </cell>
          <cell r="FR15">
            <v>61</v>
          </cell>
          <cell r="FS15">
            <v>152</v>
          </cell>
          <cell r="FT15">
            <v>100</v>
          </cell>
          <cell r="FU15">
            <v>69</v>
          </cell>
          <cell r="FX15">
            <v>7</v>
          </cell>
          <cell r="FY15">
            <v>54</v>
          </cell>
        </row>
        <row r="16">
          <cell r="FN16">
            <v>31</v>
          </cell>
          <cell r="FO16">
            <v>34</v>
          </cell>
          <cell r="FP16">
            <v>170</v>
          </cell>
          <cell r="FQ16">
            <v>95</v>
          </cell>
          <cell r="FR16">
            <v>62</v>
          </cell>
          <cell r="FS16">
            <v>152</v>
          </cell>
          <cell r="FT16">
            <v>100</v>
          </cell>
          <cell r="FU16">
            <v>70</v>
          </cell>
          <cell r="FX16">
            <v>7</v>
          </cell>
          <cell r="FY16">
            <v>56</v>
          </cell>
        </row>
        <row r="19"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E19">
            <v>3569</v>
          </cell>
          <cell r="FF19">
            <v>3280</v>
          </cell>
          <cell r="FG19">
            <v>3243</v>
          </cell>
          <cell r="FH19">
            <v>2650</v>
          </cell>
          <cell r="FI19">
            <v>2678</v>
          </cell>
          <cell r="FJ19">
            <v>2737</v>
          </cell>
          <cell r="FK19">
            <v>3161</v>
          </cell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FS19">
            <v>2040</v>
          </cell>
          <cell r="FT19">
            <v>2051</v>
          </cell>
          <cell r="FU19">
            <v>2292</v>
          </cell>
          <cell r="FV19">
            <v>1989</v>
          </cell>
          <cell r="FW19">
            <v>1900</v>
          </cell>
          <cell r="FX19">
            <v>1747</v>
          </cell>
          <cell r="FY19">
            <v>2664</v>
          </cell>
        </row>
        <row r="22">
          <cell r="FY22">
            <v>75467</v>
          </cell>
        </row>
        <row r="23">
          <cell r="FY23">
            <v>74236</v>
          </cell>
        </row>
        <row r="27">
          <cell r="FY27">
            <v>3330</v>
          </cell>
        </row>
        <row r="28">
          <cell r="FY28">
            <v>3026</v>
          </cell>
        </row>
        <row r="32">
          <cell r="FN32">
            <v>1877</v>
          </cell>
          <cell r="FO32">
            <v>2203</v>
          </cell>
          <cell r="FP32">
            <v>11121</v>
          </cell>
          <cell r="FQ32">
            <v>5998</v>
          </cell>
          <cell r="FR32">
            <v>3695</v>
          </cell>
          <cell r="FS32">
            <v>9734</v>
          </cell>
          <cell r="FT32">
            <v>6677</v>
          </cell>
          <cell r="FU32">
            <v>4790</v>
          </cell>
          <cell r="FX32">
            <v>365</v>
          </cell>
          <cell r="FY32">
            <v>3393</v>
          </cell>
        </row>
        <row r="33">
          <cell r="FN33">
            <v>1763</v>
          </cell>
          <cell r="FO33">
            <v>2158</v>
          </cell>
          <cell r="FP33">
            <v>11212</v>
          </cell>
          <cell r="FQ33">
            <v>6196</v>
          </cell>
          <cell r="FR33">
            <v>4029</v>
          </cell>
          <cell r="FS33">
            <v>10134</v>
          </cell>
          <cell r="FT33">
            <v>6305</v>
          </cell>
          <cell r="FU33">
            <v>4848</v>
          </cell>
          <cell r="FX33">
            <v>417</v>
          </cell>
          <cell r="FY33">
            <v>3410</v>
          </cell>
        </row>
        <row r="37">
          <cell r="FN37">
            <v>28</v>
          </cell>
          <cell r="FO37">
            <v>29</v>
          </cell>
          <cell r="FP37">
            <v>170</v>
          </cell>
          <cell r="FQ37">
            <v>114</v>
          </cell>
          <cell r="FR37">
            <v>57</v>
          </cell>
          <cell r="FS37">
            <v>134</v>
          </cell>
          <cell r="FT37">
            <v>136</v>
          </cell>
          <cell r="FU37">
            <v>95</v>
          </cell>
          <cell r="FX37">
            <v>6</v>
          </cell>
          <cell r="FY37">
            <v>64</v>
          </cell>
        </row>
        <row r="38">
          <cell r="FN38">
            <v>29</v>
          </cell>
          <cell r="FO38">
            <v>29</v>
          </cell>
          <cell r="FP38">
            <v>181</v>
          </cell>
          <cell r="FQ38">
            <v>87</v>
          </cell>
          <cell r="FR38">
            <v>67</v>
          </cell>
          <cell r="FS38">
            <v>156</v>
          </cell>
          <cell r="FT38">
            <v>154</v>
          </cell>
          <cell r="FU38">
            <v>115</v>
          </cell>
          <cell r="FX38">
            <v>3</v>
          </cell>
          <cell r="FY38">
            <v>70</v>
          </cell>
        </row>
        <row r="41"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E41">
            <v>187272</v>
          </cell>
          <cell r="FF41">
            <v>164340</v>
          </cell>
          <cell r="FG41">
            <v>157605</v>
          </cell>
          <cell r="FH41">
            <v>129772</v>
          </cell>
          <cell r="FI41">
            <v>138892</v>
          </cell>
          <cell r="FJ41">
            <v>142252</v>
          </cell>
          <cell r="FK41">
            <v>170099</v>
          </cell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FS41">
            <v>125736</v>
          </cell>
          <cell r="FT41">
            <v>126774</v>
          </cell>
          <cell r="FU41">
            <v>142030</v>
          </cell>
          <cell r="FV41">
            <v>116082</v>
          </cell>
          <cell r="FW41">
            <v>112526</v>
          </cell>
          <cell r="FX41">
            <v>102854</v>
          </cell>
          <cell r="FY41">
            <v>156506</v>
          </cell>
        </row>
        <row r="70">
          <cell r="FY70">
            <v>31253</v>
          </cell>
        </row>
        <row r="71">
          <cell r="FY71">
            <v>42983</v>
          </cell>
        </row>
        <row r="73">
          <cell r="FY73">
            <v>1436</v>
          </cell>
        </row>
        <row r="74">
          <cell r="FY74">
            <v>1974</v>
          </cell>
        </row>
      </sheetData>
      <sheetData sheetId="44">
        <row r="19"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E19">
            <v>44</v>
          </cell>
          <cell r="FF19">
            <v>38</v>
          </cell>
          <cell r="FG19">
            <v>50</v>
          </cell>
          <cell r="FH19">
            <v>68</v>
          </cell>
          <cell r="FI19">
            <v>113</v>
          </cell>
          <cell r="FJ19">
            <v>111</v>
          </cell>
          <cell r="FK19">
            <v>62</v>
          </cell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</row>
        <row r="41"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E41">
            <v>2210</v>
          </cell>
          <cell r="FF41">
            <v>2026</v>
          </cell>
          <cell r="FG41">
            <v>2580</v>
          </cell>
          <cell r="FH41">
            <v>3192</v>
          </cell>
          <cell r="FI41">
            <v>5871</v>
          </cell>
          <cell r="FJ41">
            <v>6088</v>
          </cell>
          <cell r="FK41">
            <v>3029</v>
          </cell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</row>
      </sheetData>
      <sheetData sheetId="45">
        <row r="4">
          <cell r="FY4">
            <v>186</v>
          </cell>
        </row>
        <row r="5">
          <cell r="FY5">
            <v>189</v>
          </cell>
        </row>
        <row r="19"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E19">
            <v>445</v>
          </cell>
          <cell r="FF19">
            <v>459</v>
          </cell>
          <cell r="FG19">
            <v>444</v>
          </cell>
          <cell r="FH19">
            <v>374</v>
          </cell>
          <cell r="FI19">
            <v>349</v>
          </cell>
          <cell r="FJ19">
            <v>353</v>
          </cell>
          <cell r="FK19">
            <v>343</v>
          </cell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FS19">
            <v>425</v>
          </cell>
          <cell r="FT19">
            <v>439</v>
          </cell>
          <cell r="FU19">
            <v>438</v>
          </cell>
          <cell r="FV19">
            <v>428</v>
          </cell>
          <cell r="FW19">
            <v>460</v>
          </cell>
          <cell r="FX19">
            <v>430</v>
          </cell>
          <cell r="FY19">
            <v>375</v>
          </cell>
        </row>
        <row r="22">
          <cell r="FY22">
            <v>10944</v>
          </cell>
        </row>
        <row r="23">
          <cell r="FY23">
            <v>10619</v>
          </cell>
        </row>
        <row r="27">
          <cell r="FY27">
            <v>335</v>
          </cell>
        </row>
        <row r="28">
          <cell r="FY28">
            <v>403</v>
          </cell>
        </row>
        <row r="41"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E41">
            <v>24202</v>
          </cell>
          <cell r="FF41">
            <v>24432</v>
          </cell>
          <cell r="FG41">
            <v>24118</v>
          </cell>
          <cell r="FH41">
            <v>19091</v>
          </cell>
          <cell r="FI41">
            <v>19496</v>
          </cell>
          <cell r="FJ41">
            <v>20669</v>
          </cell>
          <cell r="FK41">
            <v>20138</v>
          </cell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FS41">
            <v>25672</v>
          </cell>
          <cell r="FT41">
            <v>24955</v>
          </cell>
          <cell r="FU41">
            <v>26182</v>
          </cell>
          <cell r="FV41">
            <v>23208</v>
          </cell>
          <cell r="FW41">
            <v>27236</v>
          </cell>
          <cell r="FX41">
            <v>25185</v>
          </cell>
          <cell r="FY41">
            <v>21563</v>
          </cell>
        </row>
      </sheetData>
      <sheetData sheetId="46">
        <row r="4">
          <cell r="FY4">
            <v>215</v>
          </cell>
        </row>
        <row r="5">
          <cell r="FY5">
            <v>215</v>
          </cell>
        </row>
        <row r="19"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E19">
            <v>362</v>
          </cell>
          <cell r="FF19">
            <v>304</v>
          </cell>
          <cell r="FG19">
            <v>418</v>
          </cell>
          <cell r="FH19">
            <v>362</v>
          </cell>
          <cell r="FI19">
            <v>366</v>
          </cell>
          <cell r="FJ19">
            <v>388</v>
          </cell>
          <cell r="FK19">
            <v>458</v>
          </cell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FS19">
            <v>444</v>
          </cell>
          <cell r="FT19">
            <v>454</v>
          </cell>
          <cell r="FU19">
            <v>498</v>
          </cell>
          <cell r="FV19">
            <v>410</v>
          </cell>
          <cell r="FW19">
            <v>452</v>
          </cell>
          <cell r="FX19">
            <v>418</v>
          </cell>
          <cell r="FY19">
            <v>430</v>
          </cell>
        </row>
        <row r="22">
          <cell r="FY22">
            <v>13011</v>
          </cell>
        </row>
        <row r="23">
          <cell r="FY23">
            <v>12884</v>
          </cell>
        </row>
        <row r="27">
          <cell r="FY27">
            <v>421</v>
          </cell>
        </row>
        <row r="28">
          <cell r="FY28">
            <v>386</v>
          </cell>
        </row>
        <row r="41"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E41">
            <v>21738</v>
          </cell>
          <cell r="FF41">
            <v>18670</v>
          </cell>
          <cell r="FG41">
            <v>25299</v>
          </cell>
          <cell r="FH41">
            <v>18057</v>
          </cell>
          <cell r="FI41">
            <v>19962</v>
          </cell>
          <cell r="FJ41">
            <v>21543</v>
          </cell>
          <cell r="FK41">
            <v>29205</v>
          </cell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FS41">
            <v>28449</v>
          </cell>
          <cell r="FT41">
            <v>29337</v>
          </cell>
          <cell r="FU41">
            <v>31546</v>
          </cell>
          <cell r="FV41">
            <v>25283</v>
          </cell>
          <cell r="FW41">
            <v>28092</v>
          </cell>
          <cell r="FX41">
            <v>25217</v>
          </cell>
          <cell r="FY41">
            <v>25895</v>
          </cell>
        </row>
      </sheetData>
      <sheetData sheetId="47">
        <row r="15">
          <cell r="FN15">
            <v>81</v>
          </cell>
          <cell r="FO15">
            <v>74</v>
          </cell>
          <cell r="FP15">
            <v>86</v>
          </cell>
          <cell r="FQ15">
            <v>81</v>
          </cell>
          <cell r="FR15">
            <v>91</v>
          </cell>
          <cell r="FS15">
            <v>90</v>
          </cell>
          <cell r="FT15">
            <v>91</v>
          </cell>
          <cell r="FU15">
            <v>91</v>
          </cell>
          <cell r="FV15">
            <v>89</v>
          </cell>
          <cell r="FW15">
            <v>93</v>
          </cell>
          <cell r="FX15">
            <v>86</v>
          </cell>
          <cell r="FY15">
            <v>87</v>
          </cell>
        </row>
        <row r="16">
          <cell r="FN16">
            <v>81</v>
          </cell>
          <cell r="FO16">
            <v>74</v>
          </cell>
          <cell r="FP16">
            <v>86</v>
          </cell>
          <cell r="FQ16">
            <v>81</v>
          </cell>
          <cell r="FR16">
            <v>91</v>
          </cell>
          <cell r="FS16">
            <v>90</v>
          </cell>
          <cell r="FT16">
            <v>91</v>
          </cell>
          <cell r="FU16">
            <v>91</v>
          </cell>
          <cell r="FV16">
            <v>89</v>
          </cell>
          <cell r="FW16">
            <v>93</v>
          </cell>
          <cell r="FX16">
            <v>86</v>
          </cell>
          <cell r="FY16">
            <v>87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102</v>
          </cell>
          <cell r="FF19">
            <v>184</v>
          </cell>
          <cell r="FG19">
            <v>178</v>
          </cell>
          <cell r="FH19">
            <v>180</v>
          </cell>
          <cell r="FI19">
            <v>184</v>
          </cell>
          <cell r="FJ19">
            <v>156</v>
          </cell>
          <cell r="FK19">
            <v>162</v>
          </cell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FS19">
            <v>180</v>
          </cell>
          <cell r="FT19">
            <v>182</v>
          </cell>
          <cell r="FU19">
            <v>182</v>
          </cell>
          <cell r="FV19">
            <v>178</v>
          </cell>
          <cell r="FW19">
            <v>186</v>
          </cell>
          <cell r="FX19">
            <v>172</v>
          </cell>
          <cell r="FY19">
            <v>174</v>
          </cell>
        </row>
        <row r="32">
          <cell r="FN32">
            <v>3937</v>
          </cell>
          <cell r="FO32">
            <v>3744</v>
          </cell>
          <cell r="FP32">
            <v>4418</v>
          </cell>
          <cell r="FQ32">
            <v>4630</v>
          </cell>
          <cell r="FR32">
            <v>5017</v>
          </cell>
          <cell r="FS32">
            <v>5746</v>
          </cell>
          <cell r="FT32">
            <v>6179</v>
          </cell>
          <cell r="FU32">
            <v>5892</v>
          </cell>
          <cell r="FV32">
            <v>5347</v>
          </cell>
          <cell r="FW32">
            <v>6083</v>
          </cell>
          <cell r="FX32">
            <v>4613</v>
          </cell>
          <cell r="FY32">
            <v>4308</v>
          </cell>
        </row>
        <row r="33">
          <cell r="FN33">
            <v>3798</v>
          </cell>
          <cell r="FO33">
            <v>3598</v>
          </cell>
          <cell r="FP33">
            <v>4675</v>
          </cell>
          <cell r="FQ33">
            <v>3717</v>
          </cell>
          <cell r="FR33">
            <v>5173</v>
          </cell>
          <cell r="FS33">
            <v>6122</v>
          </cell>
          <cell r="FT33">
            <v>5525</v>
          </cell>
          <cell r="FU33">
            <v>6057</v>
          </cell>
          <cell r="FV33">
            <v>5659</v>
          </cell>
          <cell r="FW33">
            <v>5271</v>
          </cell>
          <cell r="FX33">
            <v>4316</v>
          </cell>
          <cell r="FY33">
            <v>4316</v>
          </cell>
        </row>
        <row r="37">
          <cell r="FN37">
            <v>50</v>
          </cell>
          <cell r="FO37">
            <v>31</v>
          </cell>
          <cell r="FP37">
            <v>57</v>
          </cell>
          <cell r="FQ37">
            <v>60</v>
          </cell>
          <cell r="FR37">
            <v>63</v>
          </cell>
          <cell r="FS37">
            <v>46</v>
          </cell>
          <cell r="FT37">
            <v>54</v>
          </cell>
          <cell r="FU37">
            <v>93</v>
          </cell>
          <cell r="FV37">
            <v>52</v>
          </cell>
          <cell r="FW37">
            <v>71</v>
          </cell>
          <cell r="FX37">
            <v>53</v>
          </cell>
          <cell r="FY37">
            <v>62</v>
          </cell>
        </row>
        <row r="38">
          <cell r="FN38">
            <v>60</v>
          </cell>
          <cell r="FO38">
            <v>29</v>
          </cell>
          <cell r="FP38">
            <v>52</v>
          </cell>
          <cell r="FQ38">
            <v>68</v>
          </cell>
          <cell r="FR38">
            <v>75</v>
          </cell>
          <cell r="FS38">
            <v>40</v>
          </cell>
          <cell r="FT38">
            <v>59</v>
          </cell>
          <cell r="FU38">
            <v>89</v>
          </cell>
          <cell r="FV38">
            <v>63</v>
          </cell>
          <cell r="FW38">
            <v>82</v>
          </cell>
          <cell r="FX38">
            <v>54</v>
          </cell>
          <cell r="FY38">
            <v>50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6608</v>
          </cell>
          <cell r="FF41">
            <v>11391</v>
          </cell>
          <cell r="FG41">
            <v>11114</v>
          </cell>
          <cell r="FH41">
            <v>10099</v>
          </cell>
          <cell r="FI41">
            <v>10235</v>
          </cell>
          <cell r="FJ41">
            <v>8299</v>
          </cell>
          <cell r="FK41">
            <v>8251</v>
          </cell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FS41">
            <v>11868</v>
          </cell>
          <cell r="FT41">
            <v>11704</v>
          </cell>
          <cell r="FU41">
            <v>11949</v>
          </cell>
          <cell r="FV41">
            <v>11006</v>
          </cell>
          <cell r="FW41">
            <v>11354</v>
          </cell>
          <cell r="FX41">
            <v>8929</v>
          </cell>
          <cell r="FY41">
            <v>8624</v>
          </cell>
        </row>
        <row r="52">
          <cell r="FY52">
            <v>507</v>
          </cell>
        </row>
      </sheetData>
      <sheetData sheetId="48">
        <row r="4">
          <cell r="FY4">
            <v>3313</v>
          </cell>
        </row>
        <row r="5">
          <cell r="FY5">
            <v>3307</v>
          </cell>
        </row>
        <row r="8">
          <cell r="FY8">
            <v>1</v>
          </cell>
        </row>
        <row r="9">
          <cell r="FY9">
            <v>11</v>
          </cell>
        </row>
        <row r="15">
          <cell r="FN15">
            <v>215</v>
          </cell>
          <cell r="FO15">
            <v>200</v>
          </cell>
          <cell r="FP15">
            <v>177</v>
          </cell>
          <cell r="FQ15">
            <v>190</v>
          </cell>
          <cell r="FR15">
            <v>199</v>
          </cell>
          <cell r="FS15">
            <v>126</v>
          </cell>
          <cell r="FT15">
            <v>141</v>
          </cell>
          <cell r="FU15">
            <v>153</v>
          </cell>
          <cell r="FV15">
            <v>194</v>
          </cell>
          <cell r="FW15">
            <v>198</v>
          </cell>
          <cell r="FX15">
            <v>144</v>
          </cell>
          <cell r="FY15">
            <v>234</v>
          </cell>
        </row>
        <row r="16">
          <cell r="FN16">
            <v>215</v>
          </cell>
          <cell r="FO16">
            <v>200</v>
          </cell>
          <cell r="FP16">
            <v>177</v>
          </cell>
          <cell r="FQ16">
            <v>193</v>
          </cell>
          <cell r="FR16">
            <v>203</v>
          </cell>
          <cell r="FS16">
            <v>126</v>
          </cell>
          <cell r="FT16">
            <v>142</v>
          </cell>
          <cell r="FU16">
            <v>154</v>
          </cell>
          <cell r="FV16">
            <v>194</v>
          </cell>
          <cell r="FW16">
            <v>197</v>
          </cell>
          <cell r="FX16">
            <v>143</v>
          </cell>
          <cell r="FY16">
            <v>238</v>
          </cell>
        </row>
        <row r="19"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E19">
            <v>6021</v>
          </cell>
          <cell r="FF19">
            <v>6281</v>
          </cell>
          <cell r="FG19">
            <v>6543</v>
          </cell>
          <cell r="FH19">
            <v>5949</v>
          </cell>
          <cell r="FI19">
            <v>7052</v>
          </cell>
          <cell r="FJ19">
            <v>6474</v>
          </cell>
          <cell r="FK19">
            <v>6632</v>
          </cell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FS19">
            <v>8428</v>
          </cell>
          <cell r="FT19">
            <v>8805</v>
          </cell>
          <cell r="FU19">
            <v>8856</v>
          </cell>
          <cell r="FV19">
            <v>7859</v>
          </cell>
          <cell r="FW19">
            <v>8373</v>
          </cell>
          <cell r="FX19">
            <v>7696</v>
          </cell>
          <cell r="FY19">
            <v>7104</v>
          </cell>
        </row>
        <row r="22">
          <cell r="FY22">
            <v>155163</v>
          </cell>
        </row>
        <row r="23">
          <cell r="FY23">
            <v>152266</v>
          </cell>
        </row>
        <row r="27">
          <cell r="FY27">
            <v>6390</v>
          </cell>
        </row>
        <row r="28">
          <cell r="FY28">
            <v>6362</v>
          </cell>
        </row>
        <row r="32">
          <cell r="FN32">
            <v>12640</v>
          </cell>
          <cell r="FO32">
            <v>12342</v>
          </cell>
          <cell r="FP32">
            <v>11042</v>
          </cell>
          <cell r="FQ32">
            <v>11833</v>
          </cell>
          <cell r="FR32">
            <v>11837</v>
          </cell>
          <cell r="FS32">
            <v>7659</v>
          </cell>
          <cell r="FT32">
            <v>9166</v>
          </cell>
          <cell r="FU32">
            <v>10441</v>
          </cell>
          <cell r="FV32">
            <v>12382</v>
          </cell>
          <cell r="FW32">
            <v>12947</v>
          </cell>
          <cell r="FX32">
            <v>9134</v>
          </cell>
          <cell r="FY32">
            <v>14055</v>
          </cell>
        </row>
        <row r="33">
          <cell r="FN33">
            <v>12556</v>
          </cell>
          <cell r="FO33">
            <v>12494</v>
          </cell>
          <cell r="FP33">
            <v>11504</v>
          </cell>
          <cell r="FQ33">
            <v>12526</v>
          </cell>
          <cell r="FR33">
            <v>13215</v>
          </cell>
          <cell r="FS33">
            <v>8116</v>
          </cell>
          <cell r="FT33">
            <v>8964</v>
          </cell>
          <cell r="FU33">
            <v>10216</v>
          </cell>
          <cell r="FV33">
            <v>12668</v>
          </cell>
          <cell r="FW33">
            <v>12513</v>
          </cell>
          <cell r="FX33">
            <v>8506</v>
          </cell>
          <cell r="FY33">
            <v>14491</v>
          </cell>
        </row>
        <row r="37">
          <cell r="FN37">
            <v>138</v>
          </cell>
          <cell r="FO37">
            <v>104</v>
          </cell>
          <cell r="FP37">
            <v>115</v>
          </cell>
          <cell r="FQ37">
            <v>115</v>
          </cell>
          <cell r="FR37">
            <v>114</v>
          </cell>
          <cell r="FS37">
            <v>59</v>
          </cell>
          <cell r="FT37">
            <v>101</v>
          </cell>
          <cell r="FU37">
            <v>81</v>
          </cell>
          <cell r="FV37">
            <v>169</v>
          </cell>
          <cell r="FW37">
            <v>167</v>
          </cell>
          <cell r="FX37">
            <v>91</v>
          </cell>
          <cell r="FY37">
            <v>182</v>
          </cell>
        </row>
        <row r="38">
          <cell r="FN38">
            <v>120</v>
          </cell>
          <cell r="FO38">
            <v>108</v>
          </cell>
          <cell r="FP38">
            <v>108</v>
          </cell>
          <cell r="FQ38">
            <v>125</v>
          </cell>
          <cell r="FR38">
            <v>124</v>
          </cell>
          <cell r="FS38">
            <v>60</v>
          </cell>
          <cell r="FT38">
            <v>98</v>
          </cell>
          <cell r="FU38">
            <v>100</v>
          </cell>
          <cell r="FV38">
            <v>159</v>
          </cell>
          <cell r="FW38">
            <v>143</v>
          </cell>
          <cell r="FX38">
            <v>95</v>
          </cell>
          <cell r="FY38">
            <v>186</v>
          </cell>
        </row>
        <row r="41"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E41">
            <v>291037</v>
          </cell>
          <cell r="FF41">
            <v>296951</v>
          </cell>
          <cell r="FG41">
            <v>309817</v>
          </cell>
          <cell r="FH41">
            <v>278404</v>
          </cell>
          <cell r="FI41">
            <v>341545</v>
          </cell>
          <cell r="FJ41">
            <v>308786</v>
          </cell>
          <cell r="FK41">
            <v>304589</v>
          </cell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FS41">
            <v>405946</v>
          </cell>
          <cell r="FT41">
            <v>430520</v>
          </cell>
          <cell r="FU41">
            <v>435022</v>
          </cell>
          <cell r="FV41">
            <v>364546</v>
          </cell>
          <cell r="FW41">
            <v>399248</v>
          </cell>
          <cell r="FX41">
            <v>380201</v>
          </cell>
          <cell r="FY41">
            <v>335975</v>
          </cell>
        </row>
        <row r="70">
          <cell r="FY70">
            <v>47659</v>
          </cell>
        </row>
        <row r="71">
          <cell r="FY71">
            <v>104607</v>
          </cell>
        </row>
        <row r="73">
          <cell r="FY73">
            <v>4536</v>
          </cell>
        </row>
        <row r="74">
          <cell r="FY74">
            <v>9955</v>
          </cell>
        </row>
      </sheetData>
      <sheetData sheetId="49">
        <row r="4">
          <cell r="FY4">
            <v>91</v>
          </cell>
        </row>
        <row r="5">
          <cell r="FY5">
            <v>91</v>
          </cell>
        </row>
        <row r="19"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E19">
            <v>226</v>
          </cell>
          <cell r="FF19">
            <v>232</v>
          </cell>
          <cell r="FG19">
            <v>192</v>
          </cell>
          <cell r="FH19">
            <v>180</v>
          </cell>
          <cell r="FI19">
            <v>380</v>
          </cell>
          <cell r="FJ19">
            <v>232</v>
          </cell>
          <cell r="FK19">
            <v>218</v>
          </cell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FS19">
            <v>96</v>
          </cell>
          <cell r="FT19">
            <v>76</v>
          </cell>
          <cell r="FU19">
            <v>106</v>
          </cell>
          <cell r="FV19">
            <v>210</v>
          </cell>
          <cell r="FW19">
            <v>174</v>
          </cell>
          <cell r="FX19">
            <v>174</v>
          </cell>
          <cell r="FY19">
            <v>182</v>
          </cell>
        </row>
        <row r="22">
          <cell r="FY22">
            <v>5657</v>
          </cell>
        </row>
        <row r="23">
          <cell r="FY23">
            <v>5937</v>
          </cell>
        </row>
        <row r="27">
          <cell r="FY27">
            <v>236</v>
          </cell>
        </row>
        <row r="28">
          <cell r="FY28">
            <v>220</v>
          </cell>
        </row>
        <row r="41"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E41">
            <v>14213</v>
          </cell>
          <cell r="FF41">
            <v>15806</v>
          </cell>
          <cell r="FG41">
            <v>13353</v>
          </cell>
          <cell r="FH41">
            <v>11573</v>
          </cell>
          <cell r="FI41">
            <v>24437</v>
          </cell>
          <cell r="FJ41">
            <v>15393</v>
          </cell>
          <cell r="FK41">
            <v>13530</v>
          </cell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FS41">
            <v>6171</v>
          </cell>
          <cell r="FT41">
            <v>5137</v>
          </cell>
          <cell r="FU41">
            <v>6907</v>
          </cell>
          <cell r="FV41">
            <v>13530</v>
          </cell>
          <cell r="FW41">
            <v>10955</v>
          </cell>
          <cell r="FX41">
            <v>10997</v>
          </cell>
          <cell r="FY41">
            <v>11594</v>
          </cell>
        </row>
      </sheetData>
      <sheetData sheetId="50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</sheetData>
      <sheetData sheetId="51">
        <row r="4">
          <cell r="FY4">
            <v>19</v>
          </cell>
        </row>
        <row r="5">
          <cell r="FY5">
            <v>19</v>
          </cell>
        </row>
        <row r="19"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E19">
            <v>10</v>
          </cell>
          <cell r="FF19">
            <v>18</v>
          </cell>
          <cell r="FG19">
            <v>6</v>
          </cell>
          <cell r="FH19">
            <v>0</v>
          </cell>
          <cell r="FI19">
            <v>90</v>
          </cell>
          <cell r="FJ19">
            <v>14</v>
          </cell>
          <cell r="FK19">
            <v>2</v>
          </cell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FS19">
            <v>48</v>
          </cell>
          <cell r="FT19">
            <v>64</v>
          </cell>
          <cell r="FU19">
            <v>62</v>
          </cell>
          <cell r="FV19">
            <v>56</v>
          </cell>
          <cell r="FW19">
            <v>68</v>
          </cell>
          <cell r="FX19">
            <v>64</v>
          </cell>
          <cell r="FY19">
            <v>38</v>
          </cell>
        </row>
        <row r="22">
          <cell r="FY22">
            <v>1127</v>
          </cell>
        </row>
        <row r="23">
          <cell r="FY23">
            <v>969</v>
          </cell>
        </row>
        <row r="27">
          <cell r="FY27">
            <v>76</v>
          </cell>
        </row>
        <row r="28">
          <cell r="FY28">
            <v>72</v>
          </cell>
        </row>
        <row r="41"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E41">
            <v>482</v>
          </cell>
          <cell r="FF41">
            <v>922</v>
          </cell>
          <cell r="FG41">
            <v>375</v>
          </cell>
          <cell r="FH41">
            <v>0</v>
          </cell>
          <cell r="FI41">
            <v>5887</v>
          </cell>
          <cell r="FJ41">
            <v>853</v>
          </cell>
          <cell r="FK41">
            <v>44</v>
          </cell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FS41">
            <v>3054</v>
          </cell>
          <cell r="FT41">
            <v>3952</v>
          </cell>
          <cell r="FU41">
            <v>3705</v>
          </cell>
          <cell r="FV41">
            <v>3054</v>
          </cell>
          <cell r="FW41">
            <v>3755</v>
          </cell>
          <cell r="FX41">
            <v>3430</v>
          </cell>
          <cell r="FY41">
            <v>2096</v>
          </cell>
        </row>
        <row r="47">
          <cell r="FY47">
            <v>458</v>
          </cell>
        </row>
      </sheetData>
      <sheetData sheetId="52">
        <row r="4">
          <cell r="FY4">
            <v>30</v>
          </cell>
        </row>
        <row r="5">
          <cell r="FY5">
            <v>30</v>
          </cell>
        </row>
        <row r="19"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E19">
            <v>60</v>
          </cell>
          <cell r="FF19">
            <v>114</v>
          </cell>
          <cell r="FG19">
            <v>186</v>
          </cell>
          <cell r="FH19">
            <v>180</v>
          </cell>
          <cell r="FI19">
            <v>184</v>
          </cell>
          <cell r="FJ19">
            <v>182</v>
          </cell>
          <cell r="FK19">
            <v>146</v>
          </cell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FS19">
            <v>60</v>
          </cell>
          <cell r="FT19">
            <v>62</v>
          </cell>
          <cell r="FU19">
            <v>50</v>
          </cell>
          <cell r="FV19">
            <v>0</v>
          </cell>
          <cell r="FW19">
            <v>0</v>
          </cell>
          <cell r="FX19">
            <v>52</v>
          </cell>
          <cell r="FY19">
            <v>60</v>
          </cell>
        </row>
        <row r="22">
          <cell r="FY22">
            <v>1744</v>
          </cell>
        </row>
        <row r="23">
          <cell r="FY23">
            <v>1475</v>
          </cell>
        </row>
        <row r="27">
          <cell r="FY27">
            <v>55</v>
          </cell>
        </row>
        <row r="28">
          <cell r="FY28">
            <v>54</v>
          </cell>
        </row>
        <row r="41"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E41">
            <v>4062</v>
          </cell>
          <cell r="FF41">
            <v>6863</v>
          </cell>
          <cell r="FG41">
            <v>10757</v>
          </cell>
          <cell r="FH41">
            <v>10732</v>
          </cell>
          <cell r="FI41">
            <v>11704</v>
          </cell>
          <cell r="FJ41">
            <v>11389</v>
          </cell>
          <cell r="FK41">
            <v>9088</v>
          </cell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FS41">
            <v>4211</v>
          </cell>
          <cell r="FT41">
            <v>4182</v>
          </cell>
          <cell r="FU41">
            <v>3543</v>
          </cell>
          <cell r="FV41">
            <v>0</v>
          </cell>
          <cell r="FW41">
            <v>0</v>
          </cell>
          <cell r="FX41">
            <v>3042</v>
          </cell>
          <cell r="FY41">
            <v>3219</v>
          </cell>
        </row>
        <row r="52">
          <cell r="FY52">
            <v>10</v>
          </cell>
        </row>
        <row r="53">
          <cell r="FY53">
            <v>634</v>
          </cell>
        </row>
      </sheetData>
      <sheetData sheetId="53">
        <row r="4">
          <cell r="FY4">
            <v>46</v>
          </cell>
        </row>
        <row r="5">
          <cell r="FY5">
            <v>46</v>
          </cell>
        </row>
        <row r="19"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132</v>
          </cell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0</v>
          </cell>
          <cell r="FW19">
            <v>0</v>
          </cell>
          <cell r="FX19">
            <v>0</v>
          </cell>
          <cell r="FY19">
            <v>92</v>
          </cell>
        </row>
        <row r="22">
          <cell r="FY22">
            <v>2879</v>
          </cell>
        </row>
        <row r="23">
          <cell r="FY23">
            <v>2814</v>
          </cell>
        </row>
        <row r="27">
          <cell r="FY27">
            <v>136</v>
          </cell>
        </row>
        <row r="28">
          <cell r="FY28">
            <v>152</v>
          </cell>
        </row>
        <row r="41"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8010</v>
          </cell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FS41">
            <v>0</v>
          </cell>
          <cell r="FT41">
            <v>0</v>
          </cell>
          <cell r="FU41">
            <v>84</v>
          </cell>
          <cell r="FV41">
            <v>0</v>
          </cell>
          <cell r="FW41">
            <v>0</v>
          </cell>
          <cell r="FX41">
            <v>0</v>
          </cell>
          <cell r="FY41">
            <v>5693</v>
          </cell>
        </row>
        <row r="70">
          <cell r="FY70">
            <v>1911</v>
          </cell>
        </row>
        <row r="71">
          <cell r="FY71">
            <v>903</v>
          </cell>
        </row>
      </sheetData>
      <sheetData sheetId="54">
        <row r="19"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</row>
        <row r="41"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</row>
      </sheetData>
      <sheetData sheetId="55"/>
      <sheetData sheetId="56"/>
      <sheetData sheetId="57"/>
      <sheetData sheetId="58"/>
      <sheetData sheetId="59"/>
      <sheetData sheetId="60"/>
      <sheetData sheetId="61">
        <row r="4">
          <cell r="FY4">
            <v>2</v>
          </cell>
        </row>
        <row r="22">
          <cell r="FY22">
            <v>150</v>
          </cell>
        </row>
        <row r="32">
          <cell r="FQ32">
            <v>37</v>
          </cell>
        </row>
      </sheetData>
      <sheetData sheetId="62">
        <row r="4">
          <cell r="FY4">
            <v>30</v>
          </cell>
        </row>
        <row r="5">
          <cell r="FY5">
            <v>30</v>
          </cell>
        </row>
        <row r="12"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Y12">
            <v>60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56</v>
          </cell>
          <cell r="FT19">
            <v>60</v>
          </cell>
          <cell r="FU19">
            <v>66</v>
          </cell>
          <cell r="FV19">
            <v>64</v>
          </cell>
          <cell r="FW19">
            <v>64</v>
          </cell>
          <cell r="FX19">
            <v>60</v>
          </cell>
          <cell r="FY19">
            <v>60</v>
          </cell>
        </row>
        <row r="47">
          <cell r="FY47">
            <v>1877340</v>
          </cell>
        </row>
        <row r="52">
          <cell r="FY52">
            <v>661754</v>
          </cell>
        </row>
        <row r="64"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1828609</v>
          </cell>
          <cell r="FT64">
            <v>2048234</v>
          </cell>
          <cell r="FU64">
            <v>2171674</v>
          </cell>
          <cell r="FV64">
            <v>2219557</v>
          </cell>
          <cell r="FW64">
            <v>2170491</v>
          </cell>
          <cell r="FX64">
            <v>2024979</v>
          </cell>
          <cell r="FY64">
            <v>2539094</v>
          </cell>
        </row>
      </sheetData>
      <sheetData sheetId="63"/>
      <sheetData sheetId="64">
        <row r="4">
          <cell r="FY4">
            <v>24</v>
          </cell>
        </row>
        <row r="5">
          <cell r="FY5">
            <v>24</v>
          </cell>
        </row>
        <row r="12">
          <cell r="EZ12">
            <v>44</v>
          </cell>
          <cell r="FA12">
            <v>40</v>
          </cell>
          <cell r="FB12">
            <v>44</v>
          </cell>
          <cell r="FC12">
            <v>40</v>
          </cell>
          <cell r="FD12">
            <v>44</v>
          </cell>
          <cell r="FE12">
            <v>46</v>
          </cell>
          <cell r="FF12">
            <v>44</v>
          </cell>
          <cell r="FG12">
            <v>44</v>
          </cell>
          <cell r="FH12">
            <v>42</v>
          </cell>
          <cell r="FI12">
            <v>44</v>
          </cell>
          <cell r="FJ12">
            <v>50</v>
          </cell>
          <cell r="FK12">
            <v>48</v>
          </cell>
          <cell r="FY12">
            <v>48</v>
          </cell>
        </row>
        <row r="19">
          <cell r="FN19">
            <v>42</v>
          </cell>
          <cell r="FO19">
            <v>40</v>
          </cell>
          <cell r="FP19">
            <v>32</v>
          </cell>
          <cell r="FQ19">
            <v>40</v>
          </cell>
          <cell r="FR19">
            <v>42</v>
          </cell>
          <cell r="FS19">
            <v>40</v>
          </cell>
          <cell r="FT19">
            <v>44</v>
          </cell>
          <cell r="FU19">
            <v>46</v>
          </cell>
          <cell r="FV19">
            <v>40</v>
          </cell>
          <cell r="FW19">
            <v>46</v>
          </cell>
          <cell r="FX19">
            <v>48</v>
          </cell>
          <cell r="FY19">
            <v>48</v>
          </cell>
        </row>
        <row r="47">
          <cell r="FY47">
            <v>856771</v>
          </cell>
        </row>
        <row r="52">
          <cell r="FY52">
            <v>507032</v>
          </cell>
        </row>
        <row r="64"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E64">
            <v>1385778</v>
          </cell>
          <cell r="FF64">
            <v>1329024</v>
          </cell>
          <cell r="FG64">
            <v>1392256</v>
          </cell>
          <cell r="FH64">
            <v>1236485</v>
          </cell>
          <cell r="FI64">
            <v>1254153</v>
          </cell>
          <cell r="FJ64">
            <v>1315598</v>
          </cell>
          <cell r="FK64">
            <v>1293211</v>
          </cell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FS64">
            <v>1295568</v>
          </cell>
          <cell r="FT64">
            <v>1371398</v>
          </cell>
          <cell r="FU64">
            <v>1383084</v>
          </cell>
          <cell r="FV64">
            <v>1247787</v>
          </cell>
          <cell r="FW64">
            <v>1480638</v>
          </cell>
          <cell r="FX64">
            <v>1452311</v>
          </cell>
          <cell r="FY64">
            <v>1363803</v>
          </cell>
        </row>
      </sheetData>
      <sheetData sheetId="65">
        <row r="4">
          <cell r="FY4">
            <v>11</v>
          </cell>
        </row>
        <row r="5">
          <cell r="FY5">
            <v>11</v>
          </cell>
        </row>
        <row r="12">
          <cell r="EZ12">
            <v>62</v>
          </cell>
          <cell r="FA12">
            <v>64</v>
          </cell>
          <cell r="FB12">
            <v>72</v>
          </cell>
          <cell r="FC12">
            <v>60</v>
          </cell>
          <cell r="FD12">
            <v>66</v>
          </cell>
          <cell r="FE12">
            <v>46</v>
          </cell>
          <cell r="FF12">
            <v>32</v>
          </cell>
          <cell r="FG12">
            <v>38</v>
          </cell>
          <cell r="FH12">
            <v>34</v>
          </cell>
          <cell r="FI12">
            <v>36</v>
          </cell>
          <cell r="FJ12">
            <v>32</v>
          </cell>
          <cell r="FK12">
            <v>36</v>
          </cell>
          <cell r="FN12">
            <v>38</v>
          </cell>
          <cell r="FO12">
            <v>52</v>
          </cell>
          <cell r="FP12">
            <v>48</v>
          </cell>
          <cell r="FQ12">
            <v>40</v>
          </cell>
          <cell r="FR12">
            <v>44</v>
          </cell>
          <cell r="FS12">
            <v>40</v>
          </cell>
          <cell r="FT12">
            <v>40</v>
          </cell>
          <cell r="FU12">
            <v>48</v>
          </cell>
          <cell r="FV12">
            <v>36</v>
          </cell>
          <cell r="FW12">
            <v>46</v>
          </cell>
          <cell r="FX12">
            <v>32</v>
          </cell>
          <cell r="FY12">
            <v>22</v>
          </cell>
        </row>
        <row r="47">
          <cell r="FY47">
            <v>9310</v>
          </cell>
        </row>
        <row r="64"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E64">
            <v>47505</v>
          </cell>
          <cell r="FF64">
            <v>17020</v>
          </cell>
          <cell r="FG64">
            <v>21020</v>
          </cell>
          <cell r="FH64">
            <v>22194</v>
          </cell>
          <cell r="FI64">
            <v>17704</v>
          </cell>
          <cell r="FJ64">
            <v>16454</v>
          </cell>
          <cell r="FK64">
            <v>22516</v>
          </cell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FS64">
            <v>22207</v>
          </cell>
          <cell r="FT64">
            <v>23791</v>
          </cell>
          <cell r="FU64">
            <v>25461</v>
          </cell>
          <cell r="FV64">
            <v>21292</v>
          </cell>
          <cell r="FW64">
            <v>26214</v>
          </cell>
          <cell r="FX64">
            <v>16033</v>
          </cell>
          <cell r="FY64">
            <v>9310</v>
          </cell>
        </row>
      </sheetData>
      <sheetData sheetId="66"/>
      <sheetData sheetId="67">
        <row r="12"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</row>
        <row r="64"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E64">
            <v>99317</v>
          </cell>
          <cell r="FF64">
            <v>84022</v>
          </cell>
          <cell r="FG64">
            <v>99751</v>
          </cell>
          <cell r="FH64">
            <v>1488</v>
          </cell>
          <cell r="FI64">
            <v>0</v>
          </cell>
          <cell r="FJ64">
            <v>0</v>
          </cell>
          <cell r="FK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</row>
      </sheetData>
      <sheetData sheetId="68">
        <row r="4">
          <cell r="FY4">
            <v>170</v>
          </cell>
        </row>
        <row r="5">
          <cell r="FY5">
            <v>170</v>
          </cell>
        </row>
        <row r="12">
          <cell r="EZ12">
            <v>176</v>
          </cell>
          <cell r="FA12">
            <v>168</v>
          </cell>
          <cell r="FB12">
            <v>198</v>
          </cell>
          <cell r="FC12">
            <v>176</v>
          </cell>
          <cell r="FD12">
            <v>173</v>
          </cell>
          <cell r="FE12">
            <v>176</v>
          </cell>
          <cell r="FF12">
            <v>120</v>
          </cell>
          <cell r="FG12">
            <v>280</v>
          </cell>
          <cell r="FH12">
            <v>250</v>
          </cell>
          <cell r="FI12">
            <v>262</v>
          </cell>
          <cell r="FJ12">
            <v>264</v>
          </cell>
          <cell r="FK12">
            <v>302</v>
          </cell>
          <cell r="FY12">
            <v>340</v>
          </cell>
        </row>
        <row r="19">
          <cell r="FN19">
            <v>258</v>
          </cell>
          <cell r="FO19">
            <v>242</v>
          </cell>
          <cell r="FP19">
            <v>270</v>
          </cell>
          <cell r="FQ19">
            <v>202</v>
          </cell>
          <cell r="FR19">
            <v>232</v>
          </cell>
          <cell r="FS19">
            <v>214</v>
          </cell>
          <cell r="FT19">
            <v>212</v>
          </cell>
          <cell r="FU19">
            <v>272</v>
          </cell>
          <cell r="FV19">
            <v>252</v>
          </cell>
          <cell r="FW19">
            <v>300</v>
          </cell>
          <cell r="FX19">
            <v>284</v>
          </cell>
          <cell r="FY19">
            <v>340</v>
          </cell>
        </row>
        <row r="47">
          <cell r="FY47">
            <v>8640852</v>
          </cell>
        </row>
        <row r="52">
          <cell r="FY52">
            <v>8131590</v>
          </cell>
        </row>
        <row r="64"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E64">
            <v>17238355</v>
          </cell>
          <cell r="FF64">
            <v>15284807</v>
          </cell>
          <cell r="FG64">
            <v>18032563</v>
          </cell>
          <cell r="FH64">
            <v>17069539</v>
          </cell>
          <cell r="FI64">
            <v>17545340</v>
          </cell>
          <cell r="FJ64">
            <v>17525940</v>
          </cell>
          <cell r="FK64">
            <v>18016210</v>
          </cell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FS64">
            <v>16814880</v>
          </cell>
          <cell r="FT64">
            <v>15931260</v>
          </cell>
          <cell r="FU64">
            <v>17691991</v>
          </cell>
          <cell r="FV64">
            <v>16515766</v>
          </cell>
          <cell r="FW64">
            <v>18366037</v>
          </cell>
          <cell r="FX64">
            <v>17262184</v>
          </cell>
          <cell r="FY64">
            <v>16772442</v>
          </cell>
        </row>
      </sheetData>
      <sheetData sheetId="69">
        <row r="4">
          <cell r="FY4">
            <v>168</v>
          </cell>
        </row>
        <row r="5">
          <cell r="FY5">
            <v>168</v>
          </cell>
        </row>
        <row r="12">
          <cell r="EZ12">
            <v>182</v>
          </cell>
          <cell r="FA12">
            <v>166</v>
          </cell>
          <cell r="FB12">
            <v>204</v>
          </cell>
          <cell r="FC12">
            <v>180</v>
          </cell>
          <cell r="FD12">
            <v>196</v>
          </cell>
          <cell r="FE12">
            <v>198</v>
          </cell>
          <cell r="FF12">
            <v>186</v>
          </cell>
          <cell r="FG12">
            <v>212</v>
          </cell>
          <cell r="FH12">
            <v>184</v>
          </cell>
          <cell r="FI12">
            <v>194</v>
          </cell>
          <cell r="FJ12">
            <v>200</v>
          </cell>
          <cell r="FK12">
            <v>334</v>
          </cell>
          <cell r="FY12">
            <v>336</v>
          </cell>
        </row>
        <row r="15">
          <cell r="FY15">
            <v>8</v>
          </cell>
        </row>
        <row r="16">
          <cell r="FY16">
            <v>8</v>
          </cell>
        </row>
        <row r="19">
          <cell r="FN19">
            <v>232</v>
          </cell>
          <cell r="FO19">
            <v>216</v>
          </cell>
          <cell r="FP19">
            <v>238</v>
          </cell>
          <cell r="FQ19">
            <v>220</v>
          </cell>
          <cell r="FR19">
            <v>258</v>
          </cell>
          <cell r="FS19">
            <v>250</v>
          </cell>
          <cell r="FT19">
            <v>242</v>
          </cell>
          <cell r="FU19">
            <v>278</v>
          </cell>
          <cell r="FV19">
            <v>236</v>
          </cell>
          <cell r="FW19">
            <v>292</v>
          </cell>
          <cell r="FX19">
            <v>256</v>
          </cell>
          <cell r="FY19">
            <v>352</v>
          </cell>
        </row>
        <row r="47">
          <cell r="FY47">
            <v>6942094</v>
          </cell>
        </row>
        <row r="48">
          <cell r="FY48">
            <v>803</v>
          </cell>
        </row>
        <row r="52">
          <cell r="FY52">
            <v>5644821</v>
          </cell>
        </row>
        <row r="53">
          <cell r="FY53">
            <v>77598</v>
          </cell>
        </row>
        <row r="64"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E64">
            <v>12268191</v>
          </cell>
          <cell r="FF64">
            <v>10103665</v>
          </cell>
          <cell r="FG64">
            <v>13122272</v>
          </cell>
          <cell r="FH64">
            <v>5901846</v>
          </cell>
          <cell r="FI64">
            <v>11845395</v>
          </cell>
          <cell r="FJ64">
            <v>10069854</v>
          </cell>
          <cell r="FK64">
            <v>13762116</v>
          </cell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FS64">
            <v>11730840</v>
          </cell>
          <cell r="FT64">
            <v>11255479</v>
          </cell>
          <cell r="FU64">
            <v>12973523</v>
          </cell>
          <cell r="FV64">
            <v>12368540</v>
          </cell>
          <cell r="FW64">
            <v>12818408</v>
          </cell>
          <cell r="FX64">
            <v>11789696</v>
          </cell>
          <cell r="FY64">
            <v>12665316</v>
          </cell>
        </row>
      </sheetData>
      <sheetData sheetId="70"/>
      <sheetData sheetId="71"/>
      <sheetData sheetId="72"/>
      <sheetData sheetId="73">
        <row r="4">
          <cell r="FY4">
            <v>221</v>
          </cell>
        </row>
        <row r="5">
          <cell r="FY5">
            <v>221</v>
          </cell>
        </row>
        <row r="12">
          <cell r="EZ12">
            <v>540</v>
          </cell>
          <cell r="FA12">
            <v>492</v>
          </cell>
          <cell r="FB12">
            <v>566</v>
          </cell>
          <cell r="FC12">
            <v>494</v>
          </cell>
          <cell r="FD12">
            <v>576</v>
          </cell>
          <cell r="FE12">
            <v>546</v>
          </cell>
          <cell r="FF12">
            <v>528</v>
          </cell>
          <cell r="FG12">
            <v>598</v>
          </cell>
          <cell r="FH12">
            <v>538</v>
          </cell>
          <cell r="FI12">
            <v>568</v>
          </cell>
          <cell r="FJ12">
            <v>590</v>
          </cell>
          <cell r="FK12">
            <v>640</v>
          </cell>
          <cell r="FN12">
            <v>614</v>
          </cell>
          <cell r="FO12">
            <v>520</v>
          </cell>
          <cell r="FP12">
            <v>554</v>
          </cell>
          <cell r="FQ12">
            <v>520</v>
          </cell>
          <cell r="FR12">
            <v>590</v>
          </cell>
          <cell r="FS12">
            <v>540</v>
          </cell>
          <cell r="FT12">
            <v>536</v>
          </cell>
          <cell r="FU12">
            <v>590</v>
          </cell>
          <cell r="FV12">
            <v>516</v>
          </cell>
          <cell r="FW12">
            <v>568</v>
          </cell>
          <cell r="FX12">
            <v>458</v>
          </cell>
          <cell r="FY12">
            <v>442</v>
          </cell>
        </row>
      </sheetData>
      <sheetData sheetId="74">
        <row r="5">
          <cell r="FY5">
            <v>11</v>
          </cell>
        </row>
        <row r="12">
          <cell r="EZ12">
            <v>40</v>
          </cell>
          <cell r="FA12">
            <v>42</v>
          </cell>
          <cell r="FB12">
            <v>48</v>
          </cell>
          <cell r="FC12">
            <v>40</v>
          </cell>
          <cell r="FD12">
            <v>48</v>
          </cell>
          <cell r="FE12">
            <v>4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6</v>
          </cell>
          <cell r="FK12">
            <v>5</v>
          </cell>
          <cell r="FN12">
            <v>0</v>
          </cell>
          <cell r="FO12">
            <v>2</v>
          </cell>
          <cell r="FP12">
            <v>0</v>
          </cell>
          <cell r="FQ12">
            <v>0</v>
          </cell>
          <cell r="FR12">
            <v>4</v>
          </cell>
          <cell r="FS12">
            <v>0</v>
          </cell>
          <cell r="FT12">
            <v>1</v>
          </cell>
          <cell r="FU12">
            <v>0</v>
          </cell>
          <cell r="FV12">
            <v>0</v>
          </cell>
          <cell r="FW12">
            <v>0</v>
          </cell>
          <cell r="FX12">
            <v>8</v>
          </cell>
          <cell r="FY12">
            <v>11</v>
          </cell>
        </row>
        <row r="52">
          <cell r="FY52">
            <v>19270</v>
          </cell>
        </row>
        <row r="64"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E64">
            <v>5839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8840</v>
          </cell>
          <cell r="FK64">
            <v>9344</v>
          </cell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1371</v>
          </cell>
          <cell r="FU64">
            <v>0</v>
          </cell>
          <cell r="FV64">
            <v>0</v>
          </cell>
          <cell r="FW64">
            <v>0</v>
          </cell>
          <cell r="FX64">
            <v>12022</v>
          </cell>
          <cell r="FY64">
            <v>19270</v>
          </cell>
        </row>
      </sheetData>
      <sheetData sheetId="75">
        <row r="4">
          <cell r="FY4">
            <v>18</v>
          </cell>
        </row>
        <row r="5">
          <cell r="FY5">
            <v>18</v>
          </cell>
        </row>
        <row r="12">
          <cell r="EZ12">
            <v>40</v>
          </cell>
          <cell r="FA12">
            <v>34</v>
          </cell>
          <cell r="FB12">
            <v>46</v>
          </cell>
          <cell r="FC12">
            <v>42</v>
          </cell>
          <cell r="FD12">
            <v>42</v>
          </cell>
          <cell r="FE12">
            <v>44</v>
          </cell>
          <cell r="FF12">
            <v>34</v>
          </cell>
          <cell r="FG12">
            <v>46</v>
          </cell>
          <cell r="FH12">
            <v>46</v>
          </cell>
          <cell r="FI12">
            <v>44</v>
          </cell>
          <cell r="FJ12">
            <v>40</v>
          </cell>
          <cell r="FK12">
            <v>40</v>
          </cell>
          <cell r="FN12">
            <v>38</v>
          </cell>
          <cell r="FO12">
            <v>38</v>
          </cell>
          <cell r="FP12">
            <v>38</v>
          </cell>
          <cell r="FQ12">
            <v>38</v>
          </cell>
          <cell r="FR12">
            <v>44</v>
          </cell>
          <cell r="FS12">
            <v>44</v>
          </cell>
          <cell r="FT12">
            <v>38</v>
          </cell>
          <cell r="FU12">
            <v>46</v>
          </cell>
          <cell r="FV12">
            <v>42</v>
          </cell>
          <cell r="FW12">
            <v>44</v>
          </cell>
          <cell r="FX12">
            <v>42</v>
          </cell>
          <cell r="FY12">
            <v>36</v>
          </cell>
        </row>
        <row r="47">
          <cell r="FY47">
            <v>185171</v>
          </cell>
        </row>
        <row r="52">
          <cell r="FY52">
            <v>102506</v>
          </cell>
        </row>
        <row r="64"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E64">
            <v>212710</v>
          </cell>
          <cell r="FF64">
            <v>181062</v>
          </cell>
          <cell r="FG64">
            <v>205046</v>
          </cell>
          <cell r="FH64">
            <v>205046</v>
          </cell>
          <cell r="FI64">
            <v>175883</v>
          </cell>
          <cell r="FJ64">
            <v>158106</v>
          </cell>
          <cell r="FK64">
            <v>192493</v>
          </cell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FS64">
            <v>140430</v>
          </cell>
          <cell r="FT64">
            <v>197910</v>
          </cell>
          <cell r="FU64">
            <v>235290</v>
          </cell>
          <cell r="FV64">
            <v>192711</v>
          </cell>
          <cell r="FW64">
            <v>227743</v>
          </cell>
          <cell r="FX64">
            <v>315017</v>
          </cell>
          <cell r="FY64">
            <v>287677</v>
          </cell>
        </row>
      </sheetData>
      <sheetData sheetId="76">
        <row r="4">
          <cell r="FY4">
            <v>39</v>
          </cell>
        </row>
        <row r="5">
          <cell r="FY5">
            <v>39</v>
          </cell>
        </row>
        <row r="12">
          <cell r="EZ12">
            <v>43</v>
          </cell>
          <cell r="FA12">
            <v>40</v>
          </cell>
          <cell r="FB12">
            <v>46</v>
          </cell>
          <cell r="FC12">
            <v>40</v>
          </cell>
          <cell r="FD12">
            <v>46</v>
          </cell>
          <cell r="FE12">
            <v>44</v>
          </cell>
          <cell r="FF12">
            <v>42</v>
          </cell>
          <cell r="FG12">
            <v>50</v>
          </cell>
          <cell r="FH12">
            <v>41</v>
          </cell>
          <cell r="FI12">
            <v>44</v>
          </cell>
          <cell r="FJ12">
            <v>72</v>
          </cell>
          <cell r="FK12">
            <v>82</v>
          </cell>
          <cell r="FN12">
            <v>48</v>
          </cell>
          <cell r="FO12">
            <v>1</v>
          </cell>
          <cell r="FP12">
            <v>88</v>
          </cell>
          <cell r="FQ12">
            <v>90</v>
          </cell>
          <cell r="FR12">
            <v>88</v>
          </cell>
          <cell r="FS12">
            <v>83</v>
          </cell>
          <cell r="FT12">
            <v>91</v>
          </cell>
          <cell r="FU12">
            <v>99</v>
          </cell>
          <cell r="FV12">
            <v>76</v>
          </cell>
          <cell r="FW12">
            <v>94</v>
          </cell>
          <cell r="FX12">
            <v>85</v>
          </cell>
          <cell r="FY12">
            <v>78</v>
          </cell>
        </row>
        <row r="47">
          <cell r="FY47">
            <v>58064</v>
          </cell>
        </row>
        <row r="52">
          <cell r="FY52">
            <v>37321</v>
          </cell>
        </row>
        <row r="64"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E64">
            <v>92834</v>
          </cell>
          <cell r="FF64">
            <v>84131</v>
          </cell>
          <cell r="FG64">
            <v>102744</v>
          </cell>
          <cell r="FH64">
            <v>88674</v>
          </cell>
          <cell r="FI64">
            <v>97935</v>
          </cell>
          <cell r="FJ64">
            <v>97344</v>
          </cell>
          <cell r="FK64">
            <v>93789</v>
          </cell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FS64">
            <v>120033</v>
          </cell>
          <cell r="FT64">
            <v>124594</v>
          </cell>
          <cell r="FU64">
            <v>120693</v>
          </cell>
          <cell r="FV64">
            <v>94388</v>
          </cell>
          <cell r="FW64">
            <v>132947</v>
          </cell>
          <cell r="FX64">
            <v>101918</v>
          </cell>
          <cell r="FY64">
            <v>95385</v>
          </cell>
        </row>
      </sheetData>
      <sheetData sheetId="77">
        <row r="4">
          <cell r="FY4">
            <v>28</v>
          </cell>
        </row>
        <row r="5">
          <cell r="FY5">
            <v>28</v>
          </cell>
        </row>
      </sheetData>
      <sheetData sheetId="78">
        <row r="4">
          <cell r="FY4">
            <v>666</v>
          </cell>
        </row>
        <row r="5">
          <cell r="FY5">
            <v>666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137179</v>
          </cell>
          <cell r="C21">
            <v>131658</v>
          </cell>
          <cell r="G21">
            <v>1202691</v>
          </cell>
          <cell r="H21">
            <v>1213282</v>
          </cell>
          <cell r="L21">
            <v>1339870</v>
          </cell>
          <cell r="M21">
            <v>1344940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256747</v>
          </cell>
          <cell r="I21">
            <v>2435679</v>
          </cell>
          <cell r="N21">
            <v>2692426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141643</v>
          </cell>
          <cell r="C22">
            <v>143472</v>
          </cell>
          <cell r="L22">
            <v>1334274</v>
          </cell>
          <cell r="M22">
            <v>1377099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272463</v>
          </cell>
          <cell r="I22">
            <v>2337959</v>
          </cell>
          <cell r="N22">
            <v>2610422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183302</v>
          </cell>
          <cell r="C23">
            <v>184526</v>
          </cell>
          <cell r="L23">
            <v>1694504</v>
          </cell>
          <cell r="M23">
            <v>1716363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348451</v>
          </cell>
          <cell r="I23">
            <v>3083230</v>
          </cell>
          <cell r="N23">
            <v>3431681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K26" sqref="K26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78">
        <v>43435</v>
      </c>
      <c r="B2" s="17"/>
      <c r="C2" s="17"/>
      <c r="D2" s="520" t="s">
        <v>211</v>
      </c>
      <c r="E2" s="520" t="s">
        <v>188</v>
      </c>
      <c r="F2" s="8"/>
      <c r="G2" s="8"/>
      <c r="H2" s="8"/>
      <c r="I2" s="8"/>
      <c r="J2" s="23"/>
    </row>
    <row r="3" spans="1:14" ht="13.5" thickBot="1" x14ac:dyDescent="0.25">
      <c r="A3" s="384"/>
      <c r="B3" s="8" t="s">
        <v>0</v>
      </c>
      <c r="C3" s="8" t="s">
        <v>1</v>
      </c>
      <c r="D3" s="521"/>
      <c r="E3" s="522"/>
      <c r="F3" s="8" t="s">
        <v>2</v>
      </c>
      <c r="G3" s="8" t="s">
        <v>212</v>
      </c>
      <c r="H3" s="8" t="s">
        <v>189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4">
        <f>'Major Airline Stats'!K4</f>
        <v>1077413</v>
      </c>
      <c r="C5" s="296">
        <f>'Major Airline Stats'!K5</f>
        <v>1094137</v>
      </c>
      <c r="D5" s="5">
        <f>'Major Airline Stats'!K6</f>
        <v>2171550</v>
      </c>
      <c r="E5" s="9">
        <f>'[1]Monthly Summary'!D5</f>
        <v>2206292</v>
      </c>
      <c r="F5" s="39">
        <f>(D5-E5)/E5</f>
        <v>-1.5746782384199371E-2</v>
      </c>
      <c r="G5" s="9">
        <f>+D5+'[2]Monthly Summary'!G5</f>
        <v>29029272</v>
      </c>
      <c r="H5" s="9">
        <f>'[1]Monthly Summary'!G5</f>
        <v>29222280</v>
      </c>
      <c r="I5" s="85">
        <f>(G5-H5)/H5</f>
        <v>-6.6048234429346379E-3</v>
      </c>
      <c r="J5" s="9"/>
    </row>
    <row r="6" spans="1:14" x14ac:dyDescent="0.2">
      <c r="A6" s="67" t="s">
        <v>5</v>
      </c>
      <c r="B6" s="294">
        <f>'Regional Major'!M5</f>
        <v>317290</v>
      </c>
      <c r="C6" s="294">
        <f>'Regional Major'!M6</f>
        <v>312952</v>
      </c>
      <c r="D6" s="5">
        <f>B6+C6</f>
        <v>630242</v>
      </c>
      <c r="E6" s="9">
        <f>'[1]Monthly Summary'!D6</f>
        <v>625690</v>
      </c>
      <c r="F6" s="39">
        <f>(D6-E6)/E6</f>
        <v>7.2751682142914225E-3</v>
      </c>
      <c r="G6" s="9">
        <f>+D6+'[2]Monthly Summary'!G6</f>
        <v>7753247</v>
      </c>
      <c r="H6" s="9">
        <f>'[1]Monthly Summary'!G6</f>
        <v>7572015</v>
      </c>
      <c r="I6" s="85">
        <f>(G6-H6)/H6</f>
        <v>2.3934448096048409E-2</v>
      </c>
      <c r="J6" s="20"/>
      <c r="K6" s="2"/>
    </row>
    <row r="7" spans="1:14" x14ac:dyDescent="0.2">
      <c r="A7" s="67" t="s">
        <v>6</v>
      </c>
      <c r="B7" s="9">
        <f>Charter!G5</f>
        <v>150</v>
      </c>
      <c r="C7" s="295">
        <f>Charter!G6</f>
        <v>0</v>
      </c>
      <c r="D7" s="5">
        <f>B7+C7</f>
        <v>150</v>
      </c>
      <c r="E7" s="9">
        <f>'[1]Monthly Summary'!D7</f>
        <v>300</v>
      </c>
      <c r="F7" s="39">
        <f>(D7-E7)/E7</f>
        <v>-0.5</v>
      </c>
      <c r="G7" s="9">
        <f>+D7+'[2]Monthly Summary'!G7</f>
        <v>4629</v>
      </c>
      <c r="H7" s="9">
        <f>'[1]Monthly Summary'!G7</f>
        <v>5683</v>
      </c>
      <c r="I7" s="85">
        <f>(G7-H7)/H7</f>
        <v>-0.18546542319197606</v>
      </c>
      <c r="J7" s="20"/>
      <c r="K7" s="2"/>
    </row>
    <row r="8" spans="1:14" x14ac:dyDescent="0.2">
      <c r="A8" s="70" t="s">
        <v>7</v>
      </c>
      <c r="B8" s="148">
        <f>SUM(B5:B7)</f>
        <v>1394853</v>
      </c>
      <c r="C8" s="148">
        <f>SUM(C5:C7)</f>
        <v>1407089</v>
      </c>
      <c r="D8" s="148">
        <f>SUM(D5:D7)</f>
        <v>2801942</v>
      </c>
      <c r="E8" s="148">
        <f>SUM(E5:E7)</f>
        <v>2832282</v>
      </c>
      <c r="F8" s="92">
        <f>(D8-E8)/E8</f>
        <v>-1.071221015421487E-2</v>
      </c>
      <c r="G8" s="148">
        <f>SUM(G5:G7)</f>
        <v>36787148</v>
      </c>
      <c r="H8" s="148">
        <f>SUM(H5:H7)</f>
        <v>36799978</v>
      </c>
      <c r="I8" s="91">
        <f>(G8-H8)/H8</f>
        <v>-3.4864151277481741E-4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297">
        <f>'Major Airline Stats'!K9+'Regional Major'!M10</f>
        <v>49216</v>
      </c>
      <c r="C10" s="297">
        <f>'Major Airline Stats'!K10+'Regional Major'!M11</f>
        <v>49269</v>
      </c>
      <c r="D10" s="120">
        <f>SUM(B10:C10)</f>
        <v>98485</v>
      </c>
      <c r="E10" s="120">
        <f>'[1]Monthly Summary'!D10</f>
        <v>95508</v>
      </c>
      <c r="F10" s="93">
        <f>(D10-E10)/E10</f>
        <v>3.1170163755915734E-2</v>
      </c>
      <c r="G10" s="509">
        <f>+D10+'[2]Monthly Summary'!G10</f>
        <v>1258937</v>
      </c>
      <c r="H10" s="120">
        <f>'[1]Monthly Summary'!G10</f>
        <v>1234363</v>
      </c>
      <c r="I10" s="96">
        <f>(G10-H10)/H10</f>
        <v>1.990824417128511E-2</v>
      </c>
      <c r="J10" s="264"/>
    </row>
    <row r="11" spans="1:14" ht="15.75" thickBot="1" x14ac:dyDescent="0.3">
      <c r="A11" s="69" t="s">
        <v>13</v>
      </c>
      <c r="B11" s="273">
        <f>B10+B8</f>
        <v>1444069</v>
      </c>
      <c r="C11" s="273">
        <f>C10+C8</f>
        <v>1456358</v>
      </c>
      <c r="D11" s="273">
        <f>D10+D8</f>
        <v>2900427</v>
      </c>
      <c r="E11" s="273">
        <f>E10+E8</f>
        <v>2927790</v>
      </c>
      <c r="F11" s="94">
        <f>(D11-E11)/E11</f>
        <v>-9.3459571895525301E-3</v>
      </c>
      <c r="G11" s="273">
        <f>G8+G10</f>
        <v>38046085</v>
      </c>
      <c r="H11" s="273">
        <f>H8+H10</f>
        <v>38034341</v>
      </c>
      <c r="I11" s="97">
        <f>(G11-H11)/H11</f>
        <v>3.0877358963574521E-4</v>
      </c>
      <c r="J11" s="7"/>
      <c r="L11" s="130"/>
    </row>
    <row r="12" spans="1:14" ht="15" x14ac:dyDescent="0.25">
      <c r="A12" s="15"/>
      <c r="B12" s="124"/>
      <c r="C12" s="124"/>
      <c r="D12" s="124"/>
      <c r="E12" s="124"/>
      <c r="F12" s="275"/>
      <c r="G12" s="124"/>
      <c r="H12" s="124"/>
      <c r="I12" s="276"/>
      <c r="J12" s="7"/>
      <c r="K12" s="130"/>
    </row>
    <row r="13" spans="1:14" ht="16.5" customHeight="1" x14ac:dyDescent="0.2">
      <c r="B13" s="17"/>
      <c r="C13" s="17"/>
      <c r="D13" s="520" t="s">
        <v>211</v>
      </c>
      <c r="E13" s="520" t="s">
        <v>188</v>
      </c>
      <c r="F13" s="449"/>
      <c r="G13" s="449"/>
      <c r="H13" s="449"/>
      <c r="I13" s="449"/>
    </row>
    <row r="14" spans="1:14" ht="13.5" thickBot="1" x14ac:dyDescent="0.25">
      <c r="A14" s="16"/>
      <c r="B14" s="449" t="s">
        <v>208</v>
      </c>
      <c r="C14" s="449" t="s">
        <v>209</v>
      </c>
      <c r="D14" s="521"/>
      <c r="E14" s="522"/>
      <c r="F14" s="449" t="s">
        <v>2</v>
      </c>
      <c r="G14" s="500" t="s">
        <v>212</v>
      </c>
      <c r="H14" s="500" t="s">
        <v>189</v>
      </c>
      <c r="I14" s="449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5">
        <f>'Major Airline Stats'!K15+'Major Airline Stats'!K19</f>
        <v>8495</v>
      </c>
      <c r="C16" s="305">
        <f>'Major Airline Stats'!K16+'Major Airline Stats'!K20</f>
        <v>8489</v>
      </c>
      <c r="D16" s="47">
        <f t="shared" ref="D16:D21" si="0">SUM(B16:C16)</f>
        <v>16984</v>
      </c>
      <c r="E16" s="9">
        <f>'[1]Monthly Summary'!D16</f>
        <v>17715</v>
      </c>
      <c r="F16" s="95">
        <f t="shared" ref="F16:F22" si="1">(D16-E16)/E16</f>
        <v>-4.1264465142534575E-2</v>
      </c>
      <c r="G16" s="9">
        <f>+D16+'[2]Monthly Summary'!G16</f>
        <v>221554</v>
      </c>
      <c r="H16" s="9">
        <f>'[1]Monthly Summary'!G16</f>
        <v>228393</v>
      </c>
      <c r="I16" s="262">
        <f t="shared" ref="I16:I22" si="2">(G16-H16)/H16</f>
        <v>-2.9944000035027344E-2</v>
      </c>
      <c r="N16" s="130"/>
    </row>
    <row r="17" spans="1:12" x14ac:dyDescent="0.2">
      <c r="A17" s="68" t="s">
        <v>5</v>
      </c>
      <c r="B17" s="47">
        <f>'Regional Major'!M15+'Regional Major'!M18</f>
        <v>6058</v>
      </c>
      <c r="C17" s="47">
        <f>'Regional Major'!M16+'Regional Major'!M19</f>
        <v>6068</v>
      </c>
      <c r="D17" s="47">
        <f>SUM(B17:C17)</f>
        <v>12126</v>
      </c>
      <c r="E17" s="9">
        <f>'[1]Monthly Summary'!D17</f>
        <v>12334</v>
      </c>
      <c r="F17" s="95">
        <f t="shared" si="1"/>
        <v>-1.686395329982163E-2</v>
      </c>
      <c r="G17" s="9">
        <f>+D17+'[2]Monthly Summary'!G17</f>
        <v>149108</v>
      </c>
      <c r="H17" s="9">
        <f>'[1]Monthly Summary'!G17</f>
        <v>149879</v>
      </c>
      <c r="I17" s="262">
        <f t="shared" si="2"/>
        <v>-5.144149614021978E-3</v>
      </c>
    </row>
    <row r="18" spans="1:12" x14ac:dyDescent="0.2">
      <c r="A18" s="68" t="s">
        <v>10</v>
      </c>
      <c r="B18" s="47">
        <f>Charter!G10</f>
        <v>2</v>
      </c>
      <c r="C18" s="47">
        <f>Charter!G11</f>
        <v>0</v>
      </c>
      <c r="D18" s="47">
        <f t="shared" si="0"/>
        <v>2</v>
      </c>
      <c r="E18" s="9">
        <f>'[1]Monthly Summary'!D18</f>
        <v>2</v>
      </c>
      <c r="F18" s="95">
        <f t="shared" si="1"/>
        <v>0</v>
      </c>
      <c r="G18" s="9">
        <f>+D18+'[2]Monthly Summary'!G18</f>
        <v>38</v>
      </c>
      <c r="H18" s="9">
        <f>'[1]Monthly Summary'!G18</f>
        <v>45</v>
      </c>
      <c r="I18" s="262">
        <f t="shared" si="2"/>
        <v>-0.15555555555555556</v>
      </c>
    </row>
    <row r="19" spans="1:12" x14ac:dyDescent="0.2">
      <c r="A19" s="68" t="s">
        <v>11</v>
      </c>
      <c r="B19" s="47">
        <f>Cargo!N4</f>
        <v>689</v>
      </c>
      <c r="C19" s="47">
        <f>Cargo!N5</f>
        <v>700</v>
      </c>
      <c r="D19" s="47">
        <f t="shared" si="0"/>
        <v>1389</v>
      </c>
      <c r="E19" s="9">
        <f>'[1]Monthly Summary'!D19</f>
        <v>1509</v>
      </c>
      <c r="F19" s="95">
        <f t="shared" si="1"/>
        <v>-7.9522862823061632E-2</v>
      </c>
      <c r="G19" s="9">
        <f>+D19+'[2]Monthly Summary'!G19</f>
        <v>15446</v>
      </c>
      <c r="H19" s="9">
        <f>'[1]Monthly Summary'!G19</f>
        <v>14911</v>
      </c>
      <c r="I19" s="262">
        <f t="shared" si="2"/>
        <v>3.5879552008584267E-2</v>
      </c>
    </row>
    <row r="20" spans="1:12" x14ac:dyDescent="0.2">
      <c r="A20" s="68" t="s">
        <v>153</v>
      </c>
      <c r="B20" s="47">
        <f>'[3]General Avation'!$FY$4</f>
        <v>666</v>
      </c>
      <c r="C20" s="47">
        <f>'[3]General Avation'!$FY$5</f>
        <v>666</v>
      </c>
      <c r="D20" s="47">
        <f>SUM(B20:C20)</f>
        <v>1332</v>
      </c>
      <c r="E20" s="9">
        <f>'[1]Monthly Summary'!D20</f>
        <v>1666</v>
      </c>
      <c r="F20" s="95">
        <f t="shared" si="1"/>
        <v>-0.20048019207683074</v>
      </c>
      <c r="G20" s="9">
        <f>+D20+'[2]Monthly Summary'!G20</f>
        <v>20113</v>
      </c>
      <c r="H20" s="9">
        <f>'[1]Monthly Summary'!G20</f>
        <v>22226</v>
      </c>
      <c r="I20" s="262">
        <f t="shared" si="2"/>
        <v>-9.5068838297489425E-2</v>
      </c>
    </row>
    <row r="21" spans="1:12" ht="12.75" customHeight="1" x14ac:dyDescent="0.2">
      <c r="A21" s="68" t="s">
        <v>12</v>
      </c>
      <c r="B21" s="18">
        <f>'[3]Military '!$FY$4</f>
        <v>28</v>
      </c>
      <c r="C21" s="18">
        <f>'[3]Military '!$FY$5</f>
        <v>28</v>
      </c>
      <c r="D21" s="18">
        <f t="shared" si="0"/>
        <v>56</v>
      </c>
      <c r="E21" s="120">
        <f>'[1]Monthly Summary'!D21</f>
        <v>92</v>
      </c>
      <c r="F21" s="260">
        <f t="shared" si="1"/>
        <v>-0.39130434782608697</v>
      </c>
      <c r="G21" s="120">
        <f>+D21+'[2]Monthly Summary'!G21</f>
        <v>1126</v>
      </c>
      <c r="H21" s="120">
        <f>'[1]Monthly Summary'!G21</f>
        <v>759</v>
      </c>
      <c r="I21" s="263">
        <f t="shared" si="2"/>
        <v>0.48353096179183136</v>
      </c>
    </row>
    <row r="22" spans="1:12" ht="15.75" thickBot="1" x14ac:dyDescent="0.3">
      <c r="A22" s="69" t="s">
        <v>28</v>
      </c>
      <c r="B22" s="274">
        <f>SUM(B16:B21)</f>
        <v>15938</v>
      </c>
      <c r="C22" s="274">
        <f>SUM(C16:C21)</f>
        <v>15951</v>
      </c>
      <c r="D22" s="274">
        <f>SUM(D16:D21)</f>
        <v>31889</v>
      </c>
      <c r="E22" s="274">
        <f>SUM(E16:E21)</f>
        <v>33318</v>
      </c>
      <c r="F22" s="270">
        <f t="shared" si="1"/>
        <v>-4.2889729275466713E-2</v>
      </c>
      <c r="G22" s="274">
        <f>SUM(G16:G21)</f>
        <v>407385</v>
      </c>
      <c r="H22" s="274">
        <f>SUM(H16:H21)</f>
        <v>416213</v>
      </c>
      <c r="I22" s="271">
        <f t="shared" si="2"/>
        <v>-2.1210293767854441E-2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7"/>
      <c r="C24" s="17"/>
      <c r="D24" s="520" t="s">
        <v>211</v>
      </c>
      <c r="E24" s="520" t="s">
        <v>188</v>
      </c>
      <c r="F24" s="449"/>
      <c r="G24" s="449"/>
      <c r="H24" s="449"/>
      <c r="I24" s="449"/>
    </row>
    <row r="25" spans="1:12" ht="13.5" thickBot="1" x14ac:dyDescent="0.25">
      <c r="B25" s="449" t="s">
        <v>0</v>
      </c>
      <c r="C25" s="449" t="s">
        <v>1</v>
      </c>
      <c r="D25" s="521"/>
      <c r="E25" s="522"/>
      <c r="F25" s="449" t="s">
        <v>2</v>
      </c>
      <c r="G25" s="500" t="s">
        <v>212</v>
      </c>
      <c r="H25" s="500" t="s">
        <v>189</v>
      </c>
      <c r="I25" s="449" t="s">
        <v>2</v>
      </c>
    </row>
    <row r="26" spans="1:12" ht="15" x14ac:dyDescent="0.25">
      <c r="A26" s="65" t="s">
        <v>129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15</v>
      </c>
      <c r="B27" s="22">
        <f>(Cargo!N16+'Major Airline Stats'!K28+'Regional Major'!M25)*0.00045359237</f>
        <v>10397.092805288419</v>
      </c>
      <c r="C27" s="22">
        <f>(Cargo!N21+'Major Airline Stats'!K33+'Regional Major'!M30)*0.00045359237</f>
        <v>7969.8438299002601</v>
      </c>
      <c r="D27" s="22">
        <f>(SUM(B27:C27)+('Cargo Summary'!E17*0.00045359237))</f>
        <v>18366.936635188678</v>
      </c>
      <c r="E27" s="9">
        <f>'[1]Monthly Summary'!D27</f>
        <v>18798.741602880469</v>
      </c>
      <c r="F27" s="98">
        <f>(D27-E27)/E27</f>
        <v>-2.2969886858045154E-2</v>
      </c>
      <c r="G27" s="9">
        <f>+D27+'[2]Monthly Summary'!G27</f>
        <v>214183.49939819757</v>
      </c>
      <c r="H27" s="9">
        <f>'[1]Monthly Summary'!G27</f>
        <v>203856.72384288366</v>
      </c>
      <c r="I27" s="100">
        <f>(G27-H27)/H27</f>
        <v>5.0657026958173632E-2</v>
      </c>
    </row>
    <row r="28" spans="1:12" x14ac:dyDescent="0.2">
      <c r="A28" s="62" t="s">
        <v>16</v>
      </c>
      <c r="B28" s="22">
        <f>(Cargo!N17+'Major Airline Stats'!K29+'Regional Major'!M26)*0.00045359237</f>
        <v>905.99043128978997</v>
      </c>
      <c r="C28" s="22">
        <f>(Cargo!N22+'Major Airline Stats'!K34+'Regional Major'!M31)*0.00045359237</f>
        <v>1229.49704549749</v>
      </c>
      <c r="D28" s="22">
        <f>SUM(B28:C28)</f>
        <v>2135.4874767872798</v>
      </c>
      <c r="E28" s="9">
        <f>'[1]Monthly Summary'!D28</f>
        <v>2645.0830823417</v>
      </c>
      <c r="F28" s="98">
        <f>(D28-E28)/E28</f>
        <v>-0.19265769342234562</v>
      </c>
      <c r="G28" s="120">
        <f>+D28+'[2]Monthly Summary'!G28</f>
        <v>25362.365171192276</v>
      </c>
      <c r="H28" s="9">
        <f>'[1]Monthly Summary'!G28</f>
        <v>25583.629797240123</v>
      </c>
      <c r="I28" s="100">
        <f>(G28-H28)/H28</f>
        <v>-8.6486799489146823E-3</v>
      </c>
    </row>
    <row r="29" spans="1:12" ht="15.75" thickBot="1" x14ac:dyDescent="0.3">
      <c r="A29" s="63" t="s">
        <v>62</v>
      </c>
      <c r="B29" s="54">
        <f>SUM(B27:B28)</f>
        <v>11303.08323657821</v>
      </c>
      <c r="C29" s="54">
        <f>SUM(C27:C28)</f>
        <v>9199.3408753977492</v>
      </c>
      <c r="D29" s="54">
        <f>SUM(D27:D28)</f>
        <v>20502.424111975957</v>
      </c>
      <c r="E29" s="54">
        <f>SUM(E27:E28)</f>
        <v>21443.824685222171</v>
      </c>
      <c r="F29" s="99">
        <f>(D29-E29)/E29</f>
        <v>-4.3900777359692368E-2</v>
      </c>
      <c r="G29" s="54">
        <f>SUM(G27:G28)</f>
        <v>239545.86456938984</v>
      </c>
      <c r="H29" s="54">
        <f>SUM(H27:H28)</f>
        <v>229440.35364012379</v>
      </c>
      <c r="I29" s="101">
        <f>(G29-H29)/H29</f>
        <v>4.4044174309095165E-2</v>
      </c>
    </row>
    <row r="30" spans="1:12" s="7" customFormat="1" ht="4.5" customHeight="1" thickBot="1" x14ac:dyDescent="0.3">
      <c r="A30" s="59"/>
      <c r="B30" s="386"/>
      <c r="C30" s="386"/>
      <c r="D30" s="386"/>
      <c r="E30" s="386"/>
      <c r="F30" s="275"/>
      <c r="G30" s="386"/>
      <c r="H30" s="386"/>
      <c r="I30" s="275"/>
    </row>
    <row r="31" spans="1:12" ht="13.5" thickBot="1" x14ac:dyDescent="0.25">
      <c r="B31" s="519" t="s">
        <v>149</v>
      </c>
      <c r="C31" s="518"/>
      <c r="D31" s="519" t="s">
        <v>156</v>
      </c>
      <c r="E31" s="518"/>
      <c r="F31" s="409"/>
      <c r="G31" s="410"/>
      <c r="H31" s="408"/>
      <c r="I31" s="408"/>
    </row>
    <row r="32" spans="1:12" x14ac:dyDescent="0.2">
      <c r="A32" s="390" t="s">
        <v>150</v>
      </c>
      <c r="B32" s="391">
        <f>C8-B33</f>
        <v>908104</v>
      </c>
      <c r="C32" s="392">
        <f>B32/C8</f>
        <v>0.64537779770860271</v>
      </c>
      <c r="D32" s="393">
        <f>+B32+'[2]Monthly Summary'!$D$32</f>
        <v>11528009</v>
      </c>
      <c r="E32" s="394">
        <f>+D32/D34</f>
        <v>0.62697688872969137</v>
      </c>
      <c r="G32" s="416"/>
      <c r="H32" s="408"/>
      <c r="I32" s="407"/>
    </row>
    <row r="33" spans="1:14" ht="13.5" thickBot="1" x14ac:dyDescent="0.25">
      <c r="A33" s="395" t="s">
        <v>151</v>
      </c>
      <c r="B33" s="396">
        <f>'Major Airline Stats'!K51+'Regional Major'!M45</f>
        <v>498985</v>
      </c>
      <c r="C33" s="397">
        <f>+B33/C8</f>
        <v>0.35462220229139735</v>
      </c>
      <c r="D33" s="398">
        <f>+B33+'[2]Monthly Summary'!$D$33</f>
        <v>6858648</v>
      </c>
      <c r="E33" s="399">
        <f>+D33/D34</f>
        <v>0.37302311127030868</v>
      </c>
      <c r="G33" s="408"/>
      <c r="H33" s="408"/>
      <c r="I33" s="407"/>
    </row>
    <row r="34" spans="1:14" ht="13.5" thickBot="1" x14ac:dyDescent="0.25">
      <c r="B34" s="309"/>
      <c r="D34" s="400">
        <f>SUM(D32:D33)</f>
        <v>18386657</v>
      </c>
    </row>
    <row r="35" spans="1:14" ht="13.5" thickBot="1" x14ac:dyDescent="0.25">
      <c r="B35" s="517" t="s">
        <v>231</v>
      </c>
      <c r="C35" s="518"/>
      <c r="D35" s="519" t="s">
        <v>213</v>
      </c>
      <c r="E35" s="518"/>
    </row>
    <row r="36" spans="1:14" x14ac:dyDescent="0.2">
      <c r="A36" s="390" t="s">
        <v>150</v>
      </c>
      <c r="B36" s="391">
        <f>'[1]Monthly Summary'!$B$32</f>
        <v>897705</v>
      </c>
      <c r="C36" s="392">
        <f>+B36/B38</f>
        <v>0.63063977581748432</v>
      </c>
      <c r="D36" s="393">
        <f>'[1]Monthly Summary'!$D$32</f>
        <v>11032337</v>
      </c>
      <c r="E36" s="394">
        <f>+D36/D38</f>
        <v>0.60006769592465747</v>
      </c>
    </row>
    <row r="37" spans="1:14" ht="13.5" thickBot="1" x14ac:dyDescent="0.25">
      <c r="A37" s="395" t="s">
        <v>151</v>
      </c>
      <c r="B37" s="396">
        <f>'[1]Monthly Summary'!$B$33</f>
        <v>525778</v>
      </c>
      <c r="C37" s="399">
        <f>+B37/B38</f>
        <v>0.36936022418251568</v>
      </c>
      <c r="D37" s="398">
        <f>'[1]Monthly Summary'!$D$33</f>
        <v>7352817</v>
      </c>
      <c r="E37" s="399">
        <f>+D37/D38</f>
        <v>0.39993230407534253</v>
      </c>
      <c r="M37" s="13"/>
    </row>
    <row r="38" spans="1:14" x14ac:dyDescent="0.2">
      <c r="B38" s="415">
        <f>+SUM(B36:B37)</f>
        <v>1423483</v>
      </c>
      <c r="D38" s="400">
        <f>SUM(D36:D37)</f>
        <v>18385154</v>
      </c>
    </row>
    <row r="39" spans="1:14" x14ac:dyDescent="0.2">
      <c r="A39" s="404" t="s">
        <v>152</v>
      </c>
    </row>
    <row r="40" spans="1:14" x14ac:dyDescent="0.2">
      <c r="A40" s="229" t="s">
        <v>154</v>
      </c>
      <c r="I40" s="2"/>
    </row>
    <row r="41" spans="1:14" x14ac:dyDescent="0.2">
      <c r="N41" s="405"/>
    </row>
    <row r="42" spans="1:14" x14ac:dyDescent="0.2">
      <c r="G42" s="2"/>
      <c r="N42" s="405"/>
    </row>
    <row r="43" spans="1:14" x14ac:dyDescent="0.2">
      <c r="B43" s="309"/>
      <c r="J43" s="2"/>
      <c r="N43" s="405"/>
    </row>
    <row r="44" spans="1:14" x14ac:dyDescent="0.2">
      <c r="B44" s="309"/>
      <c r="N44" s="405"/>
    </row>
    <row r="45" spans="1:14" x14ac:dyDescent="0.2">
      <c r="J45" s="2"/>
      <c r="N45" s="405"/>
    </row>
    <row r="46" spans="1:14" x14ac:dyDescent="0.2">
      <c r="B46" s="2"/>
      <c r="F46" s="309"/>
    </row>
    <row r="47" spans="1:14" x14ac:dyDescent="0.2">
      <c r="N47" s="405"/>
    </row>
    <row r="51" spans="12:12" x14ac:dyDescent="0.2">
      <c r="L51" s="4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6" priority="11" stopIfTrue="1">
      <formula>"*.*"</formula>
    </cfRule>
  </conditionalFormatting>
  <conditionalFormatting sqref="B13:C13 F13:I13 F14 I14">
    <cfRule type="expression" dxfId="5" priority="6" stopIfTrue="1">
      <formula>"*.*"</formula>
    </cfRule>
  </conditionalFormatting>
  <conditionalFormatting sqref="B24:C24 F24:I24 F25 I25">
    <cfRule type="expression" dxfId="4" priority="5" stopIfTrue="1">
      <formula>"*.*"</formula>
    </cfRule>
  </conditionalFormatting>
  <conditionalFormatting sqref="E13 D13:D14">
    <cfRule type="expression" dxfId="3" priority="4" stopIfTrue="1">
      <formula>"*.*"</formula>
    </cfRule>
  </conditionalFormatting>
  <conditionalFormatting sqref="E24 D24:D25">
    <cfRule type="expression" dxfId="2" priority="3" stopIfTrue="1">
      <formula>"*.*"</formula>
    </cfRule>
  </conditionalFormatting>
  <conditionalFormatting sqref="G14:H14">
    <cfRule type="expression" dxfId="1" priority="2" stopIfTrue="1">
      <formula>"*.*"</formula>
    </cfRule>
  </conditionalFormatting>
  <conditionalFormatting sqref="G25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December 2018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topLeftCell="A19" zoomScaleNormal="100" zoomScaleSheetLayoutView="100" workbookViewId="0">
      <selection activeCell="O34" sqref="O34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378">
        <v>43435</v>
      </c>
      <c r="B1" s="12" t="s">
        <v>18</v>
      </c>
      <c r="C1" s="499" t="s">
        <v>222</v>
      </c>
      <c r="D1" s="423" t="s">
        <v>163</v>
      </c>
      <c r="E1" s="272" t="s">
        <v>170</v>
      </c>
      <c r="F1" s="272" t="s">
        <v>171</v>
      </c>
      <c r="G1" s="272" t="s">
        <v>169</v>
      </c>
      <c r="H1" s="272" t="s">
        <v>49</v>
      </c>
      <c r="I1" s="272" t="s">
        <v>116</v>
      </c>
      <c r="J1" s="272" t="s">
        <v>216</v>
      </c>
      <c r="K1" s="272" t="s">
        <v>210</v>
      </c>
      <c r="L1" s="272" t="s">
        <v>223</v>
      </c>
      <c r="M1" s="272" t="s">
        <v>168</v>
      </c>
      <c r="N1" s="272" t="s">
        <v>162</v>
      </c>
      <c r="O1" s="272" t="s">
        <v>143</v>
      </c>
      <c r="P1" s="272" t="s">
        <v>21</v>
      </c>
    </row>
    <row r="2" spans="1:16" ht="15" x14ac:dyDescent="0.25">
      <c r="A2" s="554" t="s">
        <v>144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6"/>
    </row>
    <row r="3" spans="1:16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5"/>
    </row>
    <row r="4" spans="1:16" x14ac:dyDescent="0.2">
      <c r="A4" s="62" t="s">
        <v>30</v>
      </c>
      <c r="B4" s="21">
        <f>[3]Delta!$FY$32</f>
        <v>59655</v>
      </c>
      <c r="C4" s="21">
        <f>'[3]Atlantic Southeast'!$FY$32</f>
        <v>0</v>
      </c>
      <c r="D4" s="21">
        <f>[3]Pinnacle!$FY$32</f>
        <v>3393</v>
      </c>
      <c r="E4" s="21">
        <f>[3]Compass!$FY$32</f>
        <v>0</v>
      </c>
      <c r="F4" s="21">
        <f>'[3]Sky West'!$FY$32</f>
        <v>14055</v>
      </c>
      <c r="G4" s="21">
        <f>'[3]Go Jet'!$FY$32</f>
        <v>891</v>
      </c>
      <c r="H4" s="21">
        <f>'[3]Sun Country'!$FY$32</f>
        <v>8401</v>
      </c>
      <c r="I4" s="21">
        <f>[3]Icelandair!$FY$32</f>
        <v>2121</v>
      </c>
      <c r="J4" s="21">
        <f>[3]KLM!$FY$32</f>
        <v>4227</v>
      </c>
      <c r="K4" s="21">
        <f>'[3]Air Georgian'!$FY$32</f>
        <v>0</v>
      </c>
      <c r="L4" s="21">
        <f>'[3]Sky Regional'!$FY$32</f>
        <v>4308</v>
      </c>
      <c r="M4" s="21">
        <f>[3]Condor!$FY$32</f>
        <v>0</v>
      </c>
      <c r="N4" s="21">
        <f>'[3]Air France'!$FY$32</f>
        <v>0</v>
      </c>
      <c r="O4" s="21">
        <f>'[3]Charter Misc'!$FY$32+[3]Ryan!$FY$32+[3]Omni!$FY$32</f>
        <v>0</v>
      </c>
      <c r="P4" s="281">
        <f>SUM(B4:O4)</f>
        <v>97051</v>
      </c>
    </row>
    <row r="5" spans="1:16" x14ac:dyDescent="0.2">
      <c r="A5" s="62" t="s">
        <v>31</v>
      </c>
      <c r="B5" s="14">
        <f>[3]Delta!$FY$33</f>
        <v>67853</v>
      </c>
      <c r="C5" s="14">
        <f>'[3]Atlantic Southeast'!$FY$33</f>
        <v>0</v>
      </c>
      <c r="D5" s="14">
        <f>[3]Pinnacle!$FY$33</f>
        <v>3410</v>
      </c>
      <c r="E5" s="14">
        <f>[3]Compass!$FY$33</f>
        <v>0</v>
      </c>
      <c r="F5" s="14">
        <f>'[3]Sky West'!$FY$33</f>
        <v>14491</v>
      </c>
      <c r="G5" s="14">
        <f>'[3]Go Jet'!$FY$33</f>
        <v>1016</v>
      </c>
      <c r="H5" s="14">
        <f>'[3]Sun Country'!$FY$33</f>
        <v>13771</v>
      </c>
      <c r="I5" s="14">
        <f>[3]Icelandair!$FY$33</f>
        <v>2178</v>
      </c>
      <c r="J5" s="14">
        <f>[3]KLM!$FY$33</f>
        <v>4254</v>
      </c>
      <c r="K5" s="14">
        <f>'[3]Air Georgian'!$FY$33</f>
        <v>0</v>
      </c>
      <c r="L5" s="14">
        <f>'[3]Sky Regional'!$FY$33</f>
        <v>4316</v>
      </c>
      <c r="M5" s="14">
        <f>[3]Condor!$FY$33</f>
        <v>0</v>
      </c>
      <c r="N5" s="14">
        <f>'[3]Air France'!$FY$33</f>
        <v>0</v>
      </c>
      <c r="O5" s="14">
        <f>'[3]Charter Misc'!$FY$33++[3]Ryan!$FY$33+[3]Omni!$FY$33</f>
        <v>0</v>
      </c>
      <c r="P5" s="282">
        <f>SUM(B5:O5)</f>
        <v>111289</v>
      </c>
    </row>
    <row r="6" spans="1:16" ht="15" x14ac:dyDescent="0.25">
      <c r="A6" s="60" t="s">
        <v>7</v>
      </c>
      <c r="B6" s="34">
        <f t="shared" ref="B6:O6" si="0">SUM(B4:B5)</f>
        <v>127508</v>
      </c>
      <c r="C6" s="34">
        <f t="shared" si="0"/>
        <v>0</v>
      </c>
      <c r="D6" s="34">
        <f t="shared" si="0"/>
        <v>6803</v>
      </c>
      <c r="E6" s="34">
        <f t="shared" si="0"/>
        <v>0</v>
      </c>
      <c r="F6" s="34">
        <f t="shared" si="0"/>
        <v>28546</v>
      </c>
      <c r="G6" s="34">
        <f t="shared" ref="G6" si="1">SUM(G4:G5)</f>
        <v>1907</v>
      </c>
      <c r="H6" s="34">
        <f t="shared" si="0"/>
        <v>22172</v>
      </c>
      <c r="I6" s="34">
        <f t="shared" si="0"/>
        <v>4299</v>
      </c>
      <c r="J6" s="34">
        <f t="shared" ref="J6" si="2">SUM(J4:J5)</f>
        <v>8481</v>
      </c>
      <c r="K6" s="34">
        <f t="shared" si="0"/>
        <v>0</v>
      </c>
      <c r="L6" s="34">
        <f t="shared" ref="L6" si="3">SUM(L4:L5)</f>
        <v>8624</v>
      </c>
      <c r="M6" s="34">
        <f t="shared" ref="M6" si="4">SUM(M4:M5)</f>
        <v>0</v>
      </c>
      <c r="N6" s="34">
        <f t="shared" si="0"/>
        <v>0</v>
      </c>
      <c r="O6" s="34">
        <f t="shared" si="0"/>
        <v>0</v>
      </c>
      <c r="P6" s="283">
        <f>SUM(B6:O6)</f>
        <v>208340</v>
      </c>
    </row>
    <row r="7" spans="1:16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81"/>
    </row>
    <row r="8" spans="1:16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81">
        <f>SUM(B8:O8)</f>
        <v>0</v>
      </c>
    </row>
    <row r="9" spans="1:16" x14ac:dyDescent="0.2">
      <c r="A9" s="62" t="s">
        <v>30</v>
      </c>
      <c r="B9" s="21">
        <f>[3]Delta!$FY$37</f>
        <v>1930</v>
      </c>
      <c r="C9" s="21">
        <f>'[3]Atlantic Southeast'!$FY$37</f>
        <v>0</v>
      </c>
      <c r="D9" s="21">
        <f>[3]Pinnacle!$FY$37</f>
        <v>64</v>
      </c>
      <c r="E9" s="21">
        <f>[3]Compass!$FY$37</f>
        <v>0</v>
      </c>
      <c r="F9" s="21">
        <f>'[3]Sky West'!$FY$37</f>
        <v>182</v>
      </c>
      <c r="G9" s="21">
        <f>'[3]Go Jet'!$FY$37</f>
        <v>18</v>
      </c>
      <c r="H9" s="21">
        <f>'[3]Sun Country'!$FY$37</f>
        <v>52</v>
      </c>
      <c r="I9" s="21">
        <f>[3]Icelandair!$FY$37</f>
        <v>57</v>
      </c>
      <c r="J9" s="21">
        <f>[3]KLM!$FY$37</f>
        <v>0</v>
      </c>
      <c r="K9" s="21">
        <f>'[3]Air Georgian'!$FY$37</f>
        <v>0</v>
      </c>
      <c r="L9" s="21">
        <f>'[3]Sky Regional'!$FY$37</f>
        <v>62</v>
      </c>
      <c r="M9" s="21">
        <f>[3]Condor!$FY$37</f>
        <v>0</v>
      </c>
      <c r="N9" s="21">
        <f>'[3]Air France'!$FY$37</f>
        <v>0</v>
      </c>
      <c r="O9" s="21">
        <f>'[3]Charter Misc'!$FY$37+[3]Ryan!$FY$37+[3]Omni!$FY$37</f>
        <v>0</v>
      </c>
      <c r="P9" s="281">
        <f>SUM(B9:O9)</f>
        <v>2365</v>
      </c>
    </row>
    <row r="10" spans="1:16" x14ac:dyDescent="0.2">
      <c r="A10" s="62" t="s">
        <v>33</v>
      </c>
      <c r="B10" s="14">
        <f>[3]Delta!$FY$38</f>
        <v>2145</v>
      </c>
      <c r="C10" s="14">
        <f>'[3]Atlantic Southeast'!$FY$38</f>
        <v>0</v>
      </c>
      <c r="D10" s="14">
        <f>[3]Pinnacle!$FY$38</f>
        <v>70</v>
      </c>
      <c r="E10" s="14">
        <f>[3]Compass!$FY$38</f>
        <v>0</v>
      </c>
      <c r="F10" s="14">
        <f>'[3]Sky West'!$FY$38</f>
        <v>186</v>
      </c>
      <c r="G10" s="14">
        <f>'[3]Go Jet'!$FY$38</f>
        <v>9</v>
      </c>
      <c r="H10" s="14">
        <f>'[3]Sun Country'!$FY$38</f>
        <v>61</v>
      </c>
      <c r="I10" s="14">
        <f>[3]Icelandair!$FY$38</f>
        <v>65</v>
      </c>
      <c r="J10" s="14">
        <f>[3]KLM!$FY$38</f>
        <v>0</v>
      </c>
      <c r="K10" s="14">
        <f>'[3]Air Georgian'!$FY$38</f>
        <v>0</v>
      </c>
      <c r="L10" s="14">
        <f>'[3]Sky Regional'!$FY$38</f>
        <v>50</v>
      </c>
      <c r="M10" s="14">
        <f>[3]Condor!$FY$38</f>
        <v>0</v>
      </c>
      <c r="N10" s="14">
        <f>'[3]Air France'!$FY$38</f>
        <v>0</v>
      </c>
      <c r="O10" s="14">
        <f>'[3]Charter Misc'!$FY$38+[3]Ryan!$FY$38+[3]Omni!$FY$38</f>
        <v>0</v>
      </c>
      <c r="P10" s="282">
        <f>SUM(B10:O10)</f>
        <v>2586</v>
      </c>
    </row>
    <row r="11" spans="1:16" ht="15.75" thickBot="1" x14ac:dyDescent="0.3">
      <c r="A11" s="63" t="s">
        <v>34</v>
      </c>
      <c r="B11" s="284">
        <f t="shared" ref="B11:H11" si="5">SUM(B9:B10)</f>
        <v>4075</v>
      </c>
      <c r="C11" s="284">
        <f t="shared" si="5"/>
        <v>0</v>
      </c>
      <c r="D11" s="284">
        <f t="shared" si="5"/>
        <v>134</v>
      </c>
      <c r="E11" s="284">
        <f t="shared" si="5"/>
        <v>0</v>
      </c>
      <c r="F11" s="284">
        <f t="shared" si="5"/>
        <v>368</v>
      </c>
      <c r="G11" s="284">
        <f t="shared" ref="G11" si="6">SUM(G9:G10)</f>
        <v>27</v>
      </c>
      <c r="H11" s="284">
        <f t="shared" si="5"/>
        <v>113</v>
      </c>
      <c r="I11" s="284">
        <f t="shared" ref="I11:O11" si="7">SUM(I9:I10)</f>
        <v>122</v>
      </c>
      <c r="J11" s="284">
        <f t="shared" ref="J11" si="8">SUM(J9:J10)</f>
        <v>0</v>
      </c>
      <c r="K11" s="284">
        <f t="shared" si="7"/>
        <v>0</v>
      </c>
      <c r="L11" s="284">
        <f t="shared" ref="L11" si="9">SUM(L9:L10)</f>
        <v>112</v>
      </c>
      <c r="M11" s="284">
        <f t="shared" si="7"/>
        <v>0</v>
      </c>
      <c r="N11" s="284">
        <f t="shared" si="7"/>
        <v>0</v>
      </c>
      <c r="O11" s="284">
        <f t="shared" si="7"/>
        <v>0</v>
      </c>
      <c r="P11" s="285">
        <f>SUM(B11:O11)</f>
        <v>4951</v>
      </c>
    </row>
    <row r="12" spans="1:16" ht="15" x14ac:dyDescent="0.25">
      <c r="A12" s="383"/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80"/>
    </row>
    <row r="13" spans="1:16" ht="39" thickBot="1" x14ac:dyDescent="0.25">
      <c r="B13" s="12" t="s">
        <v>18</v>
      </c>
      <c r="C13" s="499" t="s">
        <v>222</v>
      </c>
      <c r="D13" s="423" t="s">
        <v>163</v>
      </c>
      <c r="E13" s="12" t="s">
        <v>120</v>
      </c>
      <c r="F13" s="12" t="s">
        <v>100</v>
      </c>
      <c r="G13" s="272" t="s">
        <v>169</v>
      </c>
      <c r="H13" s="12" t="s">
        <v>142</v>
      </c>
      <c r="I13" s="12" t="s">
        <v>116</v>
      </c>
      <c r="J13" s="272" t="s">
        <v>216</v>
      </c>
      <c r="K13" s="272" t="s">
        <v>210</v>
      </c>
      <c r="L13" s="272" t="s">
        <v>223</v>
      </c>
      <c r="M13" s="272" t="s">
        <v>168</v>
      </c>
      <c r="N13" s="12" t="s">
        <v>162</v>
      </c>
      <c r="O13" s="12" t="s">
        <v>143</v>
      </c>
      <c r="P13" s="272" t="s">
        <v>145</v>
      </c>
    </row>
    <row r="14" spans="1:16" ht="15" x14ac:dyDescent="0.25">
      <c r="A14" s="557" t="s">
        <v>146</v>
      </c>
      <c r="B14" s="558"/>
      <c r="C14" s="558"/>
      <c r="D14" s="558"/>
      <c r="E14" s="558"/>
      <c r="F14" s="558"/>
      <c r="G14" s="558"/>
      <c r="H14" s="558"/>
      <c r="I14" s="558"/>
      <c r="J14" s="558"/>
      <c r="K14" s="558"/>
      <c r="L14" s="558"/>
      <c r="M14" s="558"/>
      <c r="N14" s="558"/>
      <c r="O14" s="558"/>
      <c r="P14" s="559"/>
    </row>
    <row r="15" spans="1:16" x14ac:dyDescent="0.2">
      <c r="A15" s="62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5"/>
    </row>
    <row r="16" spans="1:16" x14ac:dyDescent="0.2">
      <c r="A16" s="62" t="s">
        <v>30</v>
      </c>
      <c r="B16" s="21">
        <f>SUM([3]Delta!$FN$32:$FY$32)</f>
        <v>943317</v>
      </c>
      <c r="C16" s="21">
        <f>SUM('[3]Atlantic Southeast'!$FN$32:$FY$32)</f>
        <v>2369</v>
      </c>
      <c r="D16" s="21">
        <f>SUM([3]Pinnacle!$FN$32:$FY$32)</f>
        <v>49853</v>
      </c>
      <c r="E16" s="21">
        <f>SUM([3]Compass!$FN$32:$FY$32)</f>
        <v>0</v>
      </c>
      <c r="F16" s="21">
        <f>SUM('[3]Sky West'!$FN$32:$FY$32)</f>
        <v>135478</v>
      </c>
      <c r="G16" s="21">
        <f>SUM('[3]Go Jet'!$FN$32:$FY$32)</f>
        <v>23552</v>
      </c>
      <c r="H16" s="21">
        <f>SUM('[3]Sun Country'!$FN$32:$FY$32)</f>
        <v>138826</v>
      </c>
      <c r="I16" s="21">
        <f>SUM([3]Icelandair!$FN$32:$FY$32)</f>
        <v>45032</v>
      </c>
      <c r="J16" s="21">
        <f>SUM([3]KLM!$FN$32:$FY$32)</f>
        <v>46059</v>
      </c>
      <c r="K16" s="21">
        <f>SUM('[3]Air Georgian'!$FN$32:$FY$32)</f>
        <v>0</v>
      </c>
      <c r="L16" s="21">
        <f>SUM('[3]Sky Regional'!$FN$32:$FY$32)</f>
        <v>59914</v>
      </c>
      <c r="M16" s="21">
        <f>SUM([3]Condor!$FN$32:$FY$32)</f>
        <v>14023</v>
      </c>
      <c r="N16" s="21">
        <f>SUM('[3]Air France'!$FN$32:$FY$32)</f>
        <v>29502</v>
      </c>
      <c r="O16" s="21">
        <f>SUM('[3]Charter Misc'!$FN$32:$FY$32)+SUM([3]Ryan!$FN$32:$FY$32)+SUM([3]Omni!$FN$32:$FY$32)</f>
        <v>37</v>
      </c>
      <c r="P16" s="281">
        <f>SUM(B16:O16)</f>
        <v>1487962</v>
      </c>
    </row>
    <row r="17" spans="1:19" x14ac:dyDescent="0.2">
      <c r="A17" s="62" t="s">
        <v>31</v>
      </c>
      <c r="B17" s="14">
        <f>SUM([3]Delta!$FN$33:$FY$33)</f>
        <v>930633</v>
      </c>
      <c r="C17" s="14">
        <f>SUM('[3]Atlantic Southeast'!$FN$33:$FY$33)</f>
        <v>3166</v>
      </c>
      <c r="D17" s="14">
        <f>SUM([3]Pinnacle!$FN$33:$FY$33)</f>
        <v>50472</v>
      </c>
      <c r="E17" s="14">
        <f>SUM([3]Compass!$FN$33:$FY$33)</f>
        <v>0</v>
      </c>
      <c r="F17" s="14">
        <f>SUM('[3]Sky West'!$FN$33:$FY$33)</f>
        <v>137769</v>
      </c>
      <c r="G17" s="14">
        <f>SUM('[3]Go Jet'!$FN$33:$FY$33)</f>
        <v>22624</v>
      </c>
      <c r="H17" s="14">
        <f>SUM('[3]Sun Country'!$FN$33:$FY$33)</f>
        <v>138823</v>
      </c>
      <c r="I17" s="14">
        <f>SUM([3]Icelandair!$FN$33:$FY$33)</f>
        <v>45826</v>
      </c>
      <c r="J17" s="14">
        <f>SUM([3]KLM!$FN$33:$FY$33)</f>
        <v>41408</v>
      </c>
      <c r="K17" s="14">
        <f>SUM('[3]Air Georgian'!$FN$33:$FY$33)</f>
        <v>0</v>
      </c>
      <c r="L17" s="14">
        <f>SUM('[3]Sky Regional'!$FN$33:$FY$33)</f>
        <v>58227</v>
      </c>
      <c r="M17" s="14">
        <f>SUM([3]Condor!$FN$33:$FY$33)</f>
        <v>14817</v>
      </c>
      <c r="N17" s="14">
        <f>SUM('[3]Air France'!$FN$33:$FY$33)</f>
        <v>26538</v>
      </c>
      <c r="O17" s="14">
        <f>SUM('[3]Charter Misc'!$FN$33:$FY$33)++SUM([3]Ryan!$FN$33:$FY$33)+SUM([3]Omni!$FN$33:$FY$33)</f>
        <v>0</v>
      </c>
      <c r="P17" s="282">
        <f>SUM(B17:O17)</f>
        <v>1470303</v>
      </c>
    </row>
    <row r="18" spans="1:19" ht="15" x14ac:dyDescent="0.25">
      <c r="A18" s="60" t="s">
        <v>7</v>
      </c>
      <c r="B18" s="34">
        <f t="shared" ref="B18:O18" si="10">SUM(B16:B17)</f>
        <v>1873950</v>
      </c>
      <c r="C18" s="34">
        <f t="shared" si="10"/>
        <v>5535</v>
      </c>
      <c r="D18" s="34">
        <f t="shared" si="10"/>
        <v>100325</v>
      </c>
      <c r="E18" s="34">
        <f t="shared" si="10"/>
        <v>0</v>
      </c>
      <c r="F18" s="34">
        <f t="shared" si="10"/>
        <v>273247</v>
      </c>
      <c r="G18" s="34">
        <f t="shared" ref="G18" si="11">SUM(G16:G17)</f>
        <v>46176</v>
      </c>
      <c r="H18" s="34">
        <f t="shared" si="10"/>
        <v>277649</v>
      </c>
      <c r="I18" s="34">
        <f t="shared" si="10"/>
        <v>90858</v>
      </c>
      <c r="J18" s="34">
        <f t="shared" ref="J18" si="12">SUM(J16:J17)</f>
        <v>87467</v>
      </c>
      <c r="K18" s="34">
        <f t="shared" si="10"/>
        <v>0</v>
      </c>
      <c r="L18" s="34">
        <f t="shared" ref="L18" si="13">SUM(L16:L17)</f>
        <v>118141</v>
      </c>
      <c r="M18" s="34">
        <f t="shared" ref="M18" si="14">SUM(M16:M17)</f>
        <v>28840</v>
      </c>
      <c r="N18" s="34">
        <f t="shared" si="10"/>
        <v>56040</v>
      </c>
      <c r="O18" s="34">
        <f t="shared" si="10"/>
        <v>37</v>
      </c>
      <c r="P18" s="283">
        <f>SUM(B18:O18)</f>
        <v>2958265</v>
      </c>
      <c r="S18" s="309"/>
    </row>
    <row r="19" spans="1:19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81"/>
      <c r="S19" s="130"/>
    </row>
    <row r="20" spans="1:19" x14ac:dyDescent="0.2">
      <c r="A20" s="62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81">
        <f>SUM(B20:O20)</f>
        <v>0</v>
      </c>
    </row>
    <row r="21" spans="1:19" x14ac:dyDescent="0.2">
      <c r="A21" s="62" t="s">
        <v>30</v>
      </c>
      <c r="B21" s="21">
        <f>SUM([3]Delta!$FN$37:$FY$37)</f>
        <v>43913</v>
      </c>
      <c r="C21" s="21">
        <f>SUM('[3]Atlantic Southeast'!$FN$37:$FY$37)</f>
        <v>48</v>
      </c>
      <c r="D21" s="21">
        <f>SUM([3]Pinnacle!$FN$37:$FY$37)</f>
        <v>833</v>
      </c>
      <c r="E21" s="21">
        <f>SUM([3]Compass!$FN$37:$FY$37)</f>
        <v>0</v>
      </c>
      <c r="F21" s="21">
        <f>SUM('[3]Sky West'!$FN$37:$FY$37)</f>
        <v>1436</v>
      </c>
      <c r="G21" s="21">
        <f>SUM('[3]Go Jet'!$FN$37:$FY$37)</f>
        <v>375</v>
      </c>
      <c r="H21" s="21">
        <f>SUM('[3]Sun Country'!$FN$37:$FY$37)</f>
        <v>888</v>
      </c>
      <c r="I21" s="21">
        <f>SUM([3]Icelandair!$FN$37:$FY$37)</f>
        <v>723</v>
      </c>
      <c r="J21" s="21">
        <f>SUM([3]KLM!$FN$37:$FY$37)</f>
        <v>259</v>
      </c>
      <c r="K21" s="21">
        <f>SUM('[3]Air Georgian'!$FN$37:$FY$37)</f>
        <v>0</v>
      </c>
      <c r="L21" s="21">
        <f>SUM('[3]Sky Regional'!$FN$37:$FY$37)</f>
        <v>692</v>
      </c>
      <c r="M21" s="21">
        <f>SUM([3]Condor!$FN$37:$FY$37)</f>
        <v>18</v>
      </c>
      <c r="N21" s="21">
        <f>SUM('[3]Air France'!$FN$37:$FY$37)</f>
        <v>61</v>
      </c>
      <c r="O21" s="21">
        <f>SUM('[3]Charter Misc'!$FN$37:$FY$37)++SUM([3]Ryan!$FN$37:$FY$37)+SUM([3]Omni!$FN$37:$FY$37)</f>
        <v>0</v>
      </c>
      <c r="P21" s="281">
        <f>SUM(B21:O21)</f>
        <v>49246</v>
      </c>
    </row>
    <row r="22" spans="1:19" x14ac:dyDescent="0.2">
      <c r="A22" s="62" t="s">
        <v>33</v>
      </c>
      <c r="B22" s="14">
        <f>SUM([3]Delta!$FN$38:$FY$38)</f>
        <v>25866</v>
      </c>
      <c r="C22" s="14">
        <f>SUM('[3]Atlantic Southeast'!$FN$38:$FY$38)</f>
        <v>35</v>
      </c>
      <c r="D22" s="14">
        <f>SUM([3]Pinnacle!$FN$38:$FY$38)</f>
        <v>891</v>
      </c>
      <c r="E22" s="14">
        <f>SUM([3]Compass!$FN$38:$FY$38)</f>
        <v>0</v>
      </c>
      <c r="F22" s="14">
        <f>SUM('[3]Sky West'!$FN$38:$FY$38)</f>
        <v>1426</v>
      </c>
      <c r="G22" s="14">
        <f>SUM('[3]Go Jet'!$FN$38:$FY$38)</f>
        <v>395</v>
      </c>
      <c r="H22" s="14">
        <f>SUM('[3]Sun Country'!$FN$38:$FY$38)</f>
        <v>1074</v>
      </c>
      <c r="I22" s="14">
        <f>SUM([3]Icelandair!$FN$38:$FY$38)</f>
        <v>771</v>
      </c>
      <c r="J22" s="14">
        <f>SUM([3]KLM!$FN$38:$FY$38)</f>
        <v>222</v>
      </c>
      <c r="K22" s="14">
        <f>SUM('[3]Air Georgian'!$FN$38:$FY$38)</f>
        <v>0</v>
      </c>
      <c r="L22" s="14">
        <f>SUM('[3]Sky Regional'!$FN$38:$FY$38)</f>
        <v>721</v>
      </c>
      <c r="M22" s="14">
        <f>SUM([3]Condor!$FN$38:$FY$38)</f>
        <v>19</v>
      </c>
      <c r="N22" s="14">
        <f>SUM('[3]Air France'!$FN$38:$FY$38)</f>
        <v>50</v>
      </c>
      <c r="O22" s="14">
        <f>SUM('[3]Charter Misc'!$FN$38:$FY$38)++SUM([3]Ryan!$FN$38:$FY$38)+SUM([3]Omni!$FN$38:$FY$38)</f>
        <v>0</v>
      </c>
      <c r="P22" s="282">
        <f>SUM(B22:O22)</f>
        <v>31470</v>
      </c>
    </row>
    <row r="23" spans="1:19" ht="15.75" thickBot="1" x14ac:dyDescent="0.3">
      <c r="A23" s="63" t="s">
        <v>34</v>
      </c>
      <c r="B23" s="284">
        <f t="shared" ref="B23:O23" si="15">SUM(B21:B22)</f>
        <v>69779</v>
      </c>
      <c r="C23" s="284">
        <f t="shared" si="15"/>
        <v>83</v>
      </c>
      <c r="D23" s="284">
        <f t="shared" si="15"/>
        <v>1724</v>
      </c>
      <c r="E23" s="284">
        <f t="shared" si="15"/>
        <v>0</v>
      </c>
      <c r="F23" s="284">
        <f t="shared" si="15"/>
        <v>2862</v>
      </c>
      <c r="G23" s="284">
        <f t="shared" ref="G23" si="16">SUM(G21:G22)</f>
        <v>770</v>
      </c>
      <c r="H23" s="284">
        <f t="shared" si="15"/>
        <v>1962</v>
      </c>
      <c r="I23" s="284">
        <f t="shared" si="15"/>
        <v>1494</v>
      </c>
      <c r="J23" s="284">
        <f t="shared" ref="J23" si="17">SUM(J21:J22)</f>
        <v>481</v>
      </c>
      <c r="K23" s="284">
        <f t="shared" si="15"/>
        <v>0</v>
      </c>
      <c r="L23" s="284">
        <f t="shared" ref="L23" si="18">SUM(L21:L22)</f>
        <v>1413</v>
      </c>
      <c r="M23" s="284">
        <f t="shared" ref="M23" si="19">SUM(M21:M22)</f>
        <v>37</v>
      </c>
      <c r="N23" s="284">
        <f t="shared" si="15"/>
        <v>111</v>
      </c>
      <c r="O23" s="284">
        <f t="shared" si="15"/>
        <v>0</v>
      </c>
      <c r="P23" s="285">
        <f>SUM(B23:O23)</f>
        <v>80716</v>
      </c>
    </row>
    <row r="25" spans="1:19" ht="39" thickBot="1" x14ac:dyDescent="0.25">
      <c r="B25" s="12" t="s">
        <v>18</v>
      </c>
      <c r="C25" s="499" t="s">
        <v>222</v>
      </c>
      <c r="D25" s="423" t="s">
        <v>163</v>
      </c>
      <c r="E25" s="12" t="s">
        <v>120</v>
      </c>
      <c r="F25" s="12" t="s">
        <v>100</v>
      </c>
      <c r="G25" s="272" t="s">
        <v>169</v>
      </c>
      <c r="H25" s="12" t="s">
        <v>142</v>
      </c>
      <c r="I25" s="12" t="s">
        <v>116</v>
      </c>
      <c r="J25" s="272" t="s">
        <v>216</v>
      </c>
      <c r="K25" s="272" t="s">
        <v>210</v>
      </c>
      <c r="L25" s="272" t="s">
        <v>223</v>
      </c>
      <c r="M25" s="272" t="s">
        <v>168</v>
      </c>
      <c r="N25" s="12" t="s">
        <v>162</v>
      </c>
      <c r="O25" s="12" t="s">
        <v>143</v>
      </c>
      <c r="P25" s="272" t="s">
        <v>21</v>
      </c>
    </row>
    <row r="26" spans="1:19" ht="15" x14ac:dyDescent="0.25">
      <c r="A26" s="560" t="s">
        <v>147</v>
      </c>
      <c r="B26" s="561"/>
      <c r="C26" s="561"/>
      <c r="D26" s="561"/>
      <c r="E26" s="561"/>
      <c r="F26" s="561"/>
      <c r="G26" s="561"/>
      <c r="H26" s="561"/>
      <c r="I26" s="561"/>
      <c r="J26" s="561"/>
      <c r="K26" s="561"/>
      <c r="L26" s="561"/>
      <c r="M26" s="561"/>
      <c r="N26" s="561"/>
      <c r="O26" s="561"/>
      <c r="P26" s="562"/>
    </row>
    <row r="27" spans="1:19" x14ac:dyDescent="0.2">
      <c r="A27" s="62" t="s">
        <v>22</v>
      </c>
      <c r="B27" s="21">
        <f>[3]Delta!$FY$15</f>
        <v>432</v>
      </c>
      <c r="C27" s="21">
        <f>'[3]Atlantic Southeast'!$FY$15</f>
        <v>0</v>
      </c>
      <c r="D27" s="21">
        <f>[3]Pinnacle!$FY$15</f>
        <v>54</v>
      </c>
      <c r="E27" s="21">
        <f>[3]Compass!$FY$15</f>
        <v>0</v>
      </c>
      <c r="F27" s="21">
        <f>'[3]Sky West'!$FY$15</f>
        <v>234</v>
      </c>
      <c r="G27" s="21">
        <f>'[3]Go Jet'!$FY$15</f>
        <v>18</v>
      </c>
      <c r="H27" s="21">
        <f>'[3]Sun Country'!$FY$15</f>
        <v>83</v>
      </c>
      <c r="I27" s="21">
        <f>[3]Icelandair!$FY$15</f>
        <v>16</v>
      </c>
      <c r="J27" s="21">
        <f>[3]KLM!$FY$15</f>
        <v>18</v>
      </c>
      <c r="K27" s="21">
        <f>'[3]Air Georgian'!$FY$15</f>
        <v>0</v>
      </c>
      <c r="L27" s="21">
        <f>'[3]Sky Regional'!$FY$15</f>
        <v>87</v>
      </c>
      <c r="M27" s="21">
        <f>[3]Condor!$FY$15</f>
        <v>0</v>
      </c>
      <c r="N27" s="21">
        <f>'[3]Air France'!$FY$15</f>
        <v>0</v>
      </c>
      <c r="O27" s="21">
        <f>'[3]Charter Misc'!$FY$15+[3]Ryan!$FY$15+[3]Omni!$FY$15</f>
        <v>0</v>
      </c>
      <c r="P27" s="281">
        <f>SUM(B27:O27)</f>
        <v>942</v>
      </c>
    </row>
    <row r="28" spans="1:19" x14ac:dyDescent="0.2">
      <c r="A28" s="62" t="s">
        <v>23</v>
      </c>
      <c r="B28" s="21">
        <f>[3]Delta!$FY$16</f>
        <v>427</v>
      </c>
      <c r="C28" s="21">
        <f>'[3]Atlantic Southeast'!$FY$16</f>
        <v>0</v>
      </c>
      <c r="D28" s="21">
        <f>[3]Pinnacle!$FY$16</f>
        <v>56</v>
      </c>
      <c r="E28" s="21">
        <f>[3]Compass!$FY$16</f>
        <v>0</v>
      </c>
      <c r="F28" s="21">
        <f>'[3]Sky West'!$FY$16</f>
        <v>238</v>
      </c>
      <c r="G28" s="21">
        <f>'[3]Go Jet'!$FY$16</f>
        <v>17</v>
      </c>
      <c r="H28" s="21">
        <f>'[3]Sun Country'!$FY$16</f>
        <v>90</v>
      </c>
      <c r="I28" s="21">
        <f>[3]Icelandair!$FY$16</f>
        <v>16</v>
      </c>
      <c r="J28" s="21">
        <f>[3]KLM!$FY$16</f>
        <v>18</v>
      </c>
      <c r="K28" s="21">
        <f>'[3]Air Georgian'!$FY$16</f>
        <v>0</v>
      </c>
      <c r="L28" s="21">
        <f>'[3]Sky Regional'!$FY$16</f>
        <v>87</v>
      </c>
      <c r="M28" s="21">
        <f>[3]Condor!$FY$16</f>
        <v>0</v>
      </c>
      <c r="N28" s="21">
        <f>'[3]Air France'!$FY$16</f>
        <v>0</v>
      </c>
      <c r="O28" s="21">
        <f>'[3]Charter Misc'!$FY$16+[3]Ryan!$FY$16+[3]Omni!$FY$16</f>
        <v>0</v>
      </c>
      <c r="P28" s="281">
        <f>SUM(B28:O28)</f>
        <v>949</v>
      </c>
    </row>
    <row r="29" spans="1:19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81"/>
    </row>
    <row r="30" spans="1:19" ht="15.75" thickBot="1" x14ac:dyDescent="0.3">
      <c r="A30" s="63" t="s">
        <v>28</v>
      </c>
      <c r="B30" s="381">
        <f t="shared" ref="B30:K30" si="20">SUM(B27:B28)</f>
        <v>859</v>
      </c>
      <c r="C30" s="381">
        <f t="shared" si="20"/>
        <v>0</v>
      </c>
      <c r="D30" s="381">
        <f t="shared" si="20"/>
        <v>110</v>
      </c>
      <c r="E30" s="381">
        <f t="shared" si="20"/>
        <v>0</v>
      </c>
      <c r="F30" s="381">
        <f>SUM(F27:F28)</f>
        <v>472</v>
      </c>
      <c r="G30" s="381">
        <f>SUM(G27:G28)</f>
        <v>35</v>
      </c>
      <c r="H30" s="381">
        <f t="shared" si="20"/>
        <v>173</v>
      </c>
      <c r="I30" s="381">
        <f t="shared" si="20"/>
        <v>32</v>
      </c>
      <c r="J30" s="381">
        <f t="shared" ref="J30" si="21">SUM(J27:J28)</f>
        <v>36</v>
      </c>
      <c r="K30" s="381">
        <f t="shared" si="20"/>
        <v>0</v>
      </c>
      <c r="L30" s="381">
        <f t="shared" ref="L30" si="22">SUM(L27:L28)</f>
        <v>174</v>
      </c>
      <c r="M30" s="381">
        <f>SUM(M27:M28)</f>
        <v>0</v>
      </c>
      <c r="N30" s="381">
        <f>SUM(N27:N28)</f>
        <v>0</v>
      </c>
      <c r="O30" s="381">
        <f>SUM(O27:O28)</f>
        <v>0</v>
      </c>
      <c r="P30" s="382">
        <f>SUM(B30:O30)</f>
        <v>1891</v>
      </c>
    </row>
    <row r="31" spans="1:19" ht="15" x14ac:dyDescent="0.25">
      <c r="A31" s="383"/>
    </row>
    <row r="32" spans="1:19" ht="39" thickBot="1" x14ac:dyDescent="0.25">
      <c r="B32" s="12" t="s">
        <v>18</v>
      </c>
      <c r="C32" s="499" t="s">
        <v>222</v>
      </c>
      <c r="D32" s="423" t="s">
        <v>163</v>
      </c>
      <c r="E32" s="12" t="s">
        <v>120</v>
      </c>
      <c r="F32" s="12" t="s">
        <v>100</v>
      </c>
      <c r="G32" s="272" t="s">
        <v>169</v>
      </c>
      <c r="H32" s="12" t="s">
        <v>142</v>
      </c>
      <c r="I32" s="12" t="s">
        <v>116</v>
      </c>
      <c r="J32" s="272" t="s">
        <v>216</v>
      </c>
      <c r="K32" s="272" t="s">
        <v>210</v>
      </c>
      <c r="L32" s="272" t="s">
        <v>223</v>
      </c>
      <c r="M32" s="272" t="s">
        <v>168</v>
      </c>
      <c r="N32" s="12" t="s">
        <v>162</v>
      </c>
      <c r="O32" s="12" t="s">
        <v>143</v>
      </c>
      <c r="P32" s="272" t="s">
        <v>145</v>
      </c>
    </row>
    <row r="33" spans="1:16" ht="15" x14ac:dyDescent="0.25">
      <c r="A33" s="563" t="s">
        <v>148</v>
      </c>
      <c r="B33" s="564"/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5"/>
    </row>
    <row r="34" spans="1:16" x14ac:dyDescent="0.2">
      <c r="A34" s="62" t="s">
        <v>22</v>
      </c>
      <c r="B34" s="21">
        <f>SUM([3]Delta!$FN$15:$FY$15)</f>
        <v>5795</v>
      </c>
      <c r="C34" s="21">
        <f>SUM('[3]Atlantic Southeast'!$FN$15:$FY$15)</f>
        <v>45</v>
      </c>
      <c r="D34" s="21">
        <f>SUM([3]Pinnacle!$FN$15:$FY$15)</f>
        <v>775</v>
      </c>
      <c r="E34" s="21">
        <f>SUM([3]Compass!$FN$15:$FY$15)</f>
        <v>1</v>
      </c>
      <c r="F34" s="21">
        <f>SUM('[3]Sky West'!$FN$15:$FY$15)</f>
        <v>2171</v>
      </c>
      <c r="G34" s="21">
        <f>SUM('[3]Go Jet'!$FN$15:$FY$15)</f>
        <v>373</v>
      </c>
      <c r="H34" s="21">
        <f>SUM('[3]Sun Country'!$FN$15:$FY$15)</f>
        <v>1155</v>
      </c>
      <c r="I34" s="21">
        <f>SUM([3]Icelandair!$FN$15:$FY$15)</f>
        <v>315</v>
      </c>
      <c r="J34" s="21">
        <f>SUM([3]KLM!$FN$15:$FY$15)</f>
        <v>188</v>
      </c>
      <c r="K34" s="21">
        <f>SUM('[3]Air Georgian'!$FN$15:$FY$15)</f>
        <v>0</v>
      </c>
      <c r="L34" s="21">
        <f>SUM('[3]Sky Regional'!$FN$15:$FY$15)</f>
        <v>1040</v>
      </c>
      <c r="M34" s="21">
        <f>SUM([3]Condor!$FN$15:$FY$15)</f>
        <v>59</v>
      </c>
      <c r="N34" s="21">
        <f>SUM('[3]Air France'!$FN$15:$FY$15)</f>
        <v>126</v>
      </c>
      <c r="O34" s="21">
        <f>SUM('[3]Charter Misc'!$FN$15:$FY$15)+SUM([3]Ryan!$FN$15:$FY$15)+SUM([3]Omni!$FN$15:$FY$15)</f>
        <v>0</v>
      </c>
      <c r="P34" s="281">
        <f>SUM(B34:O34)</f>
        <v>12043</v>
      </c>
    </row>
    <row r="35" spans="1:16" x14ac:dyDescent="0.2">
      <c r="A35" s="62" t="s">
        <v>23</v>
      </c>
      <c r="B35" s="21">
        <f>SUM([3]Delta!$FN$16:$FY$16)</f>
        <v>5812</v>
      </c>
      <c r="C35" s="21">
        <f>SUM('[3]Atlantic Southeast'!$FN$16:$FY$16)</f>
        <v>54</v>
      </c>
      <c r="D35" s="21">
        <f>SUM([3]Pinnacle!$FN$16:$FY$16)</f>
        <v>777</v>
      </c>
      <c r="E35" s="21">
        <f>SUM([3]Compass!$FN$16:$FY$16)</f>
        <v>0</v>
      </c>
      <c r="F35" s="21">
        <f>SUM('[3]Sky West'!$FN$16:$FY$16)</f>
        <v>2182</v>
      </c>
      <c r="G35" s="21">
        <f>SUM('[3]Go Jet'!$FN$16:$FY$16)</f>
        <v>366</v>
      </c>
      <c r="H35" s="21">
        <f>SUM('[3]Sun Country'!$FN$16:$FY$16)</f>
        <v>1155</v>
      </c>
      <c r="I35" s="21">
        <f>SUM([3]Icelandair!$FN$16:$FY$16)</f>
        <v>315</v>
      </c>
      <c r="J35" s="21">
        <f>SUM([3]KLM!$FN$16:$FY$16)</f>
        <v>188</v>
      </c>
      <c r="K35" s="21">
        <f>SUM('[3]Air Georgian'!$FN$16:$FY$16)</f>
        <v>0</v>
      </c>
      <c r="L35" s="21">
        <f>SUM('[3]Sky Regional'!$FN$16:$FY$16)</f>
        <v>1040</v>
      </c>
      <c r="M35" s="21">
        <f>SUM([3]Condor!$FN$16:$FY$16)</f>
        <v>60</v>
      </c>
      <c r="N35" s="21">
        <f>SUM('[3]Air France'!$FN$16:$FY$16)</f>
        <v>126</v>
      </c>
      <c r="O35" s="21">
        <f>SUM('[3]Charter Misc'!$FN$16:$FY$16)+SUM([3]Ryan!$FN$16:$FY$16)+SUM([3]Omni!$FN$16:$FY$16)</f>
        <v>0</v>
      </c>
      <c r="P35" s="281">
        <f>SUM(B35:O35)</f>
        <v>12075</v>
      </c>
    </row>
    <row r="36" spans="1:16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81"/>
    </row>
    <row r="37" spans="1:16" ht="15.75" thickBot="1" x14ac:dyDescent="0.3">
      <c r="A37" s="63" t="s">
        <v>28</v>
      </c>
      <c r="B37" s="381">
        <f t="shared" ref="B37:K37" si="23">+SUM(B34:B35)</f>
        <v>11607</v>
      </c>
      <c r="C37" s="381">
        <f t="shared" si="23"/>
        <v>99</v>
      </c>
      <c r="D37" s="381">
        <f t="shared" si="23"/>
        <v>1552</v>
      </c>
      <c r="E37" s="381">
        <f t="shared" si="23"/>
        <v>1</v>
      </c>
      <c r="F37" s="381">
        <f>+SUM(F34:F35)</f>
        <v>4353</v>
      </c>
      <c r="G37" s="381">
        <f>+SUM(G34:G35)</f>
        <v>739</v>
      </c>
      <c r="H37" s="381">
        <f t="shared" si="23"/>
        <v>2310</v>
      </c>
      <c r="I37" s="381">
        <f t="shared" si="23"/>
        <v>630</v>
      </c>
      <c r="J37" s="381">
        <f t="shared" ref="J37" si="24">+SUM(J34:J35)</f>
        <v>376</v>
      </c>
      <c r="K37" s="381">
        <f t="shared" si="23"/>
        <v>0</v>
      </c>
      <c r="L37" s="381">
        <f t="shared" ref="L37" si="25">+SUM(L34:L35)</f>
        <v>2080</v>
      </c>
      <c r="M37" s="381">
        <f>+SUM(M34:M35)</f>
        <v>119</v>
      </c>
      <c r="N37" s="381">
        <f>+SUM(N34:N35)</f>
        <v>252</v>
      </c>
      <c r="O37" s="381">
        <f>+SUM(O34:O35)</f>
        <v>0</v>
      </c>
      <c r="P37" s="382">
        <f>SUM(B37:O37)</f>
        <v>24118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&amp;"Arial,Bold"December 2018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4703"/>
  <sheetViews>
    <sheetView topLeftCell="A37" zoomScaleNormal="100" zoomScaleSheetLayoutView="85" workbookViewId="0">
      <selection activeCell="C57" sqref="C57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5703125" style="225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7" customWidth="1"/>
    <col min="11" max="11" width="19.85546875" style="232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24" customFormat="1" ht="26.25" thickBot="1" x14ac:dyDescent="0.25">
      <c r="A1" s="569" t="s">
        <v>135</v>
      </c>
      <c r="B1" s="570"/>
      <c r="C1" s="452" t="s">
        <v>217</v>
      </c>
      <c r="D1" s="453" t="s">
        <v>192</v>
      </c>
      <c r="E1" s="267" t="s">
        <v>98</v>
      </c>
      <c r="F1" s="266" t="s">
        <v>218</v>
      </c>
      <c r="G1" s="453" t="s">
        <v>193</v>
      </c>
      <c r="H1" s="265" t="s">
        <v>99</v>
      </c>
      <c r="I1" s="267" t="s">
        <v>140</v>
      </c>
      <c r="J1" s="575" t="s">
        <v>139</v>
      </c>
      <c r="K1" s="576"/>
      <c r="L1" s="450" t="s">
        <v>219</v>
      </c>
      <c r="M1" s="451" t="s">
        <v>194</v>
      </c>
      <c r="N1" s="341" t="s">
        <v>99</v>
      </c>
      <c r="O1" s="491" t="s">
        <v>220</v>
      </c>
      <c r="P1" s="268" t="s">
        <v>195</v>
      </c>
      <c r="Q1" s="487" t="s">
        <v>99</v>
      </c>
      <c r="R1" s="492" t="s">
        <v>221</v>
      </c>
    </row>
    <row r="2" spans="1:19" s="224" customFormat="1" ht="13.5" customHeight="1" thickBot="1" x14ac:dyDescent="0.25">
      <c r="A2" s="571">
        <v>43435</v>
      </c>
      <c r="B2" s="572"/>
      <c r="C2" s="573" t="s">
        <v>9</v>
      </c>
      <c r="D2" s="574"/>
      <c r="E2" s="574"/>
      <c r="F2" s="574"/>
      <c r="G2" s="574"/>
      <c r="H2" s="574"/>
      <c r="I2" s="454"/>
      <c r="J2" s="571">
        <f>+A2</f>
        <v>43435</v>
      </c>
      <c r="K2" s="572"/>
      <c r="L2" s="566" t="s">
        <v>141</v>
      </c>
      <c r="M2" s="567"/>
      <c r="N2" s="567"/>
      <c r="O2" s="567"/>
      <c r="P2" s="567"/>
      <c r="Q2" s="567"/>
      <c r="R2" s="568"/>
    </row>
    <row r="3" spans="1:19" x14ac:dyDescent="0.2">
      <c r="A3" s="342"/>
      <c r="B3" s="343"/>
      <c r="C3" s="344"/>
      <c r="D3" s="345"/>
      <c r="E3" s="346"/>
      <c r="F3" s="411"/>
      <c r="G3" s="412"/>
      <c r="H3" s="484"/>
      <c r="I3" s="346"/>
      <c r="J3" s="347"/>
      <c r="K3" s="343"/>
      <c r="L3" s="493"/>
      <c r="M3" s="5"/>
      <c r="N3" s="85"/>
      <c r="O3" s="342"/>
      <c r="P3" s="348"/>
      <c r="Q3" s="348"/>
      <c r="R3" s="343"/>
    </row>
    <row r="4" spans="1:19" ht="14.1" customHeight="1" x14ac:dyDescent="0.2">
      <c r="A4" s="349" t="s">
        <v>101</v>
      </c>
      <c r="B4" s="55"/>
      <c r="C4" s="350">
        <f>SUM(C5:C7)</f>
        <v>174</v>
      </c>
      <c r="D4" s="352">
        <f>SUM(D5:D7)</f>
        <v>162</v>
      </c>
      <c r="E4" s="353">
        <f>(C4-D4)/D4</f>
        <v>7.407407407407407E-2</v>
      </c>
      <c r="F4" s="350">
        <f>SUM(F5:F7)</f>
        <v>2080</v>
      </c>
      <c r="G4" s="352">
        <f>SUM(G5:G7)</f>
        <v>2081</v>
      </c>
      <c r="H4" s="351">
        <f>(F4-G4)/G4</f>
        <v>-4.8053820278712159E-4</v>
      </c>
      <c r="I4" s="353">
        <f>F4/$F$66</f>
        <v>5.6115814407735349E-3</v>
      </c>
      <c r="J4" s="349" t="s">
        <v>101</v>
      </c>
      <c r="K4" s="55"/>
      <c r="L4" s="350">
        <f>SUM(L5:L7)</f>
        <v>8624</v>
      </c>
      <c r="M4" s="352">
        <f>SUM(M5:M7)</f>
        <v>8251</v>
      </c>
      <c r="N4" s="353">
        <f>(L4-M4)/M4</f>
        <v>4.5206641619197671E-2</v>
      </c>
      <c r="O4" s="350">
        <f>SUM(O5:O7)</f>
        <v>118141</v>
      </c>
      <c r="P4" s="352">
        <f>SUM(P5:P7)</f>
        <v>103146</v>
      </c>
      <c r="Q4" s="351">
        <f>(O4-P4)/P4</f>
        <v>0.14537645667306537</v>
      </c>
      <c r="R4" s="353">
        <f>O4/$O$66</f>
        <v>3.2118789906694536E-3</v>
      </c>
      <c r="S4" s="20"/>
    </row>
    <row r="5" spans="1:19" ht="14.1" customHeight="1" x14ac:dyDescent="0.2">
      <c r="A5" s="349"/>
      <c r="B5" s="425" t="s">
        <v>101</v>
      </c>
      <c r="C5" s="354">
        <f>+[3]AirCanada!$FY$19</f>
        <v>0</v>
      </c>
      <c r="D5" s="9">
        <f>+[3]AirCanada!$FK$19</f>
        <v>0</v>
      </c>
      <c r="E5" s="86" t="e">
        <f>(C5-D5)/D5</f>
        <v>#DIV/0!</v>
      </c>
      <c r="F5" s="295">
        <f>SUM([3]AirCanada!$FN$19:$FY$19)</f>
        <v>0</v>
      </c>
      <c r="G5" s="295">
        <f>SUM([3]AirCanada!$EZ$19:$FK$19)</f>
        <v>0</v>
      </c>
      <c r="H5" s="432" t="e">
        <f>(F5-G5)/G5</f>
        <v>#DIV/0!</v>
      </c>
      <c r="I5" s="86">
        <f>F5/$F$66</f>
        <v>0</v>
      </c>
      <c r="J5" s="349"/>
      <c r="K5" s="425" t="s">
        <v>101</v>
      </c>
      <c r="L5" s="431">
        <f>+[3]AirCanada!$FY$41</f>
        <v>0</v>
      </c>
      <c r="M5" s="295">
        <f>+[3]AirCanada!$FK$41</f>
        <v>0</v>
      </c>
      <c r="N5" s="433" t="e">
        <f>(L5-M5)/M5</f>
        <v>#DIV/0!</v>
      </c>
      <c r="O5" s="431">
        <f>SUM([3]AirCanada!$FN$41:$FY$41)</f>
        <v>0</v>
      </c>
      <c r="P5" s="295">
        <f>SUM([3]AirCanada!$EZ$41:$FK$41)</f>
        <v>0</v>
      </c>
      <c r="Q5" s="432" t="e">
        <f>(O5-P5)/P5</f>
        <v>#DIV/0!</v>
      </c>
      <c r="R5" s="433">
        <f>O5/$O$66</f>
        <v>0</v>
      </c>
      <c r="S5" s="20"/>
    </row>
    <row r="6" spans="1:19" ht="14.1" customHeight="1" x14ac:dyDescent="0.2">
      <c r="A6" s="349"/>
      <c r="B6" s="425" t="s">
        <v>172</v>
      </c>
      <c r="C6" s="354">
        <f>'[3]Air Georgian'!$FY$19</f>
        <v>0</v>
      </c>
      <c r="D6" s="9">
        <f>'[3]Air Georgian'!$FK$19</f>
        <v>0</v>
      </c>
      <c r="E6" s="86" t="e">
        <f>(C6-D6)/D6</f>
        <v>#DIV/0!</v>
      </c>
      <c r="F6" s="295">
        <f>SUM('[3]Air Georgian'!$FN$19:$FY$19)</f>
        <v>0</v>
      </c>
      <c r="G6" s="295">
        <f>SUM('[3]Air Georgian'!$EZ$19:$FK$19)</f>
        <v>935</v>
      </c>
      <c r="H6" s="432">
        <f>(F6-G6)/G6</f>
        <v>-1</v>
      </c>
      <c r="I6" s="86">
        <f>F6/$F$66</f>
        <v>0</v>
      </c>
      <c r="J6" s="349"/>
      <c r="K6" s="425" t="s">
        <v>172</v>
      </c>
      <c r="L6" s="354">
        <f>'[3]Air Georgian'!$FY$41</f>
        <v>0</v>
      </c>
      <c r="M6" s="9">
        <f>'[3]Air Georgian'!$FK$41</f>
        <v>0</v>
      </c>
      <c r="N6" s="86" t="e">
        <f>(L6-M6)/M6</f>
        <v>#DIV/0!</v>
      </c>
      <c r="O6" s="354">
        <f>SUM('[3]Air Georgian'!$FN$41:$FY$41)</f>
        <v>0</v>
      </c>
      <c r="P6" s="9">
        <f>SUM('[3]Air Georgian'!$EZ$41:$FK$41)</f>
        <v>37149</v>
      </c>
      <c r="Q6" s="39">
        <f>(O6-P6)/P6</f>
        <v>-1</v>
      </c>
      <c r="R6" s="86">
        <f>O6/$O$66</f>
        <v>0</v>
      </c>
      <c r="S6" s="20"/>
    </row>
    <row r="7" spans="1:19" ht="14.1" customHeight="1" x14ac:dyDescent="0.2">
      <c r="A7" s="349"/>
      <c r="B7" s="425" t="s">
        <v>214</v>
      </c>
      <c r="C7" s="354">
        <f>'[3]Sky Regional'!$FY$19</f>
        <v>174</v>
      </c>
      <c r="D7" s="9">
        <f>'[3]Sky Regional'!$FK$19</f>
        <v>162</v>
      </c>
      <c r="E7" s="86">
        <f>(C7-D7)/D7</f>
        <v>7.407407407407407E-2</v>
      </c>
      <c r="F7" s="295">
        <f>SUM('[3]Sky Regional'!$FN$19:$FY$19)</f>
        <v>2080</v>
      </c>
      <c r="G7" s="295">
        <f>SUM('[3]Sky Regional'!$EZ$19:$FK$19)</f>
        <v>1146</v>
      </c>
      <c r="H7" s="432">
        <f>(F7-G7)/G7</f>
        <v>0.81500872600349039</v>
      </c>
      <c r="I7" s="86">
        <f>F7/$F$66</f>
        <v>5.6115814407735349E-3</v>
      </c>
      <c r="J7" s="349"/>
      <c r="K7" s="425" t="s">
        <v>214</v>
      </c>
      <c r="L7" s="354">
        <f>'[3]Sky Regional'!$FY$41</f>
        <v>8624</v>
      </c>
      <c r="M7" s="9">
        <f>'[3]Sky Regional'!$FK$41</f>
        <v>8251</v>
      </c>
      <c r="N7" s="86">
        <f>(L7-M7)/M7</f>
        <v>4.5206641619197671E-2</v>
      </c>
      <c r="O7" s="354">
        <f>SUM('[3]Sky Regional'!$FN$41:$FY$41)</f>
        <v>118141</v>
      </c>
      <c r="P7" s="9">
        <f>SUM('[3]Sky Regional'!$EZ$41:$FK$41)</f>
        <v>65997</v>
      </c>
      <c r="Q7" s="39">
        <f>(O7-P7)/P7</f>
        <v>0.79009651953876692</v>
      </c>
      <c r="R7" s="86">
        <f>O7/$O$66</f>
        <v>3.2118789906694536E-3</v>
      </c>
      <c r="S7" s="20"/>
    </row>
    <row r="8" spans="1:19" ht="14.1" customHeight="1" x14ac:dyDescent="0.2">
      <c r="A8" s="349"/>
      <c r="B8" s="55"/>
      <c r="C8" s="350"/>
      <c r="D8" s="352"/>
      <c r="E8" s="353"/>
      <c r="F8" s="352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196</v>
      </c>
      <c r="B9" s="55"/>
      <c r="C9" s="350">
        <f>'[3]Air Choice One'!$FY$19</f>
        <v>202</v>
      </c>
      <c r="D9" s="352">
        <f>'[3]Air Choice One'!$FK$19</f>
        <v>260</v>
      </c>
      <c r="E9" s="353">
        <f>(C9-D9)/D9</f>
        <v>-0.22307692307692309</v>
      </c>
      <c r="F9" s="352">
        <f>SUM('[3]Air Choice One'!$FN$19:$FY$19)</f>
        <v>2376</v>
      </c>
      <c r="G9" s="352">
        <f>SUM('[3]Air Choice One'!$EZ$19:$FK$19)</f>
        <v>2984</v>
      </c>
      <c r="H9" s="351">
        <f>(F9-G9)/G9</f>
        <v>-0.20375335120643431</v>
      </c>
      <c r="I9" s="353">
        <f>F9/$F$66</f>
        <v>6.4101526458066917E-3</v>
      </c>
      <c r="J9" s="349" t="s">
        <v>196</v>
      </c>
      <c r="K9" s="55"/>
      <c r="L9" s="350">
        <f>'[3]Air Choice One'!$FY$41</f>
        <v>919</v>
      </c>
      <c r="M9" s="352">
        <f>'[3]Air Choice One'!$FK$41</f>
        <v>928</v>
      </c>
      <c r="N9" s="353">
        <f>(L9-M9)/M9</f>
        <v>-9.6982758620689658E-3</v>
      </c>
      <c r="O9" s="350">
        <f>SUM('[3]Air Choice One'!$FN$41:$FY$41)</f>
        <v>10093</v>
      </c>
      <c r="P9" s="352">
        <f>SUM('[3]Air Choice One'!$EZ$41:$FK$41)</f>
        <v>10128</v>
      </c>
      <c r="Q9" s="351">
        <f>(O9-P9)/P9</f>
        <v>-3.4557661927330174E-3</v>
      </c>
      <c r="R9" s="353">
        <f>O9/$O$66</f>
        <v>2.7439665021310801E-4</v>
      </c>
      <c r="S9" s="20"/>
    </row>
    <row r="10" spans="1:19" ht="14.1" customHeight="1" x14ac:dyDescent="0.2">
      <c r="A10" s="349"/>
      <c r="B10" s="55"/>
      <c r="C10" s="350"/>
      <c r="D10" s="352"/>
      <c r="E10" s="353"/>
      <c r="F10" s="352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162</v>
      </c>
      <c r="B11" s="55"/>
      <c r="C11" s="350">
        <f>'[3]Air France'!$FY$19</f>
        <v>0</v>
      </c>
      <c r="D11" s="352">
        <f>'[3]Air France'!$FK$19</f>
        <v>0</v>
      </c>
      <c r="E11" s="353" t="e">
        <f>(C11-D11)/D11</f>
        <v>#DIV/0!</v>
      </c>
      <c r="F11" s="352">
        <f>SUM('[3]Air France'!$FN$19:$FY$19)</f>
        <v>252</v>
      </c>
      <c r="G11" s="352">
        <f>SUM('[3]Air France'!$EZ$19:$FK$19)</f>
        <v>256</v>
      </c>
      <c r="H11" s="351">
        <f>(F11-G11)/G11</f>
        <v>-1.5625E-2</v>
      </c>
      <c r="I11" s="353">
        <f>F11/$F$66</f>
        <v>6.7986467455525515E-4</v>
      </c>
      <c r="J11" s="349" t="s">
        <v>162</v>
      </c>
      <c r="K11" s="55"/>
      <c r="L11" s="350">
        <f>'[3]Air France'!$FY$41</f>
        <v>0</v>
      </c>
      <c r="M11" s="352">
        <f>'[3]Air France'!$FK$41</f>
        <v>0</v>
      </c>
      <c r="N11" s="353" t="e">
        <f>(L11-M11)/M11</f>
        <v>#DIV/0!</v>
      </c>
      <c r="O11" s="350">
        <f>SUM('[3]Air France'!$FN$41:$FY$41)</f>
        <v>56040</v>
      </c>
      <c r="P11" s="352">
        <f>SUM('[3]Air France'!$EZ$41:$FK$41)</f>
        <v>63570</v>
      </c>
      <c r="Q11" s="351">
        <f>(O11-P11)/P11</f>
        <v>-0.11845210004719207</v>
      </c>
      <c r="R11" s="353">
        <f>O11/$O$66</f>
        <v>1.5235498145192285E-3</v>
      </c>
      <c r="S11" s="20"/>
    </row>
    <row r="12" spans="1:19" ht="14.1" customHeight="1" x14ac:dyDescent="0.2">
      <c r="A12" s="349"/>
      <c r="B12" s="55"/>
      <c r="C12" s="350"/>
      <c r="D12" s="352"/>
      <c r="E12" s="353"/>
      <c r="F12" s="352"/>
      <c r="G12" s="352"/>
      <c r="H12" s="351"/>
      <c r="I12" s="353"/>
      <c r="J12" s="349"/>
      <c r="K12" s="55"/>
      <c r="L12" s="354"/>
      <c r="M12" s="9"/>
      <c r="N12" s="86"/>
      <c r="O12" s="354"/>
      <c r="P12" s="9"/>
      <c r="Q12" s="39"/>
      <c r="R12" s="86"/>
      <c r="S12" s="20"/>
    </row>
    <row r="13" spans="1:19" ht="14.1" customHeight="1" x14ac:dyDescent="0.2">
      <c r="A13" s="349" t="s">
        <v>131</v>
      </c>
      <c r="B13" s="55"/>
      <c r="C13" s="350">
        <f>SUM(C14:C16)</f>
        <v>239</v>
      </c>
      <c r="D13" s="352">
        <f>SUM(D14:D16)</f>
        <v>402</v>
      </c>
      <c r="E13" s="353">
        <f>(C13-D13)/D13</f>
        <v>-0.40547263681592038</v>
      </c>
      <c r="F13" s="352">
        <f>SUM(F14:F16)</f>
        <v>3473</v>
      </c>
      <c r="G13" s="352">
        <f>SUM(G14:G16)</f>
        <v>3108</v>
      </c>
      <c r="H13" s="351">
        <f>(F13-G13)/G13</f>
        <v>0.11743886743886744</v>
      </c>
      <c r="I13" s="353">
        <f>F13/$F$66</f>
        <v>9.3697222806761963E-3</v>
      </c>
      <c r="J13" s="349" t="s">
        <v>131</v>
      </c>
      <c r="K13" s="55"/>
      <c r="L13" s="350">
        <f>SUM(L14:L16)</f>
        <v>24120</v>
      </c>
      <c r="M13" s="352">
        <f>SUM(M14:M16)</f>
        <v>31696</v>
      </c>
      <c r="N13" s="353">
        <f>(L13-M13)/M13</f>
        <v>-0.23902069661786976</v>
      </c>
      <c r="O13" s="350">
        <f>SUM(O14:O16)</f>
        <v>350940</v>
      </c>
      <c r="P13" s="352">
        <f>SUM(P14:P16)</f>
        <v>321768</v>
      </c>
      <c r="Q13" s="351">
        <f>(O13-P13)/P13</f>
        <v>9.0661594689341388E-2</v>
      </c>
      <c r="R13" s="353">
        <f>O13/$O$66</f>
        <v>9.5409452517376536E-3</v>
      </c>
      <c r="S13" s="20"/>
    </row>
    <row r="14" spans="1:19" ht="14.1" customHeight="1" x14ac:dyDescent="0.2">
      <c r="A14" s="349"/>
      <c r="B14" s="425" t="s">
        <v>131</v>
      </c>
      <c r="C14" s="431">
        <f>[3]Alaska!$FY$19</f>
        <v>117</v>
      </c>
      <c r="D14" s="295">
        <f>[3]Alaska!$FK$19</f>
        <v>96</v>
      </c>
      <c r="E14" s="433">
        <f>(C14-D14)/D14</f>
        <v>0.21875</v>
      </c>
      <c r="F14" s="295">
        <f>SUM([3]Alaska!$FN$19:$FY$19)</f>
        <v>1425</v>
      </c>
      <c r="G14" s="295">
        <f>SUM([3]Alaska!$EZ$19:$FK$19)</f>
        <v>1547</v>
      </c>
      <c r="H14" s="432">
        <f>(F14-G14)/G14</f>
        <v>-7.8862314156431801E-2</v>
      </c>
      <c r="I14" s="433">
        <f>F14/$F$66</f>
        <v>3.8444728620684074E-3</v>
      </c>
      <c r="J14" s="349"/>
      <c r="K14" s="425" t="s">
        <v>131</v>
      </c>
      <c r="L14" s="431">
        <f>[3]Alaska!$FY$41</f>
        <v>16707</v>
      </c>
      <c r="M14" s="295">
        <f>[3]Alaska!$FK$41</f>
        <v>13557</v>
      </c>
      <c r="N14" s="433">
        <f>(L14-M14)/M14</f>
        <v>0.23235229032971896</v>
      </c>
      <c r="O14" s="431">
        <f>SUM([3]Alaska!$FN$41:$FY$41)</f>
        <v>218312</v>
      </c>
      <c r="P14" s="295">
        <f>SUM([3]Alaska!$EZ$41:$FK$41)</f>
        <v>225748</v>
      </c>
      <c r="Q14" s="432">
        <f>(O14-P14)/P14</f>
        <v>-3.2939383737618941E-2</v>
      </c>
      <c r="R14" s="433">
        <f>O14/$O$66</f>
        <v>5.935210690708812E-3</v>
      </c>
      <c r="S14" s="20"/>
    </row>
    <row r="15" spans="1:19" ht="14.1" customHeight="1" x14ac:dyDescent="0.2">
      <c r="A15" s="349"/>
      <c r="B15" s="425" t="s">
        <v>100</v>
      </c>
      <c r="C15" s="354">
        <f>'[3]Sky West_AS'!$FY$19</f>
        <v>60</v>
      </c>
      <c r="D15" s="9">
        <f>'[3]Sky West_AS'!$FK$19</f>
        <v>146</v>
      </c>
      <c r="E15" s="86">
        <f>(C15-D15)/D15</f>
        <v>-0.58904109589041098</v>
      </c>
      <c r="F15" s="9">
        <f>SUM('[3]Sky West_AS'!$FN$19:$FY$19)</f>
        <v>806</v>
      </c>
      <c r="G15" s="9">
        <f>SUM('[3]Sky West_AS'!$EZ$19:$FK$19)</f>
        <v>1349</v>
      </c>
      <c r="H15" s="39">
        <f>(F15-G15)/G15</f>
        <v>-0.40252038547071906</v>
      </c>
      <c r="I15" s="86">
        <f>F15/$F$66</f>
        <v>2.174487808299745E-3</v>
      </c>
      <c r="J15" s="349"/>
      <c r="K15" s="425" t="s">
        <v>100</v>
      </c>
      <c r="L15" s="354">
        <f>'[3]Sky West_AS'!$FY$41</f>
        <v>3219</v>
      </c>
      <c r="M15" s="9">
        <f>'[3]Sky West_AS'!$FK$41</f>
        <v>9088</v>
      </c>
      <c r="N15" s="86">
        <f>(L15-M15)/M15</f>
        <v>-0.6457966549295775</v>
      </c>
      <c r="O15" s="354">
        <f>SUM('[3]Sky West_AS'!$FN$41:$FY$41)</f>
        <v>52241</v>
      </c>
      <c r="P15" s="9">
        <f>SUM('[3]Sky West_AS'!$EZ$41:$FK$41)</f>
        <v>84015</v>
      </c>
      <c r="Q15" s="39">
        <f>(O15-P15)/P15</f>
        <v>-0.37819437005296674</v>
      </c>
      <c r="R15" s="433">
        <f>O15/$O$66</f>
        <v>1.4202670567505179E-3</v>
      </c>
      <c r="S15" s="20"/>
    </row>
    <row r="16" spans="1:19" ht="14.1" customHeight="1" x14ac:dyDescent="0.2">
      <c r="A16" s="349"/>
      <c r="B16" s="425" t="s">
        <v>215</v>
      </c>
      <c r="C16" s="354">
        <f>[3]Horizon_AS!$FY$19</f>
        <v>62</v>
      </c>
      <c r="D16" s="9">
        <f>[3]Horizon_AS!$FK$19</f>
        <v>160</v>
      </c>
      <c r="E16" s="86">
        <f>(C16-D16)/D16</f>
        <v>-0.61250000000000004</v>
      </c>
      <c r="F16" s="9">
        <f>SUM([3]Horizon_AS!$FN$19:$FY$19)</f>
        <v>1242</v>
      </c>
      <c r="G16" s="9">
        <f>SUM([3]Horizon_AS!$EZ$19:$FK$19)</f>
        <v>212</v>
      </c>
      <c r="H16" s="39">
        <f>(F16-G16)/G16</f>
        <v>4.8584905660377355</v>
      </c>
      <c r="I16" s="86">
        <f>F16/$F$66</f>
        <v>3.3507616103080435E-3</v>
      </c>
      <c r="J16" s="349"/>
      <c r="K16" s="425" t="s">
        <v>215</v>
      </c>
      <c r="L16" s="354">
        <f>[3]Horizon_AS!$FY$41</f>
        <v>4194</v>
      </c>
      <c r="M16" s="9">
        <f>[3]Horizon_AS!$FK$41</f>
        <v>9051</v>
      </c>
      <c r="N16" s="86">
        <f>(L16-M16)/M16</f>
        <v>-0.53662578720583365</v>
      </c>
      <c r="O16" s="354">
        <f>SUM([3]Horizon_AS!$FN$41:$FY$41)</f>
        <v>80387</v>
      </c>
      <c r="P16" s="9">
        <f>SUM([3]Horizon_AS!$EZ$41:$FK$41)</f>
        <v>12005</v>
      </c>
      <c r="Q16" s="39">
        <f>(O16-P16)/P16</f>
        <v>5.6961266139108702</v>
      </c>
      <c r="R16" s="433">
        <f>O16/$O$66</f>
        <v>2.1854675042783231E-3</v>
      </c>
      <c r="S16" s="20"/>
    </row>
    <row r="17" spans="1:22" ht="14.1" customHeight="1" x14ac:dyDescent="0.2">
      <c r="A17" s="349"/>
      <c r="B17" s="55"/>
      <c r="C17" s="350"/>
      <c r="D17" s="355"/>
      <c r="E17" s="353"/>
      <c r="F17" s="355"/>
      <c r="G17" s="355"/>
      <c r="H17" s="351"/>
      <c r="I17" s="353"/>
      <c r="J17" s="349"/>
      <c r="K17" s="55"/>
      <c r="L17" s="356"/>
      <c r="M17" s="146"/>
      <c r="N17" s="86"/>
      <c r="O17" s="356"/>
      <c r="P17" s="146"/>
      <c r="Q17" s="39"/>
      <c r="R17" s="86"/>
      <c r="S17" s="20"/>
    </row>
    <row r="18" spans="1:22" ht="14.1" customHeight="1" x14ac:dyDescent="0.2">
      <c r="A18" s="349" t="s">
        <v>17</v>
      </c>
      <c r="B18" s="361"/>
      <c r="C18" s="350">
        <f>SUM(C19:C25)</f>
        <v>1531</v>
      </c>
      <c r="D18" s="352">
        <f>SUM(D19:D25)</f>
        <v>1697</v>
      </c>
      <c r="E18" s="353">
        <f t="shared" ref="E18:E25" si="0">(C18-D18)/D18</f>
        <v>-9.7819681791396579E-2</v>
      </c>
      <c r="F18" s="350">
        <f>SUM(F19:F25)</f>
        <v>20468</v>
      </c>
      <c r="G18" s="352">
        <f>SUM(G19:G25)</f>
        <v>22684</v>
      </c>
      <c r="H18" s="351">
        <f t="shared" ref="H18:H25" si="1">(F18-G18)/G18</f>
        <v>-9.7690001763357431E-2</v>
      </c>
      <c r="I18" s="353">
        <f t="shared" ref="I18:I25" si="2">F18/$F$66</f>
        <v>5.522011967776573E-2</v>
      </c>
      <c r="J18" s="349" t="s">
        <v>17</v>
      </c>
      <c r="K18" s="357"/>
      <c r="L18" s="350">
        <f>SUM(L19:L25)</f>
        <v>155889</v>
      </c>
      <c r="M18" s="352">
        <f>SUM(M19:M25)</f>
        <v>180569</v>
      </c>
      <c r="N18" s="353">
        <f t="shared" ref="N18:N25" si="3">(L18-M18)/M18</f>
        <v>-0.13667905343663642</v>
      </c>
      <c r="O18" s="350">
        <f>SUM(O19:O25)</f>
        <v>2103725</v>
      </c>
      <c r="P18" s="352">
        <f>SUM(P19:P25)</f>
        <v>2363226</v>
      </c>
      <c r="Q18" s="351">
        <f t="shared" ref="Q18:Q25" si="4">(O18-P18)/P18</f>
        <v>-0.10980794896467795</v>
      </c>
      <c r="R18" s="353">
        <f t="shared" ref="R18:R25" si="5">O18/$O$66</f>
        <v>5.7193608735714919E-2</v>
      </c>
      <c r="S18" s="20"/>
    </row>
    <row r="19" spans="1:22" ht="14.1" customHeight="1" x14ac:dyDescent="0.2">
      <c r="A19" s="53"/>
      <c r="B19" s="359" t="s">
        <v>17</v>
      </c>
      <c r="C19" s="354">
        <f>[3]American!$FY$19</f>
        <v>1104</v>
      </c>
      <c r="D19" s="9">
        <f>[3]American!$FK$19</f>
        <v>1272</v>
      </c>
      <c r="E19" s="86">
        <f t="shared" si="0"/>
        <v>-0.13207547169811321</v>
      </c>
      <c r="F19" s="9">
        <f>SUM([3]American!$FN$19:$FY$19)</f>
        <v>14221</v>
      </c>
      <c r="G19" s="9">
        <f>SUM([3]American!$EZ$19:$FK$19)</f>
        <v>17199</v>
      </c>
      <c r="H19" s="39">
        <f t="shared" si="1"/>
        <v>-0.17314960172103031</v>
      </c>
      <c r="I19" s="86">
        <f t="shared" si="2"/>
        <v>3.8366490225596364E-2</v>
      </c>
      <c r="J19" s="53"/>
      <c r="K19" s="358" t="s">
        <v>17</v>
      </c>
      <c r="L19" s="354">
        <f>[3]American!$FY$41</f>
        <v>131599</v>
      </c>
      <c r="M19" s="9">
        <f>[3]American!$FK$41</f>
        <v>156295</v>
      </c>
      <c r="N19" s="86">
        <f t="shared" si="3"/>
        <v>-0.15800889343868965</v>
      </c>
      <c r="O19" s="354">
        <f>SUM([3]American!$FN$41:$FY$41)</f>
        <v>1748118</v>
      </c>
      <c r="P19" s="9">
        <f>SUM([3]American!$EZ$41:$FK$41)</f>
        <v>2077399</v>
      </c>
      <c r="Q19" s="39">
        <f t="shared" si="4"/>
        <v>-0.15850638225973923</v>
      </c>
      <c r="R19" s="86">
        <f t="shared" si="5"/>
        <v>4.7525782559916574E-2</v>
      </c>
      <c r="S19" s="20"/>
    </row>
    <row r="20" spans="1:22" ht="14.1" customHeight="1" x14ac:dyDescent="0.2">
      <c r="A20" s="53"/>
      <c r="B20" s="426" t="s">
        <v>173</v>
      </c>
      <c r="C20" s="354">
        <f>'[3]American Eagle'!$FY$19</f>
        <v>14</v>
      </c>
      <c r="D20" s="9">
        <f>'[3]American Eagle'!$FK$19</f>
        <v>18</v>
      </c>
      <c r="E20" s="86">
        <f t="shared" si="0"/>
        <v>-0.22222222222222221</v>
      </c>
      <c r="F20" s="9">
        <f>SUM('[3]American Eagle'!$FN$19:$FY$19)</f>
        <v>414</v>
      </c>
      <c r="G20" s="9">
        <f>SUM('[3]American Eagle'!$EZ$19:$FK$19)</f>
        <v>164</v>
      </c>
      <c r="H20" s="39">
        <f t="shared" si="1"/>
        <v>1.524390243902439</v>
      </c>
      <c r="I20" s="86">
        <f t="shared" si="2"/>
        <v>1.1169205367693479E-3</v>
      </c>
      <c r="J20" s="53"/>
      <c r="K20" s="424" t="s">
        <v>173</v>
      </c>
      <c r="L20" s="354">
        <f>'[3]American Eagle'!$FY$41</f>
        <v>631</v>
      </c>
      <c r="M20" s="9">
        <f>'[3]American Eagle'!$FK$41</f>
        <v>1063</v>
      </c>
      <c r="N20" s="86">
        <f t="shared" si="3"/>
        <v>-0.4063969896519285</v>
      </c>
      <c r="O20" s="354">
        <f>SUM('[3]American Eagle'!$FN$41:$FY$41)</f>
        <v>24626</v>
      </c>
      <c r="P20" s="9">
        <f>SUM('[3]American Eagle'!$EZ$41:$FK$41)</f>
        <v>8613</v>
      </c>
      <c r="Q20" s="39">
        <f t="shared" si="4"/>
        <v>1.8591663764077557</v>
      </c>
      <c r="R20" s="86">
        <f t="shared" si="5"/>
        <v>6.6950281463866034E-4</v>
      </c>
      <c r="S20" s="20"/>
    </row>
    <row r="21" spans="1:22" ht="14.1" customHeight="1" x14ac:dyDescent="0.2">
      <c r="A21" s="53"/>
      <c r="B21" s="426" t="s">
        <v>52</v>
      </c>
      <c r="C21" s="354">
        <f>[3]Republic!$FY$19</f>
        <v>375</v>
      </c>
      <c r="D21" s="9">
        <f>[3]Republic!$FK$19</f>
        <v>343</v>
      </c>
      <c r="E21" s="86">
        <f t="shared" si="0"/>
        <v>9.3294460641399415E-2</v>
      </c>
      <c r="F21" s="9">
        <f>SUM([3]Republic!$FN$19:$FY$19)</f>
        <v>5028</v>
      </c>
      <c r="G21" s="9">
        <f>SUM([3]Republic!$EZ$19:$FK$19)</f>
        <v>4452</v>
      </c>
      <c r="H21" s="39">
        <f t="shared" si="1"/>
        <v>0.1293800539083558</v>
      </c>
      <c r="I21" s="86">
        <f t="shared" si="2"/>
        <v>1.3564918982792948E-2</v>
      </c>
      <c r="J21" s="363"/>
      <c r="K21" s="360" t="s">
        <v>52</v>
      </c>
      <c r="L21" s="354">
        <f>[3]Republic!$FY$41</f>
        <v>21563</v>
      </c>
      <c r="M21" s="9">
        <f>[3]Republic!$FK$41</f>
        <v>20138</v>
      </c>
      <c r="N21" s="86">
        <f t="shared" si="3"/>
        <v>7.076174396663025E-2</v>
      </c>
      <c r="O21" s="354">
        <f>SUM([3]Republic!$FN$41:$FY$41)</f>
        <v>286426</v>
      </c>
      <c r="P21" s="9">
        <f>SUM([3]Republic!$EZ$41:$FK$41)</f>
        <v>232620</v>
      </c>
      <c r="Q21" s="39">
        <f t="shared" si="4"/>
        <v>0.23130427306336515</v>
      </c>
      <c r="R21" s="86">
        <f t="shared" si="5"/>
        <v>7.7870142607688181E-3</v>
      </c>
      <c r="S21" s="20"/>
    </row>
    <row r="22" spans="1:22" ht="14.1" customHeight="1" x14ac:dyDescent="0.2">
      <c r="A22" s="53"/>
      <c r="B22" s="426" t="s">
        <v>200</v>
      </c>
      <c r="C22" s="354">
        <f>[3]PSA!$FY$19</f>
        <v>0</v>
      </c>
      <c r="D22" s="9">
        <f>[3]PSA!$FK$19</f>
        <v>62</v>
      </c>
      <c r="E22" s="86">
        <f t="shared" si="0"/>
        <v>-1</v>
      </c>
      <c r="F22" s="9">
        <f>SUM([3]PSA!$FN$19:$FY$19)</f>
        <v>178</v>
      </c>
      <c r="G22" s="9">
        <f>SUM([3]PSA!$EZ$19:$FK$19)</f>
        <v>684</v>
      </c>
      <c r="H22" s="39">
        <f t="shared" si="1"/>
        <v>-0.73976608187134507</v>
      </c>
      <c r="I22" s="86">
        <f t="shared" si="2"/>
        <v>4.8022187329696596E-4</v>
      </c>
      <c r="J22" s="363"/>
      <c r="K22" s="426" t="s">
        <v>200</v>
      </c>
      <c r="L22" s="354">
        <f>[3]PSA!$FY$41</f>
        <v>0</v>
      </c>
      <c r="M22" s="9">
        <f>[3]PSA!$FK$41</f>
        <v>3029</v>
      </c>
      <c r="N22" s="86">
        <f t="shared" si="3"/>
        <v>-1</v>
      </c>
      <c r="O22" s="354">
        <f>SUM([3]PSA!$FN$41:$FY$41)</f>
        <v>7565</v>
      </c>
      <c r="P22" s="9">
        <f>SUM([3]PSA!$EZ$41:$FK$41)</f>
        <v>33736</v>
      </c>
      <c r="Q22" s="39">
        <f t="shared" si="4"/>
        <v>-0.77575883329381079</v>
      </c>
      <c r="R22" s="86">
        <f t="shared" si="5"/>
        <v>2.0566835022908572E-4</v>
      </c>
      <c r="S22" s="20"/>
    </row>
    <row r="23" spans="1:22" ht="14.1" customHeight="1" x14ac:dyDescent="0.2">
      <c r="A23" s="53"/>
      <c r="B23" s="425" t="s">
        <v>100</v>
      </c>
      <c r="C23" s="354">
        <f>'[3]Sky West_AA'!$FY$19</f>
        <v>38</v>
      </c>
      <c r="D23" s="9">
        <f>'[3]Sky West_AA'!$FK$19</f>
        <v>2</v>
      </c>
      <c r="E23" s="86">
        <f>(C23-D23)/D23</f>
        <v>18</v>
      </c>
      <c r="F23" s="9">
        <f>SUM('[3]Sky West_AA'!$FN$19:$FY$19)</f>
        <v>627</v>
      </c>
      <c r="G23" s="9">
        <f>SUM('[3]Sky West_AA'!$EZ$19:$FK$19)</f>
        <v>183</v>
      </c>
      <c r="H23" s="39">
        <f>(F23-G23)/G23</f>
        <v>2.4262295081967213</v>
      </c>
      <c r="I23" s="86">
        <f t="shared" si="2"/>
        <v>1.6915680593100992E-3</v>
      </c>
      <c r="J23" s="363"/>
      <c r="K23" s="425" t="s">
        <v>100</v>
      </c>
      <c r="L23" s="354">
        <f>'[3]Sky West_AA'!$FY$41</f>
        <v>2096</v>
      </c>
      <c r="M23" s="9">
        <f>'[3]Sky West_AA'!$FK$41</f>
        <v>44</v>
      </c>
      <c r="N23" s="86">
        <f>(L23-M23)/M23</f>
        <v>46.636363636363633</v>
      </c>
      <c r="O23" s="354">
        <f>SUM('[3]Sky West_AA'!$FN$41:$FY$41)</f>
        <v>36990</v>
      </c>
      <c r="P23" s="9">
        <f>SUM('[3]Sky West_AA'!$EZ$41:$FK$41)</f>
        <v>10768</v>
      </c>
      <c r="Q23" s="39">
        <f>(O23-P23)/P23</f>
        <v>2.4351783060921246</v>
      </c>
      <c r="R23" s="433">
        <f t="shared" si="5"/>
        <v>1.005640750161782E-3</v>
      </c>
      <c r="S23" s="20"/>
    </row>
    <row r="24" spans="1:22" ht="14.1" customHeight="1" x14ac:dyDescent="0.2">
      <c r="A24" s="53"/>
      <c r="B24" s="426" t="s">
        <v>51</v>
      </c>
      <c r="C24" s="354">
        <f>[3]MESA!$FY$19</f>
        <v>0</v>
      </c>
      <c r="D24" s="9">
        <f>[3]MESA!$FK$19</f>
        <v>0</v>
      </c>
      <c r="E24" s="86" t="e">
        <f t="shared" si="0"/>
        <v>#DIV/0!</v>
      </c>
      <c r="F24" s="9">
        <f>SUM([3]MESA!$FN$19:$FY$19)</f>
        <v>0</v>
      </c>
      <c r="G24" s="9">
        <f>SUM([3]MESA!$EZ$19:$FK$19)</f>
        <v>0</v>
      </c>
      <c r="H24" s="39" t="e">
        <f t="shared" si="1"/>
        <v>#DIV/0!</v>
      </c>
      <c r="I24" s="86">
        <f t="shared" si="2"/>
        <v>0</v>
      </c>
      <c r="J24" s="363"/>
      <c r="K24" s="424" t="s">
        <v>51</v>
      </c>
      <c r="L24" s="354">
        <f>[3]MESA!$FY$41</f>
        <v>0</v>
      </c>
      <c r="M24" s="9">
        <f>[3]MESA!$FK$41</f>
        <v>0</v>
      </c>
      <c r="N24" s="86" t="e">
        <f t="shared" si="3"/>
        <v>#DIV/0!</v>
      </c>
      <c r="O24" s="354">
        <f>SUM([3]MESA!$FN$41:$FY$41)</f>
        <v>0</v>
      </c>
      <c r="P24" s="9">
        <f>SUM([3]MESA!$EZ$41:$FK$41)</f>
        <v>0</v>
      </c>
      <c r="Q24" s="39" t="e">
        <f t="shared" si="4"/>
        <v>#DIV/0!</v>
      </c>
      <c r="R24" s="86">
        <f t="shared" si="5"/>
        <v>0</v>
      </c>
      <c r="S24" s="20"/>
    </row>
    <row r="25" spans="1:22" ht="14.1" customHeight="1" x14ac:dyDescent="0.2">
      <c r="A25" s="53"/>
      <c r="B25" s="426" t="s">
        <v>50</v>
      </c>
      <c r="C25" s="354">
        <f>'[3]Air Wisconsin'!$FY$19</f>
        <v>0</v>
      </c>
      <c r="D25" s="9">
        <f>'[3]Air Wisconsin'!$FK$19</f>
        <v>0</v>
      </c>
      <c r="E25" s="86" t="e">
        <f t="shared" si="0"/>
        <v>#DIV/0!</v>
      </c>
      <c r="F25" s="9">
        <f>SUM('[3]Air Wisconsin'!$FN$19:$FY$19)</f>
        <v>0</v>
      </c>
      <c r="G25" s="9">
        <f>SUM('[3]Air Wisconsin'!$EZ$19:$FK$19)</f>
        <v>2</v>
      </c>
      <c r="H25" s="485">
        <f t="shared" si="1"/>
        <v>-1</v>
      </c>
      <c r="I25" s="86">
        <f t="shared" si="2"/>
        <v>0</v>
      </c>
      <c r="J25" s="53"/>
      <c r="K25" s="427" t="s">
        <v>50</v>
      </c>
      <c r="L25" s="354">
        <f>'[3]Air Wisconsin'!$FY$41</f>
        <v>0</v>
      </c>
      <c r="M25" s="9">
        <f>'[3]Air Wisconsin'!$FK$41</f>
        <v>0</v>
      </c>
      <c r="N25" s="86" t="e">
        <f t="shared" si="3"/>
        <v>#DIV/0!</v>
      </c>
      <c r="O25" s="354">
        <f>SUM('[3]Air Wisconsin'!$FN$41:$FY$41)</f>
        <v>0</v>
      </c>
      <c r="P25" s="9">
        <f>SUM('[3]Air Wisconsin'!$EZ$41:$FK$41)</f>
        <v>90</v>
      </c>
      <c r="Q25" s="39">
        <f t="shared" si="4"/>
        <v>-1</v>
      </c>
      <c r="R25" s="86">
        <f t="shared" si="5"/>
        <v>0</v>
      </c>
      <c r="S25" s="20"/>
    </row>
    <row r="26" spans="1:22" ht="14.1" customHeight="1" x14ac:dyDescent="0.2">
      <c r="A26" s="53"/>
      <c r="B26" s="359"/>
      <c r="C26" s="354"/>
      <c r="D26" s="9"/>
      <c r="E26" s="86"/>
      <c r="F26" s="9"/>
      <c r="G26" s="9"/>
      <c r="H26" s="39"/>
      <c r="I26" s="86"/>
      <c r="J26" s="53"/>
      <c r="K26" s="359"/>
      <c r="L26" s="354"/>
      <c r="M26" s="9"/>
      <c r="N26" s="86"/>
      <c r="O26" s="354"/>
      <c r="P26" s="9"/>
      <c r="Q26" s="39"/>
      <c r="R26" s="86"/>
      <c r="S26" s="20"/>
      <c r="T26" s="9"/>
      <c r="U26" s="11"/>
      <c r="V26" s="11"/>
    </row>
    <row r="27" spans="1:22" ht="14.1" customHeight="1" x14ac:dyDescent="0.2">
      <c r="A27" s="349" t="s">
        <v>197</v>
      </c>
      <c r="B27" s="359"/>
      <c r="C27" s="350">
        <f>'[3]Boutique Air'!$FY$19</f>
        <v>146</v>
      </c>
      <c r="D27" s="352">
        <f>'[3]Boutique Air'!$FK$19</f>
        <v>154</v>
      </c>
      <c r="E27" s="353">
        <f>(C27-D27)/D27</f>
        <v>-5.1948051948051951E-2</v>
      </c>
      <c r="F27" s="352">
        <f>SUM('[3]Boutique Air'!$FN$19:$FY$19)</f>
        <v>1788</v>
      </c>
      <c r="G27" s="352">
        <f>SUM('[3]Boutique Air'!$EZ$19:$FK$19)</f>
        <v>1850</v>
      </c>
      <c r="H27" s="351">
        <f>(F27-G27)/G27</f>
        <v>-3.3513513513513511E-2</v>
      </c>
      <c r="I27" s="353">
        <f>F27/$F$66</f>
        <v>4.823801738511096E-3</v>
      </c>
      <c r="J27" s="349" t="s">
        <v>197</v>
      </c>
      <c r="K27" s="359"/>
      <c r="L27" s="350">
        <f>'[3]Boutique Air'!$FY$41</f>
        <v>708</v>
      </c>
      <c r="M27" s="352">
        <f>'[3]Boutique Air'!$FK$41</f>
        <v>869</v>
      </c>
      <c r="N27" s="353">
        <f>(L27-M27)/M27</f>
        <v>-0.1852704257767549</v>
      </c>
      <c r="O27" s="350">
        <f>SUM('[3]Boutique Air'!$FN$41:$FY$41)</f>
        <v>9605</v>
      </c>
      <c r="P27" s="352">
        <f>SUM('[3]Boutique Air'!$EZ$41:$FK$41)</f>
        <v>11334</v>
      </c>
      <c r="Q27" s="351">
        <f>(O27-P27)/P27</f>
        <v>-0.15254985000882301</v>
      </c>
      <c r="R27" s="353">
        <f>O27/$O$66</f>
        <v>2.6112947838074927E-4</v>
      </c>
      <c r="S27" s="20"/>
      <c r="T27" s="9"/>
      <c r="U27" s="11"/>
      <c r="V27" s="11"/>
    </row>
    <row r="28" spans="1:22" ht="14.1" customHeight="1" x14ac:dyDescent="0.2">
      <c r="A28" s="53"/>
      <c r="B28" s="359"/>
      <c r="C28" s="354"/>
      <c r="D28" s="9"/>
      <c r="E28" s="86"/>
      <c r="F28" s="9"/>
      <c r="G28" s="9"/>
      <c r="H28" s="39"/>
      <c r="I28" s="86"/>
      <c r="J28" s="53"/>
      <c r="K28" s="359"/>
      <c r="L28" s="354"/>
      <c r="M28" s="9"/>
      <c r="N28" s="86"/>
      <c r="O28" s="354"/>
      <c r="P28" s="9"/>
      <c r="Q28" s="39"/>
      <c r="R28" s="86"/>
      <c r="S28" s="20"/>
      <c r="T28" s="9"/>
      <c r="U28" s="11"/>
      <c r="V28" s="11"/>
    </row>
    <row r="29" spans="1:22" ht="14.1" customHeight="1" x14ac:dyDescent="0.2">
      <c r="A29" s="349" t="s">
        <v>168</v>
      </c>
      <c r="B29" s="359"/>
      <c r="C29" s="350">
        <f>[3]Condor!$FY$19</f>
        <v>0</v>
      </c>
      <c r="D29" s="352">
        <f>[3]Condor!$FK$19</f>
        <v>0</v>
      </c>
      <c r="E29" s="353" t="e">
        <f>(C29-D29)/D29</f>
        <v>#DIV/0!</v>
      </c>
      <c r="F29" s="352">
        <f>SUM([3]Condor!$FN$19:$FY$19)</f>
        <v>121</v>
      </c>
      <c r="G29" s="352">
        <f>SUM([3]Condor!$EZ$19:$FK$19)</f>
        <v>121</v>
      </c>
      <c r="H29" s="351">
        <f>(F29-G29)/G29</f>
        <v>0</v>
      </c>
      <c r="I29" s="353">
        <f>F29/$F$66</f>
        <v>3.264429588142297E-4</v>
      </c>
      <c r="J29" s="349" t="s">
        <v>168</v>
      </c>
      <c r="K29" s="359"/>
      <c r="L29" s="350">
        <f>[3]Condor!$FY$41</f>
        <v>0</v>
      </c>
      <c r="M29" s="352">
        <f>[3]Condor!$FK$41</f>
        <v>0</v>
      </c>
      <c r="N29" s="353" t="e">
        <f>(L29-M29)/M29</f>
        <v>#DIV/0!</v>
      </c>
      <c r="O29" s="350">
        <f>SUM([3]Condor!$FN$41:$FY$41)</f>
        <v>28840</v>
      </c>
      <c r="P29" s="352">
        <f>SUM([3]Condor!$EZ$41:$FK$41)</f>
        <v>28112</v>
      </c>
      <c r="Q29" s="351">
        <f>(O29-P29)/P29</f>
        <v>2.5896414342629483E-2</v>
      </c>
      <c r="R29" s="353">
        <f>O29/$O$66</f>
        <v>7.8406810583038099E-4</v>
      </c>
      <c r="S29" s="20"/>
      <c r="T29" s="9"/>
      <c r="U29" s="11"/>
      <c r="V29" s="11"/>
    </row>
    <row r="30" spans="1:22" ht="14.1" customHeight="1" x14ac:dyDescent="0.2">
      <c r="A30" s="53"/>
      <c r="B30" s="359"/>
      <c r="C30" s="354"/>
      <c r="D30" s="9"/>
      <c r="E30" s="86"/>
      <c r="F30" s="9"/>
      <c r="G30" s="9"/>
      <c r="H30" s="39"/>
      <c r="I30" s="86"/>
      <c r="J30" s="53"/>
      <c r="K30" s="359"/>
      <c r="L30" s="354"/>
      <c r="M30" s="9"/>
      <c r="N30" s="86"/>
      <c r="O30" s="354"/>
      <c r="P30" s="9"/>
      <c r="Q30" s="39"/>
      <c r="R30" s="86"/>
      <c r="S30" s="20"/>
      <c r="T30" s="9"/>
      <c r="U30" s="11"/>
      <c r="V30" s="11"/>
    </row>
    <row r="31" spans="1:22" ht="14.1" customHeight="1" x14ac:dyDescent="0.2">
      <c r="A31" s="349" t="s">
        <v>18</v>
      </c>
      <c r="B31" s="361"/>
      <c r="C31" s="350">
        <f>SUM(C32:C38)</f>
        <v>21440</v>
      </c>
      <c r="D31" s="352">
        <f>SUM(D32:D38)</f>
        <v>21665</v>
      </c>
      <c r="E31" s="353">
        <f t="shared" ref="E31:E38" si="6">(C31-D31)/D31</f>
        <v>-1.0385414262635588E-2</v>
      </c>
      <c r="F31" s="355">
        <f>SUM(F32:F38)</f>
        <v>272789</v>
      </c>
      <c r="G31" s="355">
        <f>SUM(G32:G38)</f>
        <v>274286</v>
      </c>
      <c r="H31" s="351">
        <f>(F31-G31)/G31</f>
        <v>-5.4578068147845679E-3</v>
      </c>
      <c r="I31" s="353">
        <f t="shared" ref="I31:I38" si="7">F31/$F$66</f>
        <v>0.73595081233037107</v>
      </c>
      <c r="J31" s="349" t="s">
        <v>18</v>
      </c>
      <c r="K31" s="361"/>
      <c r="L31" s="350">
        <f>SUM(L32:L38)</f>
        <v>1984391</v>
      </c>
      <c r="M31" s="352">
        <f>SUM(M32:M38)</f>
        <v>1964568</v>
      </c>
      <c r="N31" s="353">
        <f t="shared" ref="N31:N38" si="8">(L31-M31)/M31</f>
        <v>1.0090259028957002E-2</v>
      </c>
      <c r="O31" s="350">
        <f>SUM(O32:O38)</f>
        <v>26254595</v>
      </c>
      <c r="P31" s="352">
        <f>SUM(P32:P38)</f>
        <v>25995533</v>
      </c>
      <c r="Q31" s="351">
        <f t="shared" ref="Q31:Q38" si="9">(O31-P31)/P31</f>
        <v>9.9656352497177105E-3</v>
      </c>
      <c r="R31" s="353">
        <f t="shared" ref="R31:R38" si="10">O31/$O$66</f>
        <v>0.71377914601226744</v>
      </c>
      <c r="S31" s="414"/>
      <c r="U31" s="11"/>
      <c r="V31" s="11"/>
    </row>
    <row r="32" spans="1:22" ht="14.1" customHeight="1" x14ac:dyDescent="0.2">
      <c r="A32" s="53"/>
      <c r="B32" s="358" t="s">
        <v>18</v>
      </c>
      <c r="C32" s="354">
        <f>[3]Delta!$FY$19</f>
        <v>10997</v>
      </c>
      <c r="D32" s="9">
        <f>[3]Delta!$FK$19</f>
        <v>11228</v>
      </c>
      <c r="E32" s="86">
        <f t="shared" si="6"/>
        <v>-2.0573566084788029E-2</v>
      </c>
      <c r="F32" s="9">
        <f>SUM([3]Delta!$FN$19:$FY$19)</f>
        <v>144595</v>
      </c>
      <c r="G32" s="9">
        <f>SUM([3]Delta!$EZ$19:$FK$19)</f>
        <v>144882</v>
      </c>
      <c r="H32" s="39">
        <f t="shared" ref="H32:H38" si="11">(F32-G32)/G32</f>
        <v>-1.9809224058199085E-3</v>
      </c>
      <c r="I32" s="86">
        <f t="shared" si="7"/>
        <v>0.39009933578300449</v>
      </c>
      <c r="J32" s="53"/>
      <c r="K32" s="358" t="s">
        <v>18</v>
      </c>
      <c r="L32" s="354">
        <f>[3]Delta!$FY$41</f>
        <v>1453797</v>
      </c>
      <c r="M32" s="9">
        <f>[3]Delta!$FK$41</f>
        <v>1452490</v>
      </c>
      <c r="N32" s="86">
        <f t="shared" si="8"/>
        <v>8.9983407803151828E-4</v>
      </c>
      <c r="O32" s="354">
        <f>SUM([3]Delta!$FN$41:$FY$41)</f>
        <v>19778416</v>
      </c>
      <c r="P32" s="9">
        <f>SUM([3]Delta!$EZ$41:$FK$41)</f>
        <v>19585534</v>
      </c>
      <c r="Q32" s="39">
        <f t="shared" si="9"/>
        <v>9.8481869322531619E-3</v>
      </c>
      <c r="R32" s="86">
        <f t="shared" si="10"/>
        <v>0.5377123845161339</v>
      </c>
      <c r="S32" s="20"/>
      <c r="T32" s="9"/>
      <c r="U32" s="11"/>
      <c r="V32" s="11"/>
    </row>
    <row r="33" spans="1:22" ht="14.1" customHeight="1" x14ac:dyDescent="0.2">
      <c r="A33" s="53"/>
      <c r="B33" s="360" t="s">
        <v>120</v>
      </c>
      <c r="C33" s="354">
        <f>[3]Compass!$FY$19</f>
        <v>0</v>
      </c>
      <c r="D33" s="9">
        <f>[3]Compass!$FK$19</f>
        <v>0</v>
      </c>
      <c r="E33" s="86" t="e">
        <f t="shared" si="6"/>
        <v>#DIV/0!</v>
      </c>
      <c r="F33" s="9">
        <f>SUM([3]Compass!$FN$19:$FY$19)</f>
        <v>2</v>
      </c>
      <c r="G33" s="9">
        <f>SUM([3]Compass!$EZ$19:$FK$19)</f>
        <v>9731</v>
      </c>
      <c r="H33" s="39">
        <f t="shared" si="11"/>
        <v>-0.99979447127736099</v>
      </c>
      <c r="I33" s="86">
        <f t="shared" si="7"/>
        <v>5.3957513853591685E-6</v>
      </c>
      <c r="J33" s="53"/>
      <c r="K33" s="360" t="s">
        <v>120</v>
      </c>
      <c r="L33" s="354">
        <f>[3]Compass!$FY$41</f>
        <v>0</v>
      </c>
      <c r="M33" s="9">
        <f>[3]Compass!$FK$41</f>
        <v>0</v>
      </c>
      <c r="N33" s="86" t="e">
        <f t="shared" si="8"/>
        <v>#DIV/0!</v>
      </c>
      <c r="O33" s="354">
        <f>SUM([3]Compass!$FN$41:$FY$41)</f>
        <v>0</v>
      </c>
      <c r="P33" s="9">
        <f>SUM([3]Compass!$EZ$41:$FK$41)</f>
        <v>579555</v>
      </c>
      <c r="Q33" s="39">
        <f t="shared" si="9"/>
        <v>-1</v>
      </c>
      <c r="R33" s="86">
        <f t="shared" si="10"/>
        <v>0</v>
      </c>
      <c r="S33" s="9"/>
      <c r="T33" s="9"/>
      <c r="U33" s="11"/>
      <c r="V33" s="11"/>
    </row>
    <row r="34" spans="1:22" ht="14.1" customHeight="1" x14ac:dyDescent="0.2">
      <c r="A34" s="53"/>
      <c r="B34" s="359" t="s">
        <v>164</v>
      </c>
      <c r="C34" s="354">
        <f>[3]Pinnacle!$FY$19</f>
        <v>2664</v>
      </c>
      <c r="D34" s="9">
        <f>[3]Pinnacle!$FK$19</f>
        <v>3161</v>
      </c>
      <c r="E34" s="86">
        <f t="shared" si="6"/>
        <v>-0.15722872508699778</v>
      </c>
      <c r="F34" s="9">
        <f>SUM([3]Pinnacle!$FN$19:$FY$19)</f>
        <v>24751</v>
      </c>
      <c r="G34" s="9">
        <f>SUM([3]Pinnacle!$EZ$19:$FK$19)</f>
        <v>36611</v>
      </c>
      <c r="H34" s="39">
        <f t="shared" si="11"/>
        <v>-0.32394635492065227</v>
      </c>
      <c r="I34" s="86">
        <f t="shared" si="7"/>
        <v>6.6775121269512391E-2</v>
      </c>
      <c r="J34" s="53"/>
      <c r="K34" s="359" t="s">
        <v>164</v>
      </c>
      <c r="L34" s="354">
        <f>[3]Pinnacle!$FY$41</f>
        <v>156506</v>
      </c>
      <c r="M34" s="9">
        <f>[3]Pinnacle!$FK$41</f>
        <v>170099</v>
      </c>
      <c r="N34" s="86">
        <f t="shared" si="8"/>
        <v>-7.9912286374405492E-2</v>
      </c>
      <c r="O34" s="354">
        <f>SUM([3]Pinnacle!$FN$41:$FY$41)</f>
        <v>1457649</v>
      </c>
      <c r="P34" s="9">
        <f>SUM([3]Pinnacle!$EZ$41:$FK$41)</f>
        <v>1846302</v>
      </c>
      <c r="Q34" s="39">
        <f t="shared" si="9"/>
        <v>-0.21050348209556183</v>
      </c>
      <c r="R34" s="86">
        <f t="shared" si="10"/>
        <v>3.9628851955462868E-2</v>
      </c>
      <c r="S34" s="20"/>
      <c r="T34" s="11"/>
    </row>
    <row r="35" spans="1:22" ht="14.1" customHeight="1" x14ac:dyDescent="0.2">
      <c r="A35" s="53"/>
      <c r="B35" s="359" t="s">
        <v>160</v>
      </c>
      <c r="C35" s="354">
        <f>'[3]Go Jet'!$FY$19</f>
        <v>583</v>
      </c>
      <c r="D35" s="9">
        <f>'[3]Go Jet'!$FK$19</f>
        <v>328</v>
      </c>
      <c r="E35" s="86">
        <f t="shared" si="6"/>
        <v>0.77743902439024393</v>
      </c>
      <c r="F35" s="9">
        <f>SUM('[3]Go Jet'!$FN$19:$FY$19)</f>
        <v>6224</v>
      </c>
      <c r="G35" s="9">
        <f>SUM('[3]Go Jet'!$EZ$19:$FK$19)</f>
        <v>4794</v>
      </c>
      <c r="H35" s="39">
        <f>(F35-G35)/G35</f>
        <v>0.29828952857738839</v>
      </c>
      <c r="I35" s="86">
        <f t="shared" si="7"/>
        <v>1.6791578311237731E-2</v>
      </c>
      <c r="J35" s="53"/>
      <c r="K35" s="358" t="s">
        <v>160</v>
      </c>
      <c r="L35" s="354">
        <f>'[3]Go Jet'!$FY$41</f>
        <v>32420</v>
      </c>
      <c r="M35" s="9">
        <f>'[3]Go Jet'!$FK$41</f>
        <v>18944</v>
      </c>
      <c r="N35" s="86">
        <f t="shared" si="8"/>
        <v>0.71135979729729726</v>
      </c>
      <c r="O35" s="354">
        <f>SUM('[3]Go Jet'!$FN$41:$FY$41)</f>
        <v>367629</v>
      </c>
      <c r="P35" s="9">
        <f>SUM('[3]Go Jet'!$EZ$41:$FK$41)</f>
        <v>271791</v>
      </c>
      <c r="Q35" s="39">
        <f>(O35-P35)/P35</f>
        <v>0.35261653255626568</v>
      </c>
      <c r="R35" s="86">
        <f t="shared" si="10"/>
        <v>9.994666216307806E-3</v>
      </c>
      <c r="S35" s="330"/>
      <c r="T35" s="329"/>
    </row>
    <row r="36" spans="1:22" ht="14.1" customHeight="1" x14ac:dyDescent="0.2">
      <c r="A36" s="53"/>
      <c r="B36" s="359" t="s">
        <v>100</v>
      </c>
      <c r="C36" s="354">
        <f>'[3]Sky West'!$FY$19</f>
        <v>7104</v>
      </c>
      <c r="D36" s="9">
        <f>'[3]Sky West'!$FK$19</f>
        <v>6632</v>
      </c>
      <c r="E36" s="86">
        <f t="shared" si="6"/>
        <v>7.1170084439083237E-2</v>
      </c>
      <c r="F36" s="9">
        <f>SUM('[3]Sky West'!$FN$19:$FY$19)</f>
        <v>95695</v>
      </c>
      <c r="G36" s="9">
        <f>SUM('[3]Sky West'!$EZ$19:$FK$19)</f>
        <v>72904</v>
      </c>
      <c r="H36" s="39">
        <f t="shared" si="11"/>
        <v>0.31261659168221223</v>
      </c>
      <c r="I36" s="86">
        <f t="shared" si="7"/>
        <v>0.2581732144109728</v>
      </c>
      <c r="J36" s="53"/>
      <c r="K36" s="359" t="s">
        <v>100</v>
      </c>
      <c r="L36" s="354">
        <f>'[3]Sky West'!$FY$41</f>
        <v>335975</v>
      </c>
      <c r="M36" s="9">
        <f>'[3]Sky West'!$FK$41</f>
        <v>304589</v>
      </c>
      <c r="N36" s="86">
        <f t="shared" si="8"/>
        <v>0.10304377374100837</v>
      </c>
      <c r="O36" s="354">
        <f>SUM('[3]Sky West'!$FN$41:$FY$41)</f>
        <v>4571797</v>
      </c>
      <c r="P36" s="9">
        <f>SUM('[3]Sky West'!$EZ$41:$FK$41)</f>
        <v>3414051</v>
      </c>
      <c r="Q36" s="39">
        <f t="shared" si="9"/>
        <v>0.33911209879407189</v>
      </c>
      <c r="R36" s="86">
        <f t="shared" si="10"/>
        <v>0.12429265651979952</v>
      </c>
      <c r="S36" s="20"/>
    </row>
    <row r="37" spans="1:22" ht="14.1" customHeight="1" x14ac:dyDescent="0.2">
      <c r="A37" s="53"/>
      <c r="B37" s="359" t="s">
        <v>134</v>
      </c>
      <c r="C37" s="354">
        <f>'[3]Shuttle America_Delta'!$FY$19</f>
        <v>92</v>
      </c>
      <c r="D37" s="9">
        <f>'[3]Shuttle America_Delta'!$FK$19</f>
        <v>132</v>
      </c>
      <c r="E37" s="86">
        <f t="shared" si="6"/>
        <v>-0.30303030303030304</v>
      </c>
      <c r="F37" s="9">
        <f>SUM('[3]Shuttle America_Delta'!$FN$19:$FY$19)</f>
        <v>170</v>
      </c>
      <c r="G37" s="9">
        <f>SUM('[3]Shuttle America_Delta'!$EZ$19:$FK$19)</f>
        <v>290</v>
      </c>
      <c r="H37" s="39">
        <f t="shared" si="11"/>
        <v>-0.41379310344827586</v>
      </c>
      <c r="I37" s="86">
        <f t="shared" si="7"/>
        <v>4.5863886775552931E-4</v>
      </c>
      <c r="J37" s="53"/>
      <c r="K37" s="359" t="s">
        <v>134</v>
      </c>
      <c r="L37" s="354">
        <f>'[3]Shuttle America_Delta'!$FY$41</f>
        <v>5693</v>
      </c>
      <c r="M37" s="9">
        <f>'[3]Shuttle America_Delta'!$FK$41</f>
        <v>8010</v>
      </c>
      <c r="N37" s="86">
        <f t="shared" si="8"/>
        <v>-0.28926342072409489</v>
      </c>
      <c r="O37" s="354">
        <f>SUM('[3]Shuttle America_Delta'!$FN$41:$FY$41)</f>
        <v>10305</v>
      </c>
      <c r="P37" s="9">
        <f>SUM('[3]Shuttle America_Delta'!$EZ$41:$FK$41)</f>
        <v>16506</v>
      </c>
      <c r="Q37" s="39">
        <f t="shared" si="9"/>
        <v>-0.37568157033805888</v>
      </c>
      <c r="R37" s="86">
        <f t="shared" si="10"/>
        <v>2.8016025764847699E-4</v>
      </c>
      <c r="S37" s="20"/>
    </row>
    <row r="38" spans="1:22" ht="14.1" customHeight="1" x14ac:dyDescent="0.2">
      <c r="A38" s="53"/>
      <c r="B38" s="426" t="s">
        <v>174</v>
      </c>
      <c r="C38" s="354">
        <f>'[3]Atlantic Southeast'!$FY$19</f>
        <v>0</v>
      </c>
      <c r="D38" s="9">
        <f>'[3]Atlantic Southeast'!$FK$19</f>
        <v>184</v>
      </c>
      <c r="E38" s="86">
        <f t="shared" si="6"/>
        <v>-1</v>
      </c>
      <c r="F38" s="9">
        <f>SUM('[3]Atlantic Southeast'!$FN$19:$FY$19)</f>
        <v>1352</v>
      </c>
      <c r="G38" s="9">
        <f>SUM('[3]Atlantic Southeast'!$EZ$19:$FK$19)</f>
        <v>5074</v>
      </c>
      <c r="H38" s="39">
        <f t="shared" si="11"/>
        <v>-0.73354355538037053</v>
      </c>
      <c r="I38" s="86">
        <f t="shared" si="7"/>
        <v>3.6475279365027979E-3</v>
      </c>
      <c r="J38" s="53"/>
      <c r="K38" s="426" t="s">
        <v>174</v>
      </c>
      <c r="L38" s="354">
        <f>'[3]Atlantic Southeast'!$FY$41</f>
        <v>0</v>
      </c>
      <c r="M38" s="9">
        <f>'[3]Atlantic Southeast'!$FK$41</f>
        <v>10436</v>
      </c>
      <c r="N38" s="86">
        <f t="shared" si="8"/>
        <v>-1</v>
      </c>
      <c r="O38" s="354">
        <f>SUM('[3]Atlantic Southeast'!$FN$41:$FY$41)</f>
        <v>68799</v>
      </c>
      <c r="P38" s="9">
        <f>SUM('[3]Atlantic Southeast'!$EZ$41:$FK$41)</f>
        <v>281794</v>
      </c>
      <c r="Q38" s="39">
        <f t="shared" si="9"/>
        <v>-0.75585356678992455</v>
      </c>
      <c r="R38" s="86">
        <f t="shared" si="10"/>
        <v>1.8704265469148538E-3</v>
      </c>
      <c r="S38" s="328"/>
    </row>
    <row r="39" spans="1:22" ht="14.1" customHeight="1" x14ac:dyDescent="0.2">
      <c r="A39" s="53"/>
      <c r="B39" s="426"/>
      <c r="C39" s="354"/>
      <c r="D39" s="9"/>
      <c r="E39" s="86"/>
      <c r="F39" s="9"/>
      <c r="G39" s="9"/>
      <c r="H39" s="39"/>
      <c r="I39" s="86"/>
      <c r="J39" s="53"/>
      <c r="K39" s="426"/>
      <c r="L39" s="354"/>
      <c r="M39" s="9"/>
      <c r="N39" s="86"/>
      <c r="O39" s="354"/>
      <c r="P39" s="9"/>
      <c r="Q39" s="39"/>
      <c r="R39" s="86"/>
      <c r="S39" s="328"/>
    </row>
    <row r="40" spans="1:22" s="7" customFormat="1" ht="14.1" customHeight="1" x14ac:dyDescent="0.2">
      <c r="A40" s="349" t="s">
        <v>47</v>
      </c>
      <c r="B40" s="362"/>
      <c r="C40" s="350">
        <f>[3]Frontier!$FY$19</f>
        <v>216</v>
      </c>
      <c r="D40" s="352">
        <f>[3]Frontier!$FK$19</f>
        <v>248</v>
      </c>
      <c r="E40" s="353">
        <f>(C40-D40)/D40</f>
        <v>-0.12903225806451613</v>
      </c>
      <c r="F40" s="352">
        <f>SUM([3]Frontier!$FN$19:$FY$19)</f>
        <v>3294</v>
      </c>
      <c r="G40" s="352">
        <f>SUM([3]Frontier!$EZ$19:$FK$19)</f>
        <v>2291</v>
      </c>
      <c r="H40" s="351">
        <f>(F40-G40)/G40</f>
        <v>0.43780008729812309</v>
      </c>
      <c r="I40" s="353">
        <f>F40/$F$66</f>
        <v>8.8868025316865499E-3</v>
      </c>
      <c r="J40" s="349" t="s">
        <v>47</v>
      </c>
      <c r="K40" s="362"/>
      <c r="L40" s="350">
        <f>[3]Frontier!$FY$41</f>
        <v>35408</v>
      </c>
      <c r="M40" s="352">
        <f>[3]Frontier!$FK$41</f>
        <v>43467</v>
      </c>
      <c r="N40" s="353">
        <f>(L40-M40)/M40</f>
        <v>-0.18540501990015415</v>
      </c>
      <c r="O40" s="350">
        <f>SUM([3]Frontier!$FN$41:$FY$41)</f>
        <v>486713</v>
      </c>
      <c r="P40" s="352">
        <f>SUM([3]Frontier!$EZ$41:$FK$41)</f>
        <v>346053</v>
      </c>
      <c r="Q40" s="351">
        <f>(O40-P40)/P40</f>
        <v>0.40646952923396129</v>
      </c>
      <c r="R40" s="353">
        <f>O40/$O$66</f>
        <v>1.3232182385333642E-2</v>
      </c>
      <c r="S40" s="469"/>
      <c r="T40"/>
      <c r="U40" s="4"/>
    </row>
    <row r="41" spans="1:22" s="7" customFormat="1" ht="14.1" customHeight="1" x14ac:dyDescent="0.2">
      <c r="A41" s="349"/>
      <c r="B41" s="362"/>
      <c r="C41" s="350"/>
      <c r="D41" s="352"/>
      <c r="E41" s="353"/>
      <c r="F41" s="352"/>
      <c r="G41" s="352"/>
      <c r="H41" s="351"/>
      <c r="I41" s="353"/>
      <c r="J41" s="349"/>
      <c r="K41" s="362"/>
      <c r="L41" s="354"/>
      <c r="M41" s="9"/>
      <c r="N41" s="86"/>
      <c r="O41" s="354"/>
      <c r="P41" s="9"/>
      <c r="Q41" s="39"/>
      <c r="R41" s="86"/>
      <c r="S41" s="469"/>
    </row>
    <row r="42" spans="1:22" s="7" customFormat="1" ht="14.1" customHeight="1" x14ac:dyDescent="0.2">
      <c r="A42" s="349" t="s">
        <v>48</v>
      </c>
      <c r="B42" s="362"/>
      <c r="C42" s="350">
        <f>[3]Icelandair!$FY$19</f>
        <v>32</v>
      </c>
      <c r="D42" s="352">
        <f>[3]Icelandair!$FK$19</f>
        <v>32</v>
      </c>
      <c r="E42" s="353">
        <f>(C42-D42)/D42</f>
        <v>0</v>
      </c>
      <c r="F42" s="352">
        <f>SUM([3]Icelandair!$FN$19:$FY$19)</f>
        <v>630</v>
      </c>
      <c r="G42" s="352">
        <f>SUM([3]Icelandair!$EZ$19:$FK$19)</f>
        <v>558</v>
      </c>
      <c r="H42" s="351">
        <f>(F42-G42)/G42</f>
        <v>0.12903225806451613</v>
      </c>
      <c r="I42" s="353">
        <f>F42/$F$66</f>
        <v>1.699661686388138E-3</v>
      </c>
      <c r="J42" s="349" t="s">
        <v>48</v>
      </c>
      <c r="K42" s="362"/>
      <c r="L42" s="350">
        <f>[3]Icelandair!$FY$41</f>
        <v>4299</v>
      </c>
      <c r="M42" s="352">
        <f>[3]Icelandair!$FK$41</f>
        <v>4466</v>
      </c>
      <c r="N42" s="353">
        <f>(L42-M42)/M42</f>
        <v>-3.7393640841916702E-2</v>
      </c>
      <c r="O42" s="350">
        <f>SUM([3]Icelandair!$FN$41:$FY$41)</f>
        <v>90858</v>
      </c>
      <c r="P42" s="352">
        <f>SUM([3]Icelandair!$EZ$41:$FK$41)</f>
        <v>99406</v>
      </c>
      <c r="Q42" s="351">
        <f>(O42-P42)/P42</f>
        <v>-8.5990785264470959E-2</v>
      </c>
      <c r="R42" s="353">
        <f>O42/$O$66</f>
        <v>2.4701407752960041E-3</v>
      </c>
      <c r="S42" s="20"/>
    </row>
    <row r="43" spans="1:22" s="7" customFormat="1" ht="14.1" customHeight="1" x14ac:dyDescent="0.2">
      <c r="A43" s="349"/>
      <c r="B43" s="362"/>
      <c r="C43" s="350"/>
      <c r="D43" s="352"/>
      <c r="E43" s="353"/>
      <c r="F43" s="352"/>
      <c r="G43" s="352"/>
      <c r="H43" s="351"/>
      <c r="I43" s="353"/>
      <c r="J43" s="349"/>
      <c r="K43" s="362"/>
      <c r="L43" s="354"/>
      <c r="M43" s="9"/>
      <c r="N43" s="86"/>
      <c r="O43" s="354"/>
      <c r="P43" s="9"/>
      <c r="Q43" s="39"/>
      <c r="R43" s="86"/>
      <c r="S43" s="20"/>
    </row>
    <row r="44" spans="1:22" s="7" customFormat="1" ht="14.1" customHeight="1" x14ac:dyDescent="0.2">
      <c r="A44" s="349" t="s">
        <v>229</v>
      </c>
      <c r="B44" s="362"/>
      <c r="C44" s="350">
        <f>'[3]Jet Blue'!$FY$19</f>
        <v>152</v>
      </c>
      <c r="D44" s="352">
        <f>'[3]Jet Blue'!$FK$19</f>
        <v>0</v>
      </c>
      <c r="E44" s="353" t="e">
        <f>(C44-D44)/D44</f>
        <v>#DIV/0!</v>
      </c>
      <c r="F44" s="352">
        <f>SUM('[3]Jet Blue'!$FN$19:$FY$19)</f>
        <v>1389</v>
      </c>
      <c r="G44" s="352">
        <f>SUM('[3]Jet Blue'!$EZ$19:$FK$19)</f>
        <v>0</v>
      </c>
      <c r="H44" s="351" t="e">
        <f>(F44-G44)/G44</f>
        <v>#DIV/0!</v>
      </c>
      <c r="I44" s="353">
        <f>F44/$F$66</f>
        <v>3.7473493371319422E-3</v>
      </c>
      <c r="J44" s="349" t="s">
        <v>229</v>
      </c>
      <c r="K44" s="362"/>
      <c r="L44" s="350">
        <f>'[3]Jet Blue'!$FY$41</f>
        <v>14318</v>
      </c>
      <c r="M44" s="352">
        <f>'[3]Jet Blue'!$FK$41</f>
        <v>0</v>
      </c>
      <c r="N44" s="353" t="e">
        <f>(L44-M44)/M44</f>
        <v>#DIV/0!</v>
      </c>
      <c r="O44" s="350">
        <f>SUM('[3]Jet Blue'!$FN$41:$FY$41)</f>
        <v>153816</v>
      </c>
      <c r="P44" s="352">
        <f>SUM('[3]Jet Blue'!$EZ$41:$FK$41)</f>
        <v>0</v>
      </c>
      <c r="Q44" s="351" t="e">
        <f>(O44-P44)/P44</f>
        <v>#DIV/0!</v>
      </c>
      <c r="R44" s="353">
        <f>O44/$O$66</f>
        <v>4.1817690626354325E-3</v>
      </c>
      <c r="S44" s="20"/>
    </row>
    <row r="45" spans="1:22" s="7" customFormat="1" ht="14.1" customHeight="1" x14ac:dyDescent="0.2">
      <c r="A45" s="349"/>
      <c r="B45" s="362"/>
      <c r="C45" s="350"/>
      <c r="D45" s="352"/>
      <c r="E45" s="353"/>
      <c r="F45" s="352"/>
      <c r="G45" s="352"/>
      <c r="H45" s="351"/>
      <c r="I45" s="353"/>
      <c r="J45" s="349"/>
      <c r="K45" s="362"/>
      <c r="L45" s="354"/>
      <c r="M45" s="9"/>
      <c r="N45" s="86"/>
      <c r="O45" s="354"/>
      <c r="P45" s="9"/>
      <c r="Q45" s="39"/>
      <c r="R45" s="86"/>
      <c r="S45" s="20"/>
    </row>
    <row r="46" spans="1:22" s="7" customFormat="1" ht="14.1" customHeight="1" x14ac:dyDescent="0.2">
      <c r="A46" s="349" t="s">
        <v>216</v>
      </c>
      <c r="B46" s="362"/>
      <c r="C46" s="350">
        <f>[3]KLM!$FY$19</f>
        <v>36</v>
      </c>
      <c r="D46" s="352">
        <f>[3]KLM!$FK$19</f>
        <v>28</v>
      </c>
      <c r="E46" s="353">
        <f>(C46-D46)/D46</f>
        <v>0.2857142857142857</v>
      </c>
      <c r="F46" s="352">
        <f>SUM([3]KLM!$FN$19:$FY$19)</f>
        <v>376</v>
      </c>
      <c r="G46" s="352">
        <f>SUM([3]KLM!$EZ$19:$FK$19)</f>
        <v>232</v>
      </c>
      <c r="H46" s="351">
        <f>(F46-G46)/G46</f>
        <v>0.62068965517241381</v>
      </c>
      <c r="I46" s="353">
        <f>F46/$F$66</f>
        <v>1.0144012604475236E-3</v>
      </c>
      <c r="J46" s="349" t="s">
        <v>216</v>
      </c>
      <c r="K46" s="362"/>
      <c r="L46" s="350">
        <f>[3]KLM!$FY$41</f>
        <v>8481</v>
      </c>
      <c r="M46" s="352">
        <f>[3]KLM!$FK$41</f>
        <v>5768</v>
      </c>
      <c r="N46" s="353">
        <f>(L46-M46)/M46</f>
        <v>0.47035367545076284</v>
      </c>
      <c r="O46" s="350">
        <f>SUM([3]KLM!$FN$41:$FY$41)</f>
        <v>87467</v>
      </c>
      <c r="P46" s="352">
        <f>SUM([3]KLM!$EZ$41:$FK$41)</f>
        <v>52356</v>
      </c>
      <c r="Q46" s="351">
        <f>(O46-P46)/P46</f>
        <v>0.6706203682481473</v>
      </c>
      <c r="R46" s="353">
        <f>O46/$O$66</f>
        <v>2.3779502431576262E-3</v>
      </c>
      <c r="S46" s="20"/>
    </row>
    <row r="47" spans="1:22" s="7" customFormat="1" ht="14.1" customHeight="1" x14ac:dyDescent="0.2">
      <c r="A47" s="349"/>
      <c r="B47" s="362"/>
      <c r="C47" s="350"/>
      <c r="D47" s="352"/>
      <c r="E47" s="353"/>
      <c r="F47" s="352"/>
      <c r="G47" s="352"/>
      <c r="H47" s="351"/>
      <c r="I47" s="353"/>
      <c r="J47" s="349"/>
      <c r="K47" s="362"/>
      <c r="L47" s="354"/>
      <c r="M47" s="9"/>
      <c r="N47" s="86"/>
      <c r="O47" s="354"/>
      <c r="P47" s="9"/>
      <c r="Q47" s="39"/>
      <c r="R47" s="86"/>
      <c r="S47" s="20"/>
    </row>
    <row r="48" spans="1:22" ht="14.1" customHeight="1" x14ac:dyDescent="0.2">
      <c r="A48" s="515" t="s">
        <v>132</v>
      </c>
      <c r="C48" s="350">
        <f>[3]Southwest!$FY$19</f>
        <v>1218</v>
      </c>
      <c r="D48" s="352">
        <f>[3]Southwest!$FK$19</f>
        <v>1256</v>
      </c>
      <c r="E48" s="353">
        <f>(C48-D48)/D48</f>
        <v>-3.0254777070063694E-2</v>
      </c>
      <c r="F48" s="352">
        <f>SUM([3]Southwest!$FN$19:$FY$19)</f>
        <v>16154</v>
      </c>
      <c r="G48" s="352">
        <f>SUM([3]Southwest!$EZ$19:$FK$19)</f>
        <v>17648</v>
      </c>
      <c r="H48" s="351">
        <f>(F48-G48)/G48</f>
        <v>-8.4655485040797826E-2</v>
      </c>
      <c r="I48" s="353">
        <f>F48/$F$66</f>
        <v>4.3581483939546001E-2</v>
      </c>
      <c r="J48" s="357" t="s">
        <v>132</v>
      </c>
      <c r="L48" s="350">
        <f>[3]Southwest!$FY$41</f>
        <v>143430</v>
      </c>
      <c r="M48" s="352">
        <f>[3]Southwest!$FK$41</f>
        <v>152742</v>
      </c>
      <c r="N48" s="353">
        <f>(L48-M48)/M48</f>
        <v>-6.0965549750559768E-2</v>
      </c>
      <c r="O48" s="350">
        <f>SUM([3]Southwest!$FN$41:$FY$41)</f>
        <v>1944336</v>
      </c>
      <c r="P48" s="352">
        <f>SUM([3]Southwest!$EZ$41:$FK$41)</f>
        <v>2058405</v>
      </c>
      <c r="Q48" s="351">
        <f>(O48-P48)/P48</f>
        <v>-5.5416208180605858E-2</v>
      </c>
      <c r="R48" s="353">
        <f>O48/$O$66</f>
        <v>5.2860327483280851E-2</v>
      </c>
      <c r="S48" s="20"/>
    </row>
    <row r="49" spans="1:20" ht="14.1" customHeight="1" x14ac:dyDescent="0.2">
      <c r="A49" s="349"/>
      <c r="B49" s="55"/>
      <c r="C49" s="350"/>
      <c r="D49" s="352"/>
      <c r="E49" s="353"/>
      <c r="F49" s="352"/>
      <c r="G49" s="352"/>
      <c r="H49" s="351"/>
      <c r="I49" s="353"/>
      <c r="J49" s="349"/>
      <c r="K49" s="55"/>
      <c r="L49" s="354"/>
      <c r="M49" s="9"/>
      <c r="N49" s="86"/>
      <c r="O49" s="354"/>
      <c r="P49" s="9"/>
      <c r="Q49" s="39"/>
      <c r="R49" s="86"/>
      <c r="S49" s="20"/>
      <c r="T49" s="7"/>
    </row>
    <row r="50" spans="1:20" ht="14.1" customHeight="1" x14ac:dyDescent="0.2">
      <c r="A50" s="349" t="s">
        <v>161</v>
      </c>
      <c r="B50" s="55"/>
      <c r="C50" s="350">
        <f>[3]Spirit!$FY$19</f>
        <v>706</v>
      </c>
      <c r="D50" s="352">
        <f>[3]Spirit!$FK$19</f>
        <v>718</v>
      </c>
      <c r="E50" s="353">
        <f>(C50-D50)/D50</f>
        <v>-1.6713091922005572E-2</v>
      </c>
      <c r="F50" s="352">
        <f>SUM([3]Spirit!$FN$19:$FY$19)</f>
        <v>8367</v>
      </c>
      <c r="G50" s="352">
        <f>SUM([3]Spirit!$EZ$19:$FK$19)</f>
        <v>9161</v>
      </c>
      <c r="H50" s="351">
        <f>(F50-G50)/G50</f>
        <v>-8.6671760724811697E-2</v>
      </c>
      <c r="I50" s="353">
        <f>F50/$F$66</f>
        <v>2.257312592065008E-2</v>
      </c>
      <c r="J50" s="349" t="s">
        <v>161</v>
      </c>
      <c r="K50" s="55"/>
      <c r="L50" s="350">
        <f>[3]Spirit!$FY$41</f>
        <v>94845</v>
      </c>
      <c r="M50" s="352">
        <f>[3]Spirit!$FK$41</f>
        <v>89435</v>
      </c>
      <c r="N50" s="353">
        <f>(L50-M50)/M50</f>
        <v>6.049085928327836E-2</v>
      </c>
      <c r="O50" s="350">
        <f>SUM([3]Spirit!$FN$41:$FY$41)</f>
        <v>1149731</v>
      </c>
      <c r="P50" s="352">
        <f>SUM([3]Spirit!$EZ$41:$FK$41)</f>
        <v>1232433</v>
      </c>
      <c r="Q50" s="351">
        <f>(O50-P50)/P50</f>
        <v>-6.7104662078993335E-2</v>
      </c>
      <c r="R50" s="353">
        <f>O50/$O$66</f>
        <v>3.1257538397519755E-2</v>
      </c>
      <c r="S50" s="20"/>
      <c r="T50" s="7"/>
    </row>
    <row r="51" spans="1:20" ht="14.1" customHeight="1" x14ac:dyDescent="0.2">
      <c r="A51" s="349"/>
      <c r="B51" s="55"/>
      <c r="C51" s="350"/>
      <c r="D51" s="352"/>
      <c r="E51" s="353"/>
      <c r="F51" s="352"/>
      <c r="G51" s="352"/>
      <c r="H51" s="351"/>
      <c r="I51" s="353"/>
      <c r="J51" s="349"/>
      <c r="K51" s="55"/>
      <c r="L51" s="354"/>
      <c r="M51" s="9"/>
      <c r="N51" s="86"/>
      <c r="O51" s="354"/>
      <c r="P51" s="9"/>
      <c r="Q51" s="39"/>
      <c r="R51" s="86">
        <f>O51/$O$66</f>
        <v>0</v>
      </c>
      <c r="S51" s="20"/>
      <c r="T51" s="7"/>
    </row>
    <row r="52" spans="1:20" s="7" customFormat="1" ht="14.1" customHeight="1" x14ac:dyDescent="0.2">
      <c r="A52" s="349" t="s">
        <v>49</v>
      </c>
      <c r="B52" s="362"/>
      <c r="C52" s="350">
        <f>'[3]Sun Country'!$FY$19</f>
        <v>1650</v>
      </c>
      <c r="D52" s="352">
        <f>'[3]Sun Country'!$FK$19</f>
        <v>1953</v>
      </c>
      <c r="E52" s="353">
        <f>(C52-D52)/D52</f>
        <v>-0.15514592933947774</v>
      </c>
      <c r="F52" s="352">
        <f>SUM('[3]Sun Country'!$FN$19:$FY$19)</f>
        <v>19334</v>
      </c>
      <c r="G52" s="352">
        <f>SUM('[3]Sun Country'!$EZ$19:$FK$19)</f>
        <v>21022</v>
      </c>
      <c r="H52" s="351">
        <f>(F52-G52)/G52</f>
        <v>-8.029683189040053E-2</v>
      </c>
      <c r="I52" s="353">
        <f>F52/$F$66</f>
        <v>5.2160728642267076E-2</v>
      </c>
      <c r="J52" s="349" t="s">
        <v>49</v>
      </c>
      <c r="K52" s="362"/>
      <c r="L52" s="350">
        <f>'[3]Sun Country'!$FY$41</f>
        <v>210536</v>
      </c>
      <c r="M52" s="352">
        <f>'[3]Sun Country'!$FK$41</f>
        <v>227101</v>
      </c>
      <c r="N52" s="353">
        <f>(L52-M52)/M52</f>
        <v>-7.2941114305969584E-2</v>
      </c>
      <c r="O52" s="350">
        <f>SUM('[3]Sun Country'!$FN$41:$FY$41)</f>
        <v>2349393</v>
      </c>
      <c r="P52" s="352">
        <f>SUM('[3]Sun Country'!$EZ$41:$FK$41)</f>
        <v>2411903</v>
      </c>
      <c r="Q52" s="351">
        <f>(O52-P52)/P52</f>
        <v>-2.5917294352218973E-2</v>
      </c>
      <c r="R52" s="353">
        <f>O52/$O$66</f>
        <v>6.3872542280206529E-2</v>
      </c>
      <c r="S52" s="20"/>
    </row>
    <row r="53" spans="1:20" s="7" customFormat="1" ht="14.1" customHeight="1" x14ac:dyDescent="0.2">
      <c r="A53" s="349"/>
      <c r="B53" s="362"/>
      <c r="C53" s="350"/>
      <c r="D53" s="352"/>
      <c r="E53" s="353"/>
      <c r="F53" s="352"/>
      <c r="G53" s="352"/>
      <c r="H53" s="351"/>
      <c r="I53" s="353"/>
      <c r="J53" s="349"/>
      <c r="K53" s="362"/>
      <c r="L53" s="354"/>
      <c r="M53" s="9"/>
      <c r="N53" s="86"/>
      <c r="O53" s="354"/>
      <c r="P53" s="9"/>
      <c r="Q53" s="39"/>
      <c r="R53" s="86"/>
      <c r="S53" s="20"/>
    </row>
    <row r="54" spans="1:20" s="7" customFormat="1" ht="14.1" customHeight="1" x14ac:dyDescent="0.2">
      <c r="A54" s="349" t="s">
        <v>19</v>
      </c>
      <c r="B54" s="357"/>
      <c r="C54" s="350">
        <f>SUM(C55:C61)</f>
        <v>1368</v>
      </c>
      <c r="D54" s="352">
        <f>SUM(D55:D61)</f>
        <v>1474</v>
      </c>
      <c r="E54" s="353">
        <f t="shared" ref="E54:E61" si="12">(C54-D54)/D54</f>
        <v>-7.1913161465400277E-2</v>
      </c>
      <c r="F54" s="352">
        <f>SUM(F55:F61)</f>
        <v>17771</v>
      </c>
      <c r="G54" s="352">
        <f>SUM(G55:G61)</f>
        <v>19990</v>
      </c>
      <c r="H54" s="351">
        <f t="shared" ref="H54:H61" si="13">(F54-G54)/G54</f>
        <v>-0.11100550275137569</v>
      </c>
      <c r="I54" s="353">
        <f t="shared" ref="I54:I61" si="14">F54/$F$66</f>
        <v>4.794394893460889E-2</v>
      </c>
      <c r="J54" s="349" t="s">
        <v>19</v>
      </c>
      <c r="K54" s="357"/>
      <c r="L54" s="350">
        <f>SUM(L55:L61)</f>
        <v>115824</v>
      </c>
      <c r="M54" s="352">
        <f>SUM(M55:M61)</f>
        <v>122122</v>
      </c>
      <c r="N54" s="353">
        <f t="shared" ref="N54:N61" si="15">(L54-M54)/M54</f>
        <v>-5.15713794402319E-2</v>
      </c>
      <c r="O54" s="350">
        <f>SUM(O55:O61)</f>
        <v>1588226</v>
      </c>
      <c r="P54" s="352">
        <f>SUM(P55:P61)</f>
        <v>1696922</v>
      </c>
      <c r="Q54" s="351">
        <f t="shared" ref="Q54:Q61" si="16">(O54-P54)/P54</f>
        <v>-6.4054800397425463E-2</v>
      </c>
      <c r="R54" s="353">
        <f t="shared" ref="R54:R61" si="17">O54/$O$66</f>
        <v>4.3178826333237261E-2</v>
      </c>
      <c r="S54" s="20"/>
      <c r="T54"/>
    </row>
    <row r="55" spans="1:20" s="7" customFormat="1" ht="14.1" customHeight="1" x14ac:dyDescent="0.2">
      <c r="A55" s="363"/>
      <c r="B55" s="424" t="s">
        <v>19</v>
      </c>
      <c r="C55" s="354">
        <f>[3]United!$FY$19</f>
        <v>408</v>
      </c>
      <c r="D55" s="9">
        <f>[3]United!$FK$19+[3]Continental!$FK$19</f>
        <v>470</v>
      </c>
      <c r="E55" s="86">
        <f t="shared" si="12"/>
        <v>-0.13191489361702127</v>
      </c>
      <c r="F55" s="9">
        <f>SUM([3]United!$FN$19:$FY$19)</f>
        <v>7232</v>
      </c>
      <c r="G55" s="9">
        <f>SUM([3]United!$EZ$19:$FK$19)+SUM([3]Continental!$EZ$19:$FK$19)</f>
        <v>8642</v>
      </c>
      <c r="H55" s="39">
        <f t="shared" si="13"/>
        <v>-0.16315667669520945</v>
      </c>
      <c r="I55" s="86">
        <f t="shared" si="14"/>
        <v>1.9511037009458752E-2</v>
      </c>
      <c r="J55" s="363"/>
      <c r="K55" s="424" t="s">
        <v>19</v>
      </c>
      <c r="L55" s="354">
        <f>[3]United!$FY$41</f>
        <v>56503</v>
      </c>
      <c r="M55" s="9">
        <f>[3]United!$FK$41+[3]Continental!$FK$41</f>
        <v>59174</v>
      </c>
      <c r="N55" s="86">
        <f t="shared" si="15"/>
        <v>-4.5138067394463785E-2</v>
      </c>
      <c r="O55" s="354">
        <f>SUM([3]United!$FN$41:$FY$41)</f>
        <v>917534</v>
      </c>
      <c r="P55" s="9">
        <f>SUM([3]United!$EZ$41:$FK$41)+SUM([3]Continental!$EZ$41:$FK$41)</f>
        <v>1019899</v>
      </c>
      <c r="Q55" s="39">
        <f t="shared" si="16"/>
        <v>-0.10036778151562066</v>
      </c>
      <c r="R55" s="86">
        <f t="shared" si="17"/>
        <v>2.4944838606621802E-2</v>
      </c>
      <c r="S55" s="20"/>
    </row>
    <row r="56" spans="1:20" s="7" customFormat="1" ht="14.1" customHeight="1" x14ac:dyDescent="0.2">
      <c r="A56" s="363"/>
      <c r="B56" s="426" t="s">
        <v>174</v>
      </c>
      <c r="C56" s="354">
        <f>'[3]Continental Express'!$FY$19</f>
        <v>0</v>
      </c>
      <c r="D56" s="9">
        <f>'[3]Continental Express'!$FK$19</f>
        <v>16</v>
      </c>
      <c r="E56" s="86">
        <f t="shared" si="12"/>
        <v>-1</v>
      </c>
      <c r="F56" s="9">
        <f>SUM('[3]Continental Express'!$FN$19:$FY$19)</f>
        <v>64</v>
      </c>
      <c r="G56" s="9">
        <f>SUM('[3]Continental Express'!$EZ$19:$FK$19)</f>
        <v>184</v>
      </c>
      <c r="H56" s="39">
        <f t="shared" si="13"/>
        <v>-0.65217391304347827</v>
      </c>
      <c r="I56" s="86">
        <f t="shared" si="14"/>
        <v>1.7266404433149339E-4</v>
      </c>
      <c r="J56" s="53"/>
      <c r="K56" s="424" t="s">
        <v>174</v>
      </c>
      <c r="L56" s="354">
        <f>'[3]Continental Express'!$FY$41</f>
        <v>0</v>
      </c>
      <c r="M56" s="9">
        <f>'[3]Continental Express'!$FK$41</f>
        <v>643</v>
      </c>
      <c r="N56" s="86">
        <f t="shared" si="15"/>
        <v>-1</v>
      </c>
      <c r="O56" s="354">
        <f>SUM('[3]Continental Express'!$FN$41:$FY$41)</f>
        <v>2069</v>
      </c>
      <c r="P56" s="9">
        <f>SUM('[3]Continental Express'!$EZ$41:$FK$41)</f>
        <v>7476</v>
      </c>
      <c r="Q56" s="39">
        <f t="shared" si="16"/>
        <v>-0.72324772605671483</v>
      </c>
      <c r="R56" s="86">
        <f t="shared" si="17"/>
        <v>5.6249546149898001E-5</v>
      </c>
      <c r="S56" s="20"/>
    </row>
    <row r="57" spans="1:20" s="7" customFormat="1" ht="14.1" customHeight="1" x14ac:dyDescent="0.2">
      <c r="A57" s="363"/>
      <c r="B57" s="359" t="s">
        <v>160</v>
      </c>
      <c r="C57" s="354">
        <f>'[3]Go Jet_UA'!$FY$19</f>
        <v>28</v>
      </c>
      <c r="D57" s="9">
        <f>'[3]Go Jet_UA'!$FK$19</f>
        <v>100</v>
      </c>
      <c r="E57" s="86">
        <f t="shared" si="12"/>
        <v>-0.72</v>
      </c>
      <c r="F57" s="9">
        <f>SUM('[3]Go Jet_UA'!$FN$19:$FY$19)</f>
        <v>185</v>
      </c>
      <c r="G57" s="9">
        <f>SUM('[3]Go Jet_UA'!$EZ$19:$FK$19)</f>
        <v>502</v>
      </c>
      <c r="H57" s="39">
        <f t="shared" si="13"/>
        <v>-0.63147410358565736</v>
      </c>
      <c r="I57" s="86">
        <f t="shared" si="14"/>
        <v>4.9910700314572309E-4</v>
      </c>
      <c r="J57" s="363"/>
      <c r="K57" s="358" t="s">
        <v>160</v>
      </c>
      <c r="L57" s="354">
        <f>'[3]Go Jet_UA'!$FY$41</f>
        <v>1760</v>
      </c>
      <c r="M57" s="9">
        <f>'[3]Go Jet_UA'!$FK$41</f>
        <v>6496</v>
      </c>
      <c r="N57" s="86">
        <f t="shared" si="15"/>
        <v>-0.72906403940886699</v>
      </c>
      <c r="O57" s="354">
        <f>SUM('[3]Go Jet_UA'!$FN$41:$FY$41)</f>
        <v>12125</v>
      </c>
      <c r="P57" s="9">
        <f>SUM('[3]Go Jet_UA'!$EZ$41:$FK$41)</f>
        <v>32878</v>
      </c>
      <c r="Q57" s="39">
        <f t="shared" si="16"/>
        <v>-0.63121236084920007</v>
      </c>
      <c r="R57" s="86">
        <f t="shared" si="17"/>
        <v>3.2964028374456899E-4</v>
      </c>
      <c r="S57" s="20"/>
    </row>
    <row r="58" spans="1:20" s="7" customFormat="1" ht="14.1" customHeight="1" x14ac:dyDescent="0.2">
      <c r="A58" s="363"/>
      <c r="B58" s="359" t="s">
        <v>51</v>
      </c>
      <c r="C58" s="354">
        <f>[3]MESA_UA!$FY$19</f>
        <v>320</v>
      </c>
      <c r="D58" s="9">
        <f>[3]MESA_UA!$FK$19</f>
        <v>212</v>
      </c>
      <c r="E58" s="86">
        <f t="shared" si="12"/>
        <v>0.50943396226415094</v>
      </c>
      <c r="F58" s="9">
        <f>SUM([3]MESA_UA!$FN$19:$FY$19)</f>
        <v>3394</v>
      </c>
      <c r="G58" s="9">
        <f>SUM([3]MESA_UA!$EZ$19:$FK$19)</f>
        <v>3558</v>
      </c>
      <c r="H58" s="39">
        <f>(F58-G58)/G58</f>
        <v>-4.6093310848791459E-2</v>
      </c>
      <c r="I58" s="86">
        <f t="shared" si="14"/>
        <v>9.1565901009545078E-3</v>
      </c>
      <c r="J58" s="363"/>
      <c r="K58" s="358" t="s">
        <v>51</v>
      </c>
      <c r="L58" s="354">
        <f>[3]MESA_UA!$FY$41</f>
        <v>20072</v>
      </c>
      <c r="M58" s="9">
        <f>[3]MESA_UA!$FK$41</f>
        <v>13074</v>
      </c>
      <c r="N58" s="86">
        <f t="shared" si="15"/>
        <v>0.53526082300749578</v>
      </c>
      <c r="O58" s="354">
        <f>SUM([3]MESA_UA!$FN$41:$FY$41)</f>
        <v>219125</v>
      </c>
      <c r="P58" s="9">
        <f>SUM([3]MESA_UA!$EZ$41:$FK$41)</f>
        <v>205391</v>
      </c>
      <c r="Q58" s="39">
        <f t="shared" si="16"/>
        <v>6.6867584266107088E-2</v>
      </c>
      <c r="R58" s="86">
        <f t="shared" si="17"/>
        <v>5.9573135814869017E-3</v>
      </c>
      <c r="S58" s="20"/>
    </row>
    <row r="59" spans="1:20" s="7" customFormat="1" ht="14.1" customHeight="1" x14ac:dyDescent="0.2">
      <c r="A59" s="363"/>
      <c r="B59" s="426" t="s">
        <v>52</v>
      </c>
      <c r="C59" s="354">
        <f>[3]Republic_UA!$FY$19</f>
        <v>430</v>
      </c>
      <c r="D59" s="9">
        <f>[3]Republic_UA!$FK$19</f>
        <v>458</v>
      </c>
      <c r="E59" s="86">
        <f t="shared" si="12"/>
        <v>-6.1135371179039298E-2</v>
      </c>
      <c r="F59" s="9">
        <f>SUM([3]Republic_UA!$FN$19:$FY$19)</f>
        <v>4932</v>
      </c>
      <c r="G59" s="9">
        <f>SUM([3]Republic_UA!$EZ$19:$FK$19)</f>
        <v>4038</v>
      </c>
      <c r="H59" s="39">
        <f t="shared" ref="H59" si="18">(F59-G59)/G59</f>
        <v>0.2213967310549777</v>
      </c>
      <c r="I59" s="86">
        <f t="shared" si="14"/>
        <v>1.3305922916295709E-2</v>
      </c>
      <c r="J59" s="363"/>
      <c r="K59" s="426" t="s">
        <v>52</v>
      </c>
      <c r="L59" s="354">
        <f>[3]Republic_UA!$FY$41</f>
        <v>25895</v>
      </c>
      <c r="M59" s="9">
        <f>[3]Republic_UA!$FK$41</f>
        <v>29205</v>
      </c>
      <c r="N59" s="86">
        <f t="shared" si="15"/>
        <v>-0.11333675740455401</v>
      </c>
      <c r="O59" s="354">
        <f>SUM([3]Republic_UA!$FN$41:$FY$41)</f>
        <v>310024</v>
      </c>
      <c r="P59" s="9">
        <f>SUM([3]Republic_UA!$EZ$41:$FK$41)</f>
        <v>231473</v>
      </c>
      <c r="Q59" s="39">
        <f t="shared" si="16"/>
        <v>0.33935275388490233</v>
      </c>
      <c r="R59" s="86">
        <f t="shared" si="17"/>
        <v>8.4285690167114433E-3</v>
      </c>
      <c r="S59" s="20"/>
    </row>
    <row r="60" spans="1:20" s="7" customFormat="1" ht="14.1" customHeight="1" x14ac:dyDescent="0.2">
      <c r="A60" s="363"/>
      <c r="B60" s="359" t="s">
        <v>100</v>
      </c>
      <c r="C60" s="354">
        <f>'[3]Sky West_UA'!$FY$19</f>
        <v>182</v>
      </c>
      <c r="D60" s="9">
        <f>'[3]Sky West_UA'!$FK$19+'[3]Sky West_CO'!$FK$19</f>
        <v>218</v>
      </c>
      <c r="E60" s="86">
        <f t="shared" si="12"/>
        <v>-0.16513761467889909</v>
      </c>
      <c r="F60" s="9">
        <f>SUM('[3]Sky West_UA'!$FN$19:$FY$19)</f>
        <v>1964</v>
      </c>
      <c r="G60" s="9">
        <f>SUM('[3]Sky West_UA'!$EZ$19:$FK$19)+SUM('[3]Sky West_CO'!$EZ$19:$FK$19)</f>
        <v>3042</v>
      </c>
      <c r="H60" s="39">
        <f t="shared" si="13"/>
        <v>-0.35437212360289283</v>
      </c>
      <c r="I60" s="86">
        <f t="shared" si="14"/>
        <v>5.2986278604227029E-3</v>
      </c>
      <c r="J60" s="363"/>
      <c r="K60" s="358" t="s">
        <v>100</v>
      </c>
      <c r="L60" s="354">
        <f>'[3]Sky West_UA'!$FY$41</f>
        <v>11594</v>
      </c>
      <c r="M60" s="9">
        <f>'[3]Sky West_UA'!$FK$41+'[3]Sky West_CO'!$FK$41</f>
        <v>13530</v>
      </c>
      <c r="N60" s="86">
        <f t="shared" si="15"/>
        <v>-0.14308943089430895</v>
      </c>
      <c r="O60" s="354">
        <f>SUM('[3]Sky West_UA'!$FN$41:$FY$41)</f>
        <v>127349</v>
      </c>
      <c r="P60" s="9">
        <f>SUM('[3]Sky West_UA'!$EZ$41:$FK$41)+SUM('[3]Sky West_CO'!$EZ$41:$FK$41)</f>
        <v>198532</v>
      </c>
      <c r="Q60" s="39">
        <f t="shared" si="16"/>
        <v>-0.35854673302036949</v>
      </c>
      <c r="R60" s="86">
        <f t="shared" si="17"/>
        <v>3.4622152985226487E-3</v>
      </c>
      <c r="S60" s="20"/>
    </row>
    <row r="61" spans="1:20" s="7" customFormat="1" ht="14.1" customHeight="1" x14ac:dyDescent="0.2">
      <c r="A61" s="363"/>
      <c r="B61" s="360" t="s">
        <v>134</v>
      </c>
      <c r="C61" s="354">
        <f>'[3]Shuttle America'!$FY$19</f>
        <v>0</v>
      </c>
      <c r="D61" s="9">
        <f>'[3]Shuttle America'!$FK$19</f>
        <v>0</v>
      </c>
      <c r="E61" s="86" t="e">
        <f t="shared" si="12"/>
        <v>#DIV/0!</v>
      </c>
      <c r="F61" s="9">
        <f>SUM('[3]Shuttle America'!$FN$19:$FY$19)</f>
        <v>0</v>
      </c>
      <c r="G61" s="9">
        <f>SUM('[3]Shuttle America'!$EZ$19:$FK$19)</f>
        <v>24</v>
      </c>
      <c r="H61" s="39">
        <f t="shared" si="13"/>
        <v>-1</v>
      </c>
      <c r="I61" s="86">
        <f t="shared" si="14"/>
        <v>0</v>
      </c>
      <c r="J61" s="363"/>
      <c r="K61" s="360" t="s">
        <v>134</v>
      </c>
      <c r="L61" s="354">
        <f>'[3]Shuttle America'!$FY$41</f>
        <v>0</v>
      </c>
      <c r="M61" s="9">
        <f>'[3]Shuttle America'!$FK$41</f>
        <v>0</v>
      </c>
      <c r="N61" s="86" t="e">
        <f t="shared" si="15"/>
        <v>#DIV/0!</v>
      </c>
      <c r="O61" s="354">
        <f>SUM('[3]Shuttle America'!$FN$41:$FY$41)</f>
        <v>0</v>
      </c>
      <c r="P61" s="9">
        <f>SUM('[3]Shuttle America'!$EZ$41:$FK$41)</f>
        <v>1273</v>
      </c>
      <c r="Q61" s="39">
        <f t="shared" si="16"/>
        <v>-1</v>
      </c>
      <c r="R61" s="86">
        <f t="shared" si="17"/>
        <v>0</v>
      </c>
      <c r="S61" s="20"/>
    </row>
    <row r="62" spans="1:20" s="7" customFormat="1" ht="14.1" customHeight="1" thickBot="1" x14ac:dyDescent="0.25">
      <c r="A62" s="429"/>
      <c r="B62" s="430"/>
      <c r="C62" s="364"/>
      <c r="D62" s="366"/>
      <c r="E62" s="367"/>
      <c r="F62" s="368"/>
      <c r="G62" s="368"/>
      <c r="H62" s="365"/>
      <c r="I62" s="367"/>
      <c r="J62" s="429"/>
      <c r="K62" s="430"/>
      <c r="L62" s="364"/>
      <c r="M62" s="368"/>
      <c r="N62" s="367"/>
      <c r="O62" s="364"/>
      <c r="P62" s="368"/>
      <c r="Q62" s="365"/>
      <c r="R62" s="471"/>
      <c r="S62" s="20"/>
    </row>
    <row r="63" spans="1:20" s="229" customFormat="1" ht="14.1" customHeight="1" thickBot="1" x14ac:dyDescent="0.25">
      <c r="B63" s="264"/>
      <c r="C63" s="352"/>
      <c r="D63" s="352"/>
      <c r="E63" s="351"/>
      <c r="F63" s="428"/>
      <c r="G63" s="352"/>
      <c r="H63" s="351"/>
      <c r="I63" s="351"/>
      <c r="J63" s="369"/>
      <c r="K63" s="264"/>
      <c r="L63" s="370"/>
      <c r="M63" s="371"/>
      <c r="N63" s="369"/>
      <c r="O63" s="230"/>
      <c r="P63" s="230"/>
      <c r="Q63" s="230"/>
      <c r="R63" s="490"/>
      <c r="S63" s="228"/>
      <c r="T63"/>
    </row>
    <row r="64" spans="1:20" ht="14.1" customHeight="1" x14ac:dyDescent="0.2">
      <c r="B64" s="372" t="s">
        <v>136</v>
      </c>
      <c r="C64" s="438">
        <f>+C66-C65</f>
        <v>16984</v>
      </c>
      <c r="D64" s="439">
        <f>+D66-D65</f>
        <v>17715</v>
      </c>
      <c r="E64" s="440">
        <f>(C64-D64)/D64</f>
        <v>-4.1264465142534575E-2</v>
      </c>
      <c r="F64" s="438">
        <f t="shared" ref="F64:G64" si="19">+F66-F65</f>
        <v>221554</v>
      </c>
      <c r="G64" s="439">
        <f t="shared" si="19"/>
        <v>228393</v>
      </c>
      <c r="H64" s="445">
        <f>(F64-G64)/G64</f>
        <v>-2.9944000035027344E-2</v>
      </c>
      <c r="I64" s="501">
        <f>F64/$F$66</f>
        <v>0.59772515121593262</v>
      </c>
      <c r="K64" s="372" t="s">
        <v>136</v>
      </c>
      <c r="L64" s="438">
        <f>+L66-L65</f>
        <v>2171550</v>
      </c>
      <c r="M64" s="439">
        <f>+M66-M65</f>
        <v>2206292</v>
      </c>
      <c r="N64" s="440">
        <f>(L64-M64)/M64</f>
        <v>-1.5746782384199371E-2</v>
      </c>
      <c r="O64" s="438">
        <f t="shared" ref="O64" si="20">+O66-O65</f>
        <v>29029272</v>
      </c>
      <c r="P64" s="439">
        <f>+P66-P65</f>
        <v>29222280</v>
      </c>
      <c r="Q64" s="488">
        <f>(O64-P64)/P64</f>
        <v>-6.6048234429346379E-3</v>
      </c>
      <c r="R64" s="494">
        <f>+O64/O66</f>
        <v>0.78921381104975441</v>
      </c>
    </row>
    <row r="65" spans="2:18" ht="14.1" customHeight="1" x14ac:dyDescent="0.2">
      <c r="B65" s="329" t="s">
        <v>137</v>
      </c>
      <c r="C65" s="441">
        <f>C61+C38+C36+C34+C33+C37+C20+C60+C57+C35+C56+C58+C25+C24+C21+C15+C6+C59+C22+C23+C7+C16</f>
        <v>12126</v>
      </c>
      <c r="D65" s="373">
        <f>D61+D38+D36+D34+D33+D37+D20+D60+D57+D35+D56+D58+D25+D24+D21+D15+D6+D59+D22+D23+D7+D16+D5</f>
        <v>12334</v>
      </c>
      <c r="E65" s="374">
        <f>(C65-D65)/D65</f>
        <v>-1.686395329982163E-2</v>
      </c>
      <c r="F65" s="441">
        <f>F61+F38+F36+F34+F33+F37+F20+F60+F57+F35+F56+F58+F25+F24+F21+F15+F6+F59+F22+F23+F7+F16</f>
        <v>149108</v>
      </c>
      <c r="G65" s="373">
        <f>G61+G38+G36+G34+G33+G37+G20+G60+G57+G35+G56+G58+G25+G24+G21+G15+G6+G59+G22+G23+G7+G16</f>
        <v>149879</v>
      </c>
      <c r="H65" s="446">
        <f>(F65-G65)/G65</f>
        <v>-5.144149614021978E-3</v>
      </c>
      <c r="I65" s="502">
        <f>F65/$F$66</f>
        <v>0.40227484878406744</v>
      </c>
      <c r="K65" s="329" t="s">
        <v>137</v>
      </c>
      <c r="L65" s="441">
        <f>L61+L38+L36+L34+L33+L37+L20+L60+L57+L35+L56+L58+L25+L24+L21+L15+L6+L59+L22+L23+L7+L16</f>
        <v>630242</v>
      </c>
      <c r="M65" s="373">
        <f>M61+M38+M36+M34+M33+M37+M20+M60+M57+M35+M56+M58+M25+M24+M21+M15+M6+M59+M22+M23+M7+M16</f>
        <v>625690</v>
      </c>
      <c r="N65" s="374">
        <f>(L65-M65)/M65</f>
        <v>7.2751682142914225E-3</v>
      </c>
      <c r="O65" s="441">
        <f>O61+O38+O36+O34+O33+O37+O20+O60+O57+O35+O56+O58+O25+O24+O21+O15+O6+O59+O22+O23+O7+O16</f>
        <v>7753247</v>
      </c>
      <c r="P65" s="373">
        <f>P61+P38+P36+P34+P33+P37+P20+P60+P57+P35+P56+P58+P25+P24+P21+P15+P6+P59+P22+P23+P7+P16</f>
        <v>7572015</v>
      </c>
      <c r="Q65" s="486">
        <f>(O65-P65)/P65</f>
        <v>2.3934448096048409E-2</v>
      </c>
      <c r="R65" s="495">
        <f>+O65/O66</f>
        <v>0.21078618895024565</v>
      </c>
    </row>
    <row r="66" spans="2:18" ht="14.1" customHeight="1" thickBot="1" x14ac:dyDescent="0.25">
      <c r="B66" s="329" t="s">
        <v>138</v>
      </c>
      <c r="C66" s="442">
        <f>C54+C52+C42+C40+C31+C18+C13+C4+C50+C29+C27+C9+C46+C11+C44+C48</f>
        <v>29110</v>
      </c>
      <c r="D66" s="443">
        <f>D54+D52+D42+D40+D31+D18+D13+D4+D50+D29+D27+D9+D46+D11+D44+D48</f>
        <v>30049</v>
      </c>
      <c r="E66" s="444">
        <f>(C66-D66)/D66</f>
        <v>-3.1248960031947819E-2</v>
      </c>
      <c r="F66" s="442">
        <f>F54+F52+F42+F40+F31+F18+F13+F4+F50+F29+F27+F9+F46+F11+F44+F48</f>
        <v>370662</v>
      </c>
      <c r="G66" s="443">
        <f>G54+G52+G42+G40+G31+G18+G13+G4+G50+G29+G27+G9+G46+G11+G44+G48</f>
        <v>378272</v>
      </c>
      <c r="H66" s="447">
        <f>(F66-G66)/G66</f>
        <v>-2.0117798832586076E-2</v>
      </c>
      <c r="I66" s="503">
        <f>+H66/H66</f>
        <v>1</v>
      </c>
      <c r="K66" s="329" t="s">
        <v>138</v>
      </c>
      <c r="L66" s="442">
        <f>L54+L52+L42+L40+L31+L18+L13+L4+L50+L29+L27+L9+L46+L11+L44+L48</f>
        <v>2801792</v>
      </c>
      <c r="M66" s="443">
        <f>M54+M52+M42+M40+M31+M18+M13+M4+M50+M29+M27+M9+M46+M11+M44+M48</f>
        <v>2831982</v>
      </c>
      <c r="N66" s="444">
        <f>(L66-M66)/M66</f>
        <v>-1.0660378491106228E-2</v>
      </c>
      <c r="O66" s="442">
        <f>O54+O52+O42+O40+O31+O18+O13+O4+O50+O29+O27+O9+O46+O11+O44+O48</f>
        <v>36782519</v>
      </c>
      <c r="P66" s="443">
        <f>P54+P52+P42+P40+P31+P18+P13+P4+P50+P29+P27+P9+P46+P11+P44+P48</f>
        <v>36794295</v>
      </c>
      <c r="Q66" s="489">
        <f>(O66-P66)/P66</f>
        <v>-3.2004961638754049E-4</v>
      </c>
      <c r="R66" s="496">
        <f>+O66/O66</f>
        <v>1</v>
      </c>
    </row>
    <row r="67" spans="2:18" x14ac:dyDescent="0.2">
      <c r="D67" s="227"/>
      <c r="E67" s="227"/>
      <c r="F67" s="4"/>
      <c r="G67" s="7"/>
      <c r="H67"/>
      <c r="I67"/>
      <c r="J67"/>
      <c r="K67"/>
      <c r="M67"/>
      <c r="N67"/>
    </row>
    <row r="68" spans="2:18" x14ac:dyDescent="0.2">
      <c r="F68" s="2"/>
      <c r="H68"/>
      <c r="I68"/>
      <c r="J68"/>
      <c r="K68"/>
      <c r="N68"/>
      <c r="O68" s="2"/>
      <c r="P68" s="2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F71" s="2"/>
      <c r="H71"/>
      <c r="I71"/>
      <c r="J71"/>
      <c r="K71"/>
      <c r="N71"/>
      <c r="O71" s="2"/>
      <c r="P71" s="2"/>
    </row>
    <row r="72" spans="2:18" x14ac:dyDescent="0.2">
      <c r="D72" s="3"/>
      <c r="F72"/>
      <c r="G72"/>
      <c r="H72"/>
      <c r="I72"/>
      <c r="J72"/>
      <c r="K72"/>
      <c r="L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E136" s="37"/>
      <c r="F136" s="231"/>
      <c r="G136" s="5"/>
      <c r="H136" s="37"/>
      <c r="I136" s="37"/>
      <c r="K136" s="11"/>
    </row>
    <row r="137" spans="4:14" x14ac:dyDescent="0.2">
      <c r="E137" s="37"/>
      <c r="F137" s="231"/>
      <c r="G137" s="5"/>
      <c r="H137" s="37"/>
      <c r="I137" s="37"/>
      <c r="K137" s="11"/>
    </row>
    <row r="138" spans="4:14" x14ac:dyDescent="0.2">
      <c r="E138" s="37"/>
      <c r="F138" s="231"/>
      <c r="G138" s="5"/>
      <c r="H138" s="37"/>
      <c r="I138" s="37"/>
      <c r="K138" s="11"/>
    </row>
    <row r="139" spans="4:14" x14ac:dyDescent="0.2">
      <c r="E139" s="37"/>
      <c r="F139" s="231"/>
      <c r="G139" s="5"/>
      <c r="H139" s="37"/>
      <c r="I139" s="37"/>
      <c r="K139" s="11"/>
    </row>
    <row r="140" spans="4:14" x14ac:dyDescent="0.2">
      <c r="E140" s="37"/>
      <c r="F140" s="231"/>
      <c r="G140" s="5"/>
      <c r="H140" s="37"/>
      <c r="I140" s="37"/>
      <c r="K140" s="11"/>
    </row>
    <row r="141" spans="4:14" x14ac:dyDescent="0.2">
      <c r="E141" s="37"/>
      <c r="F141" s="231"/>
      <c r="G141" s="5"/>
      <c r="H141" s="37"/>
      <c r="I141" s="37"/>
      <c r="K141" s="11"/>
    </row>
    <row r="142" spans="4:14" x14ac:dyDescent="0.2">
      <c r="E142" s="37"/>
      <c r="F142" s="231"/>
      <c r="G142" s="5"/>
      <c r="H142" s="37"/>
      <c r="I142" s="37"/>
      <c r="K142" s="11"/>
    </row>
    <row r="143" spans="4:14" x14ac:dyDescent="0.2">
      <c r="E143" s="37"/>
      <c r="F143" s="231"/>
      <c r="G143" s="5"/>
      <c r="H143" s="37"/>
      <c r="I143" s="37"/>
      <c r="K143" s="11"/>
    </row>
    <row r="144" spans="4:14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E1149" s="37"/>
      <c r="F1149" s="231"/>
      <c r="G1149" s="5"/>
      <c r="H1149" s="37"/>
      <c r="I1149" s="37"/>
      <c r="K1149" s="11"/>
    </row>
    <row r="1150" spans="5:11" x14ac:dyDescent="0.2">
      <c r="E1150" s="37"/>
      <c r="F1150" s="231"/>
      <c r="G1150" s="5"/>
      <c r="H1150" s="37"/>
      <c r="I1150" s="37"/>
      <c r="K1150" s="11"/>
    </row>
    <row r="1151" spans="5:11" x14ac:dyDescent="0.2">
      <c r="E1151" s="37"/>
      <c r="F1151" s="231"/>
      <c r="G1151" s="5"/>
      <c r="H1151" s="37"/>
      <c r="I1151" s="37"/>
      <c r="K1151" s="11"/>
    </row>
    <row r="1152" spans="5:11" x14ac:dyDescent="0.2">
      <c r="E1152" s="37"/>
      <c r="F1152" s="231"/>
      <c r="G1152" s="5"/>
      <c r="H1152" s="37"/>
      <c r="I1152" s="37"/>
      <c r="K1152" s="11"/>
    </row>
    <row r="1153" spans="5:11" x14ac:dyDescent="0.2">
      <c r="E1153" s="37"/>
      <c r="F1153" s="231"/>
      <c r="G1153" s="5"/>
      <c r="H1153" s="37"/>
      <c r="I1153" s="37"/>
      <c r="K1153" s="11"/>
    </row>
    <row r="1154" spans="5:11" x14ac:dyDescent="0.2">
      <c r="E1154" s="37"/>
      <c r="F1154" s="231"/>
      <c r="G1154" s="5"/>
      <c r="H1154" s="37"/>
      <c r="I1154" s="37"/>
      <c r="K1154" s="11"/>
    </row>
    <row r="1155" spans="5:11" x14ac:dyDescent="0.2">
      <c r="E1155" s="37"/>
      <c r="F1155" s="231"/>
      <c r="G1155" s="5"/>
      <c r="H1155" s="37"/>
      <c r="I1155" s="37"/>
      <c r="K1155" s="11"/>
    </row>
    <row r="1156" spans="5:11" x14ac:dyDescent="0.2">
      <c r="E1156" s="37"/>
      <c r="F1156" s="231"/>
      <c r="G1156" s="5"/>
      <c r="H1156" s="37"/>
      <c r="I1156" s="37"/>
      <c r="K1156" s="11"/>
    </row>
    <row r="1157" spans="5:11" x14ac:dyDescent="0.2">
      <c r="E1157" s="37"/>
      <c r="F1157" s="231"/>
      <c r="G1157" s="5"/>
      <c r="H1157" s="37"/>
      <c r="I1157" s="37"/>
      <c r="K1157" s="11"/>
    </row>
    <row r="1158" spans="5:11" x14ac:dyDescent="0.2">
      <c r="E1158" s="37"/>
      <c r="F1158" s="231"/>
      <c r="G1158" s="5"/>
      <c r="H1158" s="37"/>
      <c r="I1158" s="37"/>
      <c r="K1158" s="11"/>
    </row>
    <row r="1159" spans="5:11" x14ac:dyDescent="0.2">
      <c r="E1159" s="37"/>
      <c r="F1159" s="231"/>
      <c r="G1159" s="5"/>
      <c r="H1159" s="37"/>
      <c r="I1159" s="37"/>
      <c r="K1159" s="11"/>
    </row>
    <row r="1160" spans="5:11" x14ac:dyDescent="0.2">
      <c r="E1160" s="37"/>
      <c r="F1160" s="231"/>
      <c r="G1160" s="5"/>
      <c r="H1160" s="37"/>
      <c r="I1160" s="37"/>
      <c r="K1160" s="11"/>
    </row>
    <row r="1161" spans="5:11" x14ac:dyDescent="0.2">
      <c r="E1161" s="37"/>
      <c r="F1161" s="231"/>
      <c r="G1161" s="5"/>
      <c r="H1161" s="37"/>
      <c r="I1161" s="37"/>
      <c r="K1161" s="11"/>
    </row>
    <row r="1162" spans="5:11" x14ac:dyDescent="0.2">
      <c r="E1162" s="37"/>
      <c r="F1162" s="231"/>
      <c r="G1162" s="5"/>
      <c r="H1162" s="37"/>
      <c r="I1162" s="37"/>
      <c r="K1162" s="11"/>
    </row>
    <row r="1163" spans="5:11" x14ac:dyDescent="0.2">
      <c r="E1163" s="37"/>
      <c r="F1163" s="231"/>
      <c r="G1163" s="5"/>
      <c r="H1163" s="37"/>
      <c r="I1163" s="37"/>
      <c r="K1163" s="11"/>
    </row>
    <row r="1164" spans="5:11" x14ac:dyDescent="0.2">
      <c r="E1164" s="37"/>
      <c r="F1164" s="231"/>
      <c r="G1164" s="5"/>
      <c r="H1164" s="37"/>
      <c r="I1164" s="37"/>
      <c r="K1164" s="11"/>
    </row>
    <row r="1165" spans="5:11" x14ac:dyDescent="0.2">
      <c r="E1165" s="37"/>
      <c r="F1165" s="231"/>
      <c r="G1165" s="5"/>
      <c r="H1165" s="37"/>
      <c r="I1165" s="37"/>
      <c r="K1165" s="11"/>
    </row>
    <row r="1166" spans="5:11" x14ac:dyDescent="0.2">
      <c r="E1166" s="37"/>
      <c r="F1166" s="231"/>
      <c r="G1166" s="5"/>
      <c r="H1166" s="37"/>
      <c r="I1166" s="37"/>
      <c r="K1166" s="11"/>
    </row>
    <row r="1167" spans="5:11" x14ac:dyDescent="0.2">
      <c r="E1167" s="37"/>
      <c r="F1167" s="231"/>
      <c r="G1167" s="5"/>
      <c r="H1167" s="37"/>
      <c r="I1167" s="37"/>
      <c r="K1167" s="11"/>
    </row>
    <row r="1168" spans="5:11" x14ac:dyDescent="0.2">
      <c r="E1168" s="37"/>
      <c r="F1168" s="231"/>
      <c r="G1168" s="5"/>
      <c r="H1168" s="37"/>
      <c r="I1168" s="37"/>
      <c r="K1168" s="11"/>
    </row>
    <row r="1169" spans="5:11" x14ac:dyDescent="0.2">
      <c r="E1169" s="37"/>
      <c r="F1169" s="231"/>
      <c r="G1169" s="5"/>
      <c r="H1169" s="37"/>
      <c r="I1169" s="37"/>
      <c r="K1169" s="11"/>
    </row>
    <row r="1170" spans="5:11" x14ac:dyDescent="0.2">
      <c r="E1170" s="37"/>
      <c r="F1170" s="231"/>
      <c r="G1170" s="5"/>
      <c r="H1170" s="37"/>
      <c r="I1170" s="37"/>
      <c r="K1170" s="11"/>
    </row>
    <row r="1171" spans="5:11" x14ac:dyDescent="0.2">
      <c r="E1171" s="37"/>
      <c r="F1171" s="231"/>
      <c r="G1171" s="5"/>
      <c r="H1171" s="37"/>
      <c r="I1171" s="37"/>
      <c r="K1171" s="11"/>
    </row>
    <row r="1172" spans="5:11" x14ac:dyDescent="0.2">
      <c r="E1172" s="37"/>
      <c r="F1172" s="231"/>
      <c r="G1172" s="5"/>
      <c r="H1172" s="37"/>
      <c r="I1172" s="37"/>
      <c r="K1172" s="11"/>
    </row>
    <row r="1173" spans="5:11" x14ac:dyDescent="0.2">
      <c r="E1173" s="37"/>
      <c r="F1173" s="231"/>
      <c r="G1173" s="5"/>
      <c r="H1173" s="37"/>
      <c r="I1173" s="37"/>
      <c r="K1173" s="11"/>
    </row>
    <row r="1174" spans="5:11" x14ac:dyDescent="0.2">
      <c r="E1174" s="37"/>
      <c r="F1174" s="231"/>
      <c r="G1174" s="5"/>
      <c r="H1174" s="37"/>
      <c r="I1174" s="37"/>
      <c r="K1174" s="11"/>
    </row>
    <row r="1175" spans="5:11" x14ac:dyDescent="0.2">
      <c r="E1175" s="37"/>
      <c r="F1175" s="231"/>
      <c r="G1175" s="5"/>
      <c r="H1175" s="37"/>
      <c r="I1175" s="37"/>
      <c r="K1175" s="11"/>
    </row>
    <row r="1176" spans="5:11" x14ac:dyDescent="0.2">
      <c r="E1176" s="37"/>
      <c r="F1176" s="231"/>
      <c r="G1176" s="5"/>
      <c r="H1176" s="37"/>
      <c r="I1176" s="37"/>
      <c r="K1176" s="11"/>
    </row>
    <row r="1177" spans="5:11" x14ac:dyDescent="0.2">
      <c r="E1177" s="37"/>
      <c r="F1177" s="231"/>
      <c r="G1177" s="5"/>
      <c r="H1177" s="37"/>
      <c r="I1177" s="37"/>
      <c r="K1177" s="11"/>
    </row>
    <row r="1178" spans="5:11" x14ac:dyDescent="0.2">
      <c r="E1178" s="37"/>
      <c r="F1178" s="231"/>
      <c r="G1178" s="5"/>
      <c r="H1178" s="37"/>
      <c r="I1178" s="37"/>
      <c r="K1178" s="11"/>
    </row>
    <row r="1179" spans="5:11" x14ac:dyDescent="0.2">
      <c r="E1179" s="37"/>
      <c r="F1179" s="231"/>
      <c r="G1179" s="5"/>
      <c r="H1179" s="37"/>
      <c r="I1179" s="37"/>
      <c r="K1179" s="11"/>
    </row>
    <row r="1180" spans="5:11" x14ac:dyDescent="0.2">
      <c r="E1180" s="37"/>
      <c r="F1180" s="231"/>
      <c r="G1180" s="5"/>
      <c r="H1180" s="37"/>
      <c r="I1180" s="37"/>
      <c r="K1180" s="11"/>
    </row>
    <row r="1181" spans="5:11" x14ac:dyDescent="0.2">
      <c r="E1181" s="37"/>
      <c r="F1181" s="231"/>
      <c r="G1181" s="5"/>
      <c r="H1181" s="37"/>
      <c r="I1181" s="37"/>
      <c r="K1181" s="11"/>
    </row>
    <row r="1182" spans="5:11" x14ac:dyDescent="0.2">
      <c r="E1182" s="37"/>
      <c r="F1182" s="231"/>
      <c r="G1182" s="5"/>
      <c r="H1182" s="37"/>
      <c r="I1182" s="37"/>
      <c r="K1182" s="11"/>
    </row>
    <row r="1183" spans="5:11" x14ac:dyDescent="0.2">
      <c r="E1183" s="37"/>
      <c r="F1183" s="231"/>
      <c r="G1183" s="5"/>
      <c r="H1183" s="37"/>
      <c r="I1183" s="37"/>
      <c r="K1183" s="11"/>
    </row>
    <row r="1184" spans="5:11" x14ac:dyDescent="0.2">
      <c r="E1184" s="37"/>
      <c r="F1184" s="231"/>
      <c r="G1184" s="5"/>
      <c r="H1184" s="37"/>
      <c r="I1184" s="37"/>
      <c r="K1184" s="11"/>
    </row>
    <row r="1185" spans="5:11" x14ac:dyDescent="0.2">
      <c r="E1185" s="37"/>
      <c r="F1185" s="231"/>
      <c r="G1185" s="5"/>
      <c r="H1185" s="37"/>
      <c r="I1185" s="37"/>
      <c r="K1185" s="11"/>
    </row>
    <row r="1186" spans="5:11" x14ac:dyDescent="0.2">
      <c r="E1186" s="37"/>
      <c r="F1186" s="231"/>
      <c r="G1186" s="5"/>
      <c r="H1186" s="37"/>
      <c r="I1186" s="37"/>
      <c r="K1186" s="11"/>
    </row>
    <row r="1187" spans="5:11" x14ac:dyDescent="0.2">
      <c r="E1187" s="37"/>
      <c r="F1187" s="231"/>
      <c r="G1187" s="5"/>
      <c r="H1187" s="37"/>
      <c r="I1187" s="37"/>
      <c r="K1187" s="11"/>
    </row>
    <row r="1188" spans="5:11" x14ac:dyDescent="0.2">
      <c r="E1188" s="37"/>
      <c r="F1188" s="231"/>
      <c r="G1188" s="5"/>
      <c r="H1188" s="37"/>
      <c r="I1188" s="37"/>
      <c r="K1188" s="11"/>
    </row>
    <row r="1189" spans="5:11" x14ac:dyDescent="0.2">
      <c r="F1189" s="231"/>
      <c r="G1189" s="5"/>
      <c r="H1189" s="37"/>
      <c r="I1189" s="37"/>
      <c r="K1189" s="11"/>
    </row>
    <row r="1190" spans="5:11" x14ac:dyDescent="0.2">
      <c r="F1190" s="231"/>
      <c r="G1190" s="5"/>
      <c r="H1190" s="37"/>
      <c r="I1190" s="37"/>
      <c r="K1190" s="11"/>
    </row>
    <row r="1191" spans="5:11" x14ac:dyDescent="0.2">
      <c r="F1191" s="231"/>
      <c r="G1191" s="5"/>
      <c r="H1191" s="37"/>
      <c r="I1191" s="37"/>
      <c r="K1191" s="11"/>
    </row>
    <row r="1192" spans="5:11" x14ac:dyDescent="0.2">
      <c r="F1192" s="231"/>
      <c r="G1192" s="5"/>
      <c r="H1192" s="37"/>
      <c r="I1192" s="37"/>
      <c r="K1192" s="11"/>
    </row>
    <row r="1193" spans="5:11" x14ac:dyDescent="0.2">
      <c r="F1193" s="231"/>
      <c r="G1193" s="5"/>
      <c r="H1193" s="37"/>
      <c r="I1193" s="37"/>
      <c r="K1193" s="11"/>
    </row>
    <row r="1194" spans="5:11" x14ac:dyDescent="0.2">
      <c r="F1194" s="231"/>
      <c r="G1194" s="5"/>
      <c r="H1194" s="37"/>
      <c r="I1194" s="37"/>
      <c r="K1194" s="11"/>
    </row>
    <row r="1195" spans="5:11" x14ac:dyDescent="0.2">
      <c r="F1195" s="231"/>
      <c r="G1195" s="5"/>
      <c r="H1195" s="37"/>
      <c r="I1195" s="37"/>
      <c r="K1195" s="11"/>
    </row>
    <row r="1196" spans="5:11" x14ac:dyDescent="0.2">
      <c r="F1196" s="231"/>
      <c r="G1196" s="5"/>
      <c r="H1196" s="37"/>
      <c r="I1196" s="37"/>
      <c r="K1196" s="11"/>
    </row>
    <row r="1197" spans="5:11" x14ac:dyDescent="0.2">
      <c r="F1197" s="231"/>
      <c r="G1197" s="5"/>
      <c r="H1197" s="37"/>
      <c r="I1197" s="37"/>
      <c r="K1197" s="11"/>
    </row>
    <row r="1198" spans="5:11" x14ac:dyDescent="0.2">
      <c r="F1198" s="231"/>
      <c r="G1198" s="5"/>
      <c r="H1198" s="37"/>
      <c r="I1198" s="37"/>
      <c r="K1198" s="11"/>
    </row>
    <row r="1199" spans="5:11" x14ac:dyDescent="0.2">
      <c r="F1199" s="231"/>
      <c r="G1199" s="5"/>
      <c r="H1199" s="37"/>
      <c r="I1199" s="37"/>
      <c r="K1199" s="11"/>
    </row>
    <row r="1200" spans="5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  <row r="4664" spans="6:11" x14ac:dyDescent="0.2">
      <c r="F4664" s="231"/>
      <c r="G4664" s="5"/>
      <c r="H4664" s="37"/>
      <c r="I4664" s="37"/>
      <c r="K4664" s="11"/>
    </row>
    <row r="4665" spans="6:11" x14ac:dyDescent="0.2">
      <c r="F4665" s="231"/>
      <c r="G4665" s="5"/>
      <c r="H4665" s="37"/>
      <c r="I4665" s="37"/>
      <c r="K4665" s="11"/>
    </row>
    <row r="4666" spans="6:11" x14ac:dyDescent="0.2">
      <c r="F4666" s="231"/>
      <c r="G4666" s="5"/>
      <c r="H4666" s="37"/>
      <c r="I4666" s="37"/>
      <c r="K4666" s="11"/>
    </row>
    <row r="4667" spans="6:11" x14ac:dyDescent="0.2">
      <c r="F4667" s="231"/>
      <c r="G4667" s="5"/>
      <c r="H4667" s="37"/>
      <c r="I4667" s="37"/>
      <c r="K4667" s="11"/>
    </row>
    <row r="4668" spans="6:11" x14ac:dyDescent="0.2">
      <c r="F4668" s="231"/>
      <c r="G4668" s="5"/>
      <c r="H4668" s="37"/>
      <c r="I4668" s="37"/>
      <c r="K4668" s="11"/>
    </row>
    <row r="4669" spans="6:11" x14ac:dyDescent="0.2">
      <c r="F4669" s="231"/>
      <c r="G4669" s="5"/>
      <c r="H4669" s="37"/>
      <c r="I4669" s="37"/>
      <c r="K4669" s="11"/>
    </row>
    <row r="4670" spans="6:11" x14ac:dyDescent="0.2">
      <c r="F4670" s="231"/>
      <c r="G4670" s="5"/>
      <c r="H4670" s="37"/>
      <c r="I4670" s="37"/>
      <c r="K4670" s="11"/>
    </row>
    <row r="4671" spans="6:11" x14ac:dyDescent="0.2">
      <c r="F4671" s="231"/>
      <c r="G4671" s="5"/>
      <c r="H4671" s="37"/>
      <c r="I4671" s="37"/>
      <c r="K4671" s="11"/>
    </row>
    <row r="4672" spans="6:11" x14ac:dyDescent="0.2">
      <c r="F4672" s="231"/>
      <c r="G4672" s="5"/>
      <c r="H4672" s="37"/>
      <c r="I4672" s="37"/>
      <c r="K4672" s="11"/>
    </row>
    <row r="4673" spans="6:11" x14ac:dyDescent="0.2">
      <c r="F4673" s="231"/>
      <c r="G4673" s="5"/>
      <c r="H4673" s="37"/>
      <c r="I4673" s="37"/>
      <c r="K4673" s="11"/>
    </row>
    <row r="4674" spans="6:11" x14ac:dyDescent="0.2">
      <c r="F4674" s="231"/>
      <c r="G4674" s="5"/>
      <c r="H4674" s="37"/>
      <c r="I4674" s="37"/>
      <c r="K4674" s="11"/>
    </row>
    <row r="4675" spans="6:11" x14ac:dyDescent="0.2">
      <c r="F4675" s="231"/>
      <c r="G4675" s="5"/>
      <c r="H4675" s="37"/>
      <c r="I4675" s="37"/>
      <c r="K4675" s="11"/>
    </row>
    <row r="4676" spans="6:11" x14ac:dyDescent="0.2">
      <c r="F4676" s="231"/>
      <c r="G4676" s="5"/>
      <c r="H4676" s="37"/>
      <c r="I4676" s="37"/>
      <c r="K4676" s="11"/>
    </row>
    <row r="4677" spans="6:11" x14ac:dyDescent="0.2">
      <c r="F4677" s="231"/>
      <c r="G4677" s="5"/>
      <c r="H4677" s="37"/>
      <c r="I4677" s="37"/>
      <c r="K4677" s="11"/>
    </row>
    <row r="4678" spans="6:11" x14ac:dyDescent="0.2">
      <c r="F4678" s="231"/>
      <c r="G4678" s="5"/>
      <c r="H4678" s="37"/>
      <c r="I4678" s="37"/>
      <c r="K4678" s="11"/>
    </row>
    <row r="4679" spans="6:11" x14ac:dyDescent="0.2">
      <c r="F4679" s="231"/>
      <c r="G4679" s="5"/>
      <c r="H4679" s="37"/>
      <c r="I4679" s="37"/>
      <c r="K4679" s="11"/>
    </row>
    <row r="4680" spans="6:11" x14ac:dyDescent="0.2">
      <c r="F4680" s="231"/>
      <c r="G4680" s="5"/>
      <c r="H4680" s="37"/>
      <c r="I4680" s="37"/>
      <c r="K4680" s="11"/>
    </row>
    <row r="4681" spans="6:11" x14ac:dyDescent="0.2">
      <c r="F4681" s="231"/>
      <c r="G4681" s="5"/>
      <c r="H4681" s="37"/>
      <c r="I4681" s="37"/>
      <c r="K4681" s="11"/>
    </row>
    <row r="4682" spans="6:11" x14ac:dyDescent="0.2">
      <c r="F4682" s="231"/>
      <c r="G4682" s="5"/>
      <c r="H4682" s="37"/>
      <c r="I4682" s="37"/>
      <c r="K4682" s="11"/>
    </row>
    <row r="4683" spans="6:11" x14ac:dyDescent="0.2">
      <c r="F4683" s="231"/>
      <c r="G4683" s="5"/>
      <c r="H4683" s="37"/>
      <c r="I4683" s="37"/>
      <c r="K4683" s="11"/>
    </row>
    <row r="4684" spans="6:11" x14ac:dyDescent="0.2">
      <c r="F4684" s="231"/>
      <c r="G4684" s="5"/>
      <c r="H4684" s="37"/>
      <c r="I4684" s="37"/>
      <c r="K4684" s="11"/>
    </row>
    <row r="4685" spans="6:11" x14ac:dyDescent="0.2">
      <c r="F4685" s="231"/>
      <c r="G4685" s="5"/>
      <c r="H4685" s="37"/>
      <c r="I4685" s="37"/>
      <c r="K4685" s="11"/>
    </row>
    <row r="4686" spans="6:11" x14ac:dyDescent="0.2">
      <c r="F4686" s="231"/>
      <c r="G4686" s="5"/>
      <c r="H4686" s="37"/>
      <c r="I4686" s="37"/>
      <c r="K4686" s="11"/>
    </row>
    <row r="4687" spans="6:11" x14ac:dyDescent="0.2">
      <c r="F4687" s="231"/>
      <c r="G4687" s="5"/>
      <c r="H4687" s="37"/>
      <c r="I4687" s="37"/>
      <c r="K4687" s="11"/>
    </row>
    <row r="4688" spans="6:11" x14ac:dyDescent="0.2">
      <c r="F4688" s="231"/>
      <c r="G4688" s="5"/>
      <c r="H4688" s="37"/>
      <c r="I4688" s="37"/>
      <c r="K4688" s="11"/>
    </row>
    <row r="4689" spans="6:11" x14ac:dyDescent="0.2">
      <c r="F4689" s="231"/>
      <c r="G4689" s="5"/>
      <c r="H4689" s="37"/>
      <c r="I4689" s="37"/>
      <c r="K4689" s="11"/>
    </row>
    <row r="4690" spans="6:11" x14ac:dyDescent="0.2">
      <c r="F4690" s="231"/>
      <c r="G4690" s="5"/>
      <c r="H4690" s="37"/>
      <c r="I4690" s="37"/>
      <c r="K4690" s="11"/>
    </row>
    <row r="4691" spans="6:11" x14ac:dyDescent="0.2">
      <c r="F4691" s="231"/>
      <c r="G4691" s="5"/>
      <c r="H4691" s="37"/>
      <c r="I4691" s="37"/>
      <c r="K4691" s="11"/>
    </row>
    <row r="4692" spans="6:11" x14ac:dyDescent="0.2">
      <c r="F4692" s="231"/>
      <c r="G4692" s="5"/>
      <c r="H4692" s="37"/>
      <c r="I4692" s="37"/>
      <c r="K4692" s="11"/>
    </row>
    <row r="4693" spans="6:11" x14ac:dyDescent="0.2">
      <c r="F4693" s="231"/>
      <c r="G4693" s="5"/>
      <c r="H4693" s="37"/>
      <c r="I4693" s="37"/>
      <c r="K4693" s="11"/>
    </row>
    <row r="4694" spans="6:11" x14ac:dyDescent="0.2">
      <c r="F4694" s="231"/>
      <c r="G4694" s="5"/>
      <c r="H4694" s="37"/>
      <c r="I4694" s="37"/>
      <c r="K4694" s="11"/>
    </row>
    <row r="4695" spans="6:11" x14ac:dyDescent="0.2">
      <c r="F4695" s="231"/>
      <c r="G4695" s="5"/>
      <c r="H4695" s="37"/>
      <c r="I4695" s="37"/>
      <c r="K4695" s="11"/>
    </row>
    <row r="4696" spans="6:11" x14ac:dyDescent="0.2">
      <c r="F4696" s="231"/>
      <c r="G4696" s="5"/>
      <c r="H4696" s="37"/>
      <c r="I4696" s="37"/>
      <c r="K4696" s="11"/>
    </row>
    <row r="4697" spans="6:11" x14ac:dyDescent="0.2">
      <c r="F4697" s="231"/>
      <c r="G4697" s="5"/>
      <c r="H4697" s="37"/>
      <c r="I4697" s="37"/>
      <c r="K4697" s="11"/>
    </row>
    <row r="4698" spans="6:11" x14ac:dyDescent="0.2">
      <c r="F4698" s="231"/>
      <c r="G4698" s="5"/>
      <c r="H4698" s="37"/>
      <c r="I4698" s="37"/>
      <c r="K4698" s="11"/>
    </row>
    <row r="4699" spans="6:11" x14ac:dyDescent="0.2">
      <c r="F4699" s="231"/>
      <c r="G4699" s="5"/>
      <c r="H4699" s="37"/>
      <c r="I4699" s="37"/>
      <c r="K4699" s="11"/>
    </row>
    <row r="4700" spans="6:11" x14ac:dyDescent="0.2">
      <c r="F4700" s="231"/>
      <c r="G4700" s="5"/>
      <c r="H4700" s="37"/>
      <c r="I4700" s="37"/>
      <c r="K4700" s="11"/>
    </row>
    <row r="4701" spans="6:11" x14ac:dyDescent="0.2">
      <c r="F4701" s="231"/>
      <c r="G4701" s="5"/>
      <c r="H4701" s="37"/>
      <c r="I4701" s="37"/>
      <c r="K4701" s="11"/>
    </row>
    <row r="4702" spans="6:11" x14ac:dyDescent="0.2">
      <c r="F4702" s="231"/>
      <c r="G4702" s="5"/>
      <c r="H4702" s="37"/>
      <c r="I4702" s="37"/>
      <c r="K4702" s="11"/>
    </row>
    <row r="4703" spans="6:11" x14ac:dyDescent="0.2">
      <c r="F4703" s="231"/>
      <c r="G4703" s="5"/>
      <c r="H4703" s="37"/>
      <c r="I4703" s="37"/>
      <c r="K4703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8" fitToWidth="2" orientation="portrait" r:id="rId1"/>
  <headerFooter alignWithMargins="0">
    <oddHeader>&amp;L
Schedule 10
&amp;CMinneapolis-St. Paul International Airport
&amp;"Arial,Bold"&amp;A
December 2018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zoomScaleNormal="100" zoomScaleSheetLayoutView="100" workbookViewId="0">
      <selection activeCell="E51" sqref="E51"/>
    </sheetView>
  </sheetViews>
  <sheetFormatPr defaultRowHeight="12.75" x14ac:dyDescent="0.2"/>
  <cols>
    <col min="1" max="1" width="25.28515625" bestFit="1" customWidth="1"/>
    <col min="2" max="2" width="10.14062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78">
        <v>43435</v>
      </c>
      <c r="B1" s="512" t="s">
        <v>17</v>
      </c>
      <c r="C1" s="512" t="s">
        <v>18</v>
      </c>
      <c r="D1" s="512" t="s">
        <v>19</v>
      </c>
      <c r="E1" s="512" t="s">
        <v>161</v>
      </c>
      <c r="F1" s="512" t="s">
        <v>168</v>
      </c>
      <c r="G1" s="512" t="s">
        <v>162</v>
      </c>
      <c r="H1" s="505" t="s">
        <v>229</v>
      </c>
      <c r="I1" s="505" t="s">
        <v>216</v>
      </c>
      <c r="J1" s="512" t="s">
        <v>20</v>
      </c>
      <c r="K1" s="513" t="s">
        <v>21</v>
      </c>
    </row>
    <row r="2" spans="1:20" ht="15" x14ac:dyDescent="0.25">
      <c r="A2" s="64" t="s">
        <v>3</v>
      </c>
      <c r="B2" s="58"/>
      <c r="C2" s="58"/>
      <c r="D2" s="58"/>
      <c r="E2" s="58"/>
      <c r="F2" s="58"/>
      <c r="G2" s="58"/>
      <c r="H2" s="504"/>
      <c r="I2" s="504"/>
      <c r="J2" s="58"/>
      <c r="K2" s="280"/>
    </row>
    <row r="3" spans="1:20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55"/>
    </row>
    <row r="4" spans="1:20" x14ac:dyDescent="0.2">
      <c r="A4" s="62" t="s">
        <v>30</v>
      </c>
      <c r="B4" s="21">
        <f>[3]American!$FY$22</f>
        <v>65866</v>
      </c>
      <c r="C4" s="21">
        <f>[3]Delta!$FY$22+[3]Delta!$FY$32</f>
        <v>723099</v>
      </c>
      <c r="D4" s="21">
        <f>[3]United!$FY$22</f>
        <v>28118</v>
      </c>
      <c r="E4" s="21">
        <f>[3]Spirit!$FY$22</f>
        <v>45999</v>
      </c>
      <c r="F4" s="21">
        <f>[3]Condor!$FY$22+[3]Condor!$FY$32</f>
        <v>0</v>
      </c>
      <c r="G4" s="21">
        <f>'[3]Air France'!$FY$22+'[3]Air France'!$FY$32</f>
        <v>0</v>
      </c>
      <c r="H4" s="21">
        <f>'[3]Jet Blue'!$FY$22</f>
        <v>7525</v>
      </c>
      <c r="I4" s="21">
        <f>[3]KLM!$FY$22+[3]KLM!$FY$32</f>
        <v>4227</v>
      </c>
      <c r="J4" s="21">
        <f>'Other Major Airline Stats'!J5</f>
        <v>202579</v>
      </c>
      <c r="K4" s="281">
        <f>SUM(B4:J4)</f>
        <v>1077413</v>
      </c>
    </row>
    <row r="5" spans="1:20" x14ac:dyDescent="0.2">
      <c r="A5" s="62" t="s">
        <v>31</v>
      </c>
      <c r="B5" s="14">
        <f>[3]American!$FY$23</f>
        <v>65733</v>
      </c>
      <c r="C5" s="14">
        <f>[3]Delta!$FY$23+[3]Delta!$FY$33</f>
        <v>730698</v>
      </c>
      <c r="D5" s="14">
        <f>[3]United!$FY$23</f>
        <v>28385</v>
      </c>
      <c r="E5" s="14">
        <f>[3]Spirit!$FY$23</f>
        <v>48846</v>
      </c>
      <c r="F5" s="14">
        <f>[3]Condor!$FY$23+[3]Condor!$FY$33</f>
        <v>0</v>
      </c>
      <c r="G5" s="14">
        <f>'[3]Air France'!$FY$23+'[3]Air France'!$FY$33</f>
        <v>0</v>
      </c>
      <c r="H5" s="14">
        <f>'[3]Jet Blue'!$FY$23</f>
        <v>6793</v>
      </c>
      <c r="I5" s="14">
        <f>[3]KLM!$FY$23+[3]KLM!$FY$33</f>
        <v>4254</v>
      </c>
      <c r="J5" s="14">
        <f>'Other Major Airline Stats'!J6</f>
        <v>209428</v>
      </c>
      <c r="K5" s="282">
        <f>SUM(B5:J5)</f>
        <v>1094137</v>
      </c>
      <c r="M5" s="309"/>
      <c r="N5" s="309"/>
      <c r="O5" s="309"/>
      <c r="P5" s="309"/>
      <c r="Q5" s="309"/>
      <c r="R5" s="309"/>
      <c r="S5" s="309"/>
      <c r="T5" s="309"/>
    </row>
    <row r="6" spans="1:20" ht="15" x14ac:dyDescent="0.25">
      <c r="A6" s="60" t="s">
        <v>7</v>
      </c>
      <c r="B6" s="34">
        <f t="shared" ref="B6:J6" si="0">SUM(B4:B5)</f>
        <v>131599</v>
      </c>
      <c r="C6" s="34">
        <f t="shared" si="0"/>
        <v>1453797</v>
      </c>
      <c r="D6" s="34">
        <f t="shared" si="0"/>
        <v>56503</v>
      </c>
      <c r="E6" s="34">
        <f t="shared" si="0"/>
        <v>94845</v>
      </c>
      <c r="F6" s="34">
        <f t="shared" ref="F6:I6" si="1">SUM(F4:F5)</f>
        <v>0</v>
      </c>
      <c r="G6" s="34">
        <f t="shared" si="1"/>
        <v>0</v>
      </c>
      <c r="H6" s="34">
        <f t="shared" si="1"/>
        <v>14318</v>
      </c>
      <c r="I6" s="34">
        <f t="shared" si="1"/>
        <v>8481</v>
      </c>
      <c r="J6" s="34">
        <f t="shared" si="0"/>
        <v>412007</v>
      </c>
      <c r="K6" s="283">
        <f>SUM(B6:J6)</f>
        <v>2171550</v>
      </c>
    </row>
    <row r="7" spans="1:20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81"/>
    </row>
    <row r="8" spans="1:20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81">
        <f>SUM(B8:J8)</f>
        <v>0</v>
      </c>
    </row>
    <row r="9" spans="1:20" x14ac:dyDescent="0.2">
      <c r="A9" s="62" t="s">
        <v>30</v>
      </c>
      <c r="B9" s="21">
        <f>[3]American!$FY$27</f>
        <v>3158</v>
      </c>
      <c r="C9" s="21">
        <f>[3]Delta!$FY$27+[3]Delta!$FY$37</f>
        <v>28326</v>
      </c>
      <c r="D9" s="21">
        <f>[3]United!$FY$27</f>
        <v>1007</v>
      </c>
      <c r="E9" s="21">
        <f>[3]Spirit!$FY$27</f>
        <v>228</v>
      </c>
      <c r="F9" s="21">
        <f>[3]Condor!$FY$27+[3]Condor!$FY$37</f>
        <v>0</v>
      </c>
      <c r="G9" s="21">
        <f>'[3]Air France'!$FY$27+'[3]Air France'!$FY$37</f>
        <v>0</v>
      </c>
      <c r="H9" s="21">
        <f>'[3]Jet Blue'!$FY$27</f>
        <v>236</v>
      </c>
      <c r="I9" s="21">
        <f>[3]KLM!$FY$27+[3]KLM!$FY$37</f>
        <v>0</v>
      </c>
      <c r="J9" s="21">
        <f>'Other Major Airline Stats'!J10</f>
        <v>3779</v>
      </c>
      <c r="K9" s="281">
        <f>SUM(B9:J9)</f>
        <v>36734</v>
      </c>
    </row>
    <row r="10" spans="1:20" x14ac:dyDescent="0.2">
      <c r="A10" s="62" t="s">
        <v>33</v>
      </c>
      <c r="B10" s="14">
        <f>[3]American!$FY$28</f>
        <v>3270</v>
      </c>
      <c r="C10" s="14">
        <f>[3]Delta!$FY$28+[3]Delta!$FY$38</f>
        <v>28100</v>
      </c>
      <c r="D10" s="14">
        <f>[3]United!$FY$28</f>
        <v>1051</v>
      </c>
      <c r="E10" s="14">
        <f>[3]Spirit!$FY$28</f>
        <v>223</v>
      </c>
      <c r="F10" s="14">
        <f>[3]Condor!$FY$28+[3]Condor!$FY$38</f>
        <v>0</v>
      </c>
      <c r="G10" s="14">
        <f>'[3]Air France'!$FY$28+'[3]Air France'!$FY$38</f>
        <v>0</v>
      </c>
      <c r="H10" s="14">
        <f>'[3]Jet Blue'!$FY$28</f>
        <v>217</v>
      </c>
      <c r="I10" s="14">
        <f>[3]KLM!$FY$28+[3]KLM!$FY$38</f>
        <v>0</v>
      </c>
      <c r="J10" s="14">
        <f>'Other Major Airline Stats'!J11</f>
        <v>4305</v>
      </c>
      <c r="K10" s="282">
        <f>SUM(B10:J10)</f>
        <v>37166</v>
      </c>
    </row>
    <row r="11" spans="1:20" ht="15.75" thickBot="1" x14ac:dyDescent="0.3">
      <c r="A11" s="63" t="s">
        <v>34</v>
      </c>
      <c r="B11" s="284">
        <f t="shared" ref="B11:J11" si="2">SUM(B9:B10)</f>
        <v>6428</v>
      </c>
      <c r="C11" s="284">
        <f t="shared" si="2"/>
        <v>56426</v>
      </c>
      <c r="D11" s="284">
        <f t="shared" si="2"/>
        <v>2058</v>
      </c>
      <c r="E11" s="284">
        <f t="shared" si="2"/>
        <v>451</v>
      </c>
      <c r="F11" s="284">
        <f t="shared" ref="F11:I11" si="3">SUM(F9:F10)</f>
        <v>0</v>
      </c>
      <c r="G11" s="284">
        <f t="shared" si="3"/>
        <v>0</v>
      </c>
      <c r="H11" s="284">
        <f t="shared" si="3"/>
        <v>453</v>
      </c>
      <c r="I11" s="284">
        <f t="shared" si="3"/>
        <v>0</v>
      </c>
      <c r="J11" s="284">
        <f t="shared" si="2"/>
        <v>8084</v>
      </c>
      <c r="K11" s="285">
        <f>SUM(B11:J11)</f>
        <v>73900</v>
      </c>
    </row>
    <row r="13" spans="1:20" ht="13.5" thickBot="1" x14ac:dyDescent="0.25"/>
    <row r="14" spans="1:20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20" x14ac:dyDescent="0.2">
      <c r="A15" s="62" t="s">
        <v>22</v>
      </c>
      <c r="B15" s="21">
        <f>[3]American!$FY$4</f>
        <v>552</v>
      </c>
      <c r="C15" s="21">
        <f>[3]Delta!$FY$4+[3]Delta!$FY$15</f>
        <v>5495</v>
      </c>
      <c r="D15" s="21">
        <f>[3]United!$FY$4</f>
        <v>204</v>
      </c>
      <c r="E15" s="21">
        <f>[3]Spirit!$FY$4</f>
        <v>353</v>
      </c>
      <c r="F15" s="21">
        <f>[3]Condor!$FY$4+[3]Condor!$FY$15</f>
        <v>0</v>
      </c>
      <c r="G15" s="21">
        <f>'[3]Air France'!$FY$4+'[3]Air France'!$FY$15</f>
        <v>0</v>
      </c>
      <c r="H15" s="21">
        <f>'[3]Jet Blue'!$FY$4</f>
        <v>76</v>
      </c>
      <c r="I15" s="21">
        <f>[3]KLM!$FY$4+[3]KLM!$FY$15</f>
        <v>18</v>
      </c>
      <c r="J15" s="21">
        <f>'Other Major Airline Stats'!J16</f>
        <v>1748</v>
      </c>
      <c r="K15" s="27">
        <f>SUM(B15:J15)</f>
        <v>8446</v>
      </c>
    </row>
    <row r="16" spans="1:20" x14ac:dyDescent="0.2">
      <c r="A16" s="62" t="s">
        <v>23</v>
      </c>
      <c r="B16" s="14">
        <f>[3]American!$FY$5</f>
        <v>552</v>
      </c>
      <c r="C16" s="14">
        <f>[3]Delta!$FY$5+[3]Delta!$FY$16</f>
        <v>5489</v>
      </c>
      <c r="D16" s="14">
        <f>[3]United!$FY$5</f>
        <v>204</v>
      </c>
      <c r="E16" s="14">
        <f>[3]Spirit!$FY$5</f>
        <v>353</v>
      </c>
      <c r="F16" s="14">
        <f>[3]Condor!$FY$5+[3]Condor!$FY$16</f>
        <v>0</v>
      </c>
      <c r="G16" s="14">
        <f>'[3]Air France'!$FY$5+'[3]Air France'!$FY$16</f>
        <v>0</v>
      </c>
      <c r="H16" s="14">
        <f>'[3]Jet Blue'!$FY$5</f>
        <v>76</v>
      </c>
      <c r="I16" s="14">
        <f>[3]KLM!$FY$5+[3]KLM!$FY$16</f>
        <v>18</v>
      </c>
      <c r="J16" s="14">
        <f>'Other Major Airline Stats'!J17</f>
        <v>1737</v>
      </c>
      <c r="K16" s="33">
        <f>SUM(B16:J16)</f>
        <v>8429</v>
      </c>
      <c r="M16" s="309"/>
    </row>
    <row r="17" spans="1:11" x14ac:dyDescent="0.2">
      <c r="A17" s="62" t="s">
        <v>24</v>
      </c>
      <c r="B17" s="288">
        <f t="shared" ref="B17:J17" si="4">SUM(B15:B16)</f>
        <v>1104</v>
      </c>
      <c r="C17" s="286">
        <f t="shared" si="4"/>
        <v>10984</v>
      </c>
      <c r="D17" s="286">
        <f t="shared" si="4"/>
        <v>408</v>
      </c>
      <c r="E17" s="286">
        <f t="shared" si="4"/>
        <v>706</v>
      </c>
      <c r="F17" s="286">
        <f t="shared" ref="F17:I17" si="5">SUM(F15:F16)</f>
        <v>0</v>
      </c>
      <c r="G17" s="286">
        <f t="shared" si="5"/>
        <v>0</v>
      </c>
      <c r="H17" s="286">
        <f t="shared" si="5"/>
        <v>152</v>
      </c>
      <c r="I17" s="286">
        <f t="shared" si="5"/>
        <v>36</v>
      </c>
      <c r="J17" s="286">
        <f t="shared" si="4"/>
        <v>3485</v>
      </c>
      <c r="K17" s="287">
        <f>SUM(B17:J17)</f>
        <v>16875</v>
      </c>
    </row>
    <row r="18" spans="1:11" x14ac:dyDescent="0.2">
      <c r="A18" s="62"/>
      <c r="B18" s="21"/>
      <c r="C18" s="21"/>
      <c r="D18" s="21"/>
      <c r="E18" s="21"/>
      <c r="F18" s="21"/>
      <c r="G18" s="21"/>
      <c r="H18" s="21"/>
      <c r="I18" s="21"/>
      <c r="J18" s="21"/>
      <c r="K18" s="27"/>
    </row>
    <row r="19" spans="1:11" x14ac:dyDescent="0.2">
      <c r="A19" s="62" t="s">
        <v>25</v>
      </c>
      <c r="B19" s="21">
        <f>[3]American!$FY$8</f>
        <v>0</v>
      </c>
      <c r="C19" s="21">
        <f>[3]Delta!$FY$8</f>
        <v>2</v>
      </c>
      <c r="D19" s="21">
        <f>[3]United!$FY$8</f>
        <v>0</v>
      </c>
      <c r="E19" s="21">
        <f>[3]Spirit!$FY$8</f>
        <v>0</v>
      </c>
      <c r="F19" s="21">
        <f>[3]Condor!$FY$8</f>
        <v>0</v>
      </c>
      <c r="G19" s="21">
        <f>'[3]Air France'!$FY$8</f>
        <v>0</v>
      </c>
      <c r="H19" s="21">
        <f>'[3]Jet Blue'!$FY$8</f>
        <v>0</v>
      </c>
      <c r="I19" s="21">
        <f>[3]KLM!$FY$8</f>
        <v>0</v>
      </c>
      <c r="J19" s="21">
        <f>'Other Major Airline Stats'!J20</f>
        <v>47</v>
      </c>
      <c r="K19" s="27">
        <f>SUM(B19:J19)</f>
        <v>49</v>
      </c>
    </row>
    <row r="20" spans="1:11" x14ac:dyDescent="0.2">
      <c r="A20" s="62" t="s">
        <v>26</v>
      </c>
      <c r="B20" s="14">
        <f>[3]American!$FY$9</f>
        <v>0</v>
      </c>
      <c r="C20" s="14">
        <f>[3]Delta!$FY$9</f>
        <v>11</v>
      </c>
      <c r="D20" s="14">
        <f>[3]United!$FY$9</f>
        <v>0</v>
      </c>
      <c r="E20" s="14">
        <f>[3]Spirit!$FY$9</f>
        <v>0</v>
      </c>
      <c r="F20" s="14">
        <f>[3]Condor!$FY$9</f>
        <v>0</v>
      </c>
      <c r="G20" s="14">
        <f>'[3]Air France'!$FY$9</f>
        <v>0</v>
      </c>
      <c r="H20" s="14">
        <f>'[3]Jet Blue'!$FY$9</f>
        <v>0</v>
      </c>
      <c r="I20" s="14">
        <f>[3]KLM!$FY$9</f>
        <v>0</v>
      </c>
      <c r="J20" s="14">
        <f>'Other Major Airline Stats'!J21</f>
        <v>49</v>
      </c>
      <c r="K20" s="33">
        <f>SUM(B20:J20)</f>
        <v>60</v>
      </c>
    </row>
    <row r="21" spans="1:11" x14ac:dyDescent="0.2">
      <c r="A21" s="62" t="s">
        <v>27</v>
      </c>
      <c r="B21" s="288">
        <f t="shared" ref="B21:J21" si="6">SUM(B19:B20)</f>
        <v>0</v>
      </c>
      <c r="C21" s="286">
        <f t="shared" si="6"/>
        <v>13</v>
      </c>
      <c r="D21" s="286">
        <f t="shared" si="6"/>
        <v>0</v>
      </c>
      <c r="E21" s="286">
        <f t="shared" si="6"/>
        <v>0</v>
      </c>
      <c r="F21" s="286">
        <f t="shared" ref="F21:I21" si="7">SUM(F19:F20)</f>
        <v>0</v>
      </c>
      <c r="G21" s="286">
        <f t="shared" si="7"/>
        <v>0</v>
      </c>
      <c r="H21" s="286">
        <f t="shared" si="7"/>
        <v>0</v>
      </c>
      <c r="I21" s="286">
        <f t="shared" si="7"/>
        <v>0</v>
      </c>
      <c r="J21" s="286">
        <f t="shared" si="6"/>
        <v>96</v>
      </c>
      <c r="K21" s="176">
        <f>SUM(B21:J21)</f>
        <v>109</v>
      </c>
    </row>
    <row r="22" spans="1:11" x14ac:dyDescent="0.2">
      <c r="A22" s="62"/>
      <c r="B22" s="21"/>
      <c r="C22" s="21"/>
      <c r="D22" s="21"/>
      <c r="E22" s="21"/>
      <c r="F22" s="21"/>
      <c r="G22" s="21"/>
      <c r="H22" s="21"/>
      <c r="I22" s="21"/>
      <c r="J22" s="21"/>
      <c r="K22" s="27"/>
    </row>
    <row r="23" spans="1:11" ht="15.75" thickBot="1" x14ac:dyDescent="0.3">
      <c r="A23" s="63" t="s">
        <v>28</v>
      </c>
      <c r="B23" s="28">
        <f t="shared" ref="B23:J23" si="8">B17+B21</f>
        <v>1104</v>
      </c>
      <c r="C23" s="28">
        <f t="shared" si="8"/>
        <v>10997</v>
      </c>
      <c r="D23" s="28">
        <f t="shared" si="8"/>
        <v>408</v>
      </c>
      <c r="E23" s="28">
        <f>E17+E21</f>
        <v>706</v>
      </c>
      <c r="F23" s="28">
        <f t="shared" ref="F23:I23" si="9">F17+F21</f>
        <v>0</v>
      </c>
      <c r="G23" s="28">
        <f t="shared" si="9"/>
        <v>0</v>
      </c>
      <c r="H23" s="28">
        <f t="shared" si="9"/>
        <v>152</v>
      </c>
      <c r="I23" s="28">
        <f t="shared" si="9"/>
        <v>36</v>
      </c>
      <c r="J23" s="28">
        <f t="shared" si="8"/>
        <v>3581</v>
      </c>
      <c r="K23" s="29">
        <f>SUM(B23:J23)</f>
        <v>16984</v>
      </c>
    </row>
    <row r="25" spans="1:11" ht="13.5" thickBot="1" x14ac:dyDescent="0.25">
      <c r="B25" s="413"/>
      <c r="C25" s="413"/>
      <c r="D25" s="413"/>
      <c r="E25" s="413"/>
      <c r="F25" s="413"/>
      <c r="G25" s="413"/>
      <c r="H25" s="413"/>
      <c r="I25" s="413"/>
      <c r="J25" s="413"/>
    </row>
    <row r="26" spans="1:11" ht="15.75" thickTop="1" x14ac:dyDescent="0.25">
      <c r="A26" s="65" t="s">
        <v>35</v>
      </c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1" x14ac:dyDescent="0.2">
      <c r="A27" s="62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0"/>
    </row>
    <row r="28" spans="1:11" x14ac:dyDescent="0.2">
      <c r="A28" s="62" t="s">
        <v>37</v>
      </c>
      <c r="B28" s="21">
        <f>[3]American!$FY$47</f>
        <v>38230</v>
      </c>
      <c r="C28" s="21">
        <f>[3]Delta!$FY$47</f>
        <v>3325667</v>
      </c>
      <c r="D28" s="21">
        <f>[3]United!$FY$47</f>
        <v>56950</v>
      </c>
      <c r="E28" s="21">
        <f>[3]Spirit!$FY$47</f>
        <v>0</v>
      </c>
      <c r="F28" s="21">
        <f>[3]Condor!$FY$47</f>
        <v>0</v>
      </c>
      <c r="G28" s="21">
        <f>'[3]Air France'!$FY$47</f>
        <v>0</v>
      </c>
      <c r="H28" s="21">
        <f>'[3]Jet Blue'!$FY$47</f>
        <v>0</v>
      </c>
      <c r="I28" s="21">
        <f>[3]KLM!$FY$47</f>
        <v>549353</v>
      </c>
      <c r="J28" s="21">
        <f>'Other Major Airline Stats'!J28</f>
        <v>378466</v>
      </c>
      <c r="K28" s="27">
        <f>SUM(B28:J28)</f>
        <v>4348666</v>
      </c>
    </row>
    <row r="29" spans="1:11" x14ac:dyDescent="0.2">
      <c r="A29" s="62" t="s">
        <v>38</v>
      </c>
      <c r="B29" s="14">
        <f>[3]American!$FY$48</f>
        <v>29260</v>
      </c>
      <c r="C29" s="14">
        <f>[3]Delta!$FY$48</f>
        <v>1669568</v>
      </c>
      <c r="D29" s="14">
        <f>[3]United!$FY$48</f>
        <v>19509</v>
      </c>
      <c r="E29" s="14">
        <f>[3]Spirit!$FY$48</f>
        <v>0</v>
      </c>
      <c r="F29" s="14">
        <f>[3]Condor!$FY$48</f>
        <v>0</v>
      </c>
      <c r="G29" s="14">
        <f>'[3]Air France'!$FY$48</f>
        <v>0</v>
      </c>
      <c r="H29" s="14">
        <f>'[3]Jet Blue'!$FY$48</f>
        <v>0</v>
      </c>
      <c r="I29" s="14">
        <f>[3]KLM!$FY$48</f>
        <v>0</v>
      </c>
      <c r="J29" s="14">
        <f>'Other Major Airline Stats'!J29</f>
        <v>278227</v>
      </c>
      <c r="K29" s="33">
        <f>SUM(B29:J29)</f>
        <v>1996564</v>
      </c>
    </row>
    <row r="30" spans="1:11" x14ac:dyDescent="0.2">
      <c r="A30" s="66" t="s">
        <v>39</v>
      </c>
      <c r="B30" s="288">
        <f t="shared" ref="B30:J30" si="10">SUM(B28:B29)</f>
        <v>67490</v>
      </c>
      <c r="C30" s="288">
        <f t="shared" si="10"/>
        <v>4995235</v>
      </c>
      <c r="D30" s="288">
        <f t="shared" si="10"/>
        <v>76459</v>
      </c>
      <c r="E30" s="288">
        <f t="shared" si="10"/>
        <v>0</v>
      </c>
      <c r="F30" s="288">
        <f t="shared" ref="F30:I30" si="11">SUM(F28:F29)</f>
        <v>0</v>
      </c>
      <c r="G30" s="288">
        <f t="shared" si="11"/>
        <v>0</v>
      </c>
      <c r="H30" s="288">
        <f t="shared" si="11"/>
        <v>0</v>
      </c>
      <c r="I30" s="288">
        <f t="shared" si="11"/>
        <v>549353</v>
      </c>
      <c r="J30" s="288">
        <f t="shared" si="10"/>
        <v>656693</v>
      </c>
      <c r="K30" s="27">
        <f>SUM(B30:J30)</f>
        <v>6345230</v>
      </c>
    </row>
    <row r="31" spans="1:11" x14ac:dyDescent="0.2">
      <c r="A31" s="62"/>
      <c r="B31" s="21"/>
      <c r="C31" s="21"/>
      <c r="D31" s="21"/>
      <c r="E31" s="21"/>
      <c r="F31" s="21"/>
      <c r="G31" s="21"/>
      <c r="H31" s="21"/>
      <c r="I31" s="21"/>
      <c r="J31" s="21"/>
      <c r="K31" s="27"/>
    </row>
    <row r="32" spans="1:11" x14ac:dyDescent="0.2">
      <c r="A32" s="62" t="s">
        <v>40</v>
      </c>
      <c r="B32" s="21"/>
      <c r="C32" s="21"/>
      <c r="D32" s="21"/>
      <c r="E32" s="21"/>
      <c r="F32" s="21"/>
      <c r="G32" s="21"/>
      <c r="H32" s="21"/>
      <c r="I32" s="21"/>
      <c r="J32" s="21"/>
      <c r="K32" s="27">
        <f t="shared" ref="K32:K40" si="12">SUM(B32:J32)</f>
        <v>0</v>
      </c>
    </row>
    <row r="33" spans="1:11" x14ac:dyDescent="0.2">
      <c r="A33" s="62" t="s">
        <v>37</v>
      </c>
      <c r="B33" s="21">
        <f>[3]American!$FY$52</f>
        <v>10229</v>
      </c>
      <c r="C33" s="21">
        <f>[3]Delta!$FY$52</f>
        <v>2154826</v>
      </c>
      <c r="D33" s="21">
        <f>[3]United!$FY$52</f>
        <v>8232</v>
      </c>
      <c r="E33" s="21">
        <f>[3]Spirit!$FY$52</f>
        <v>0</v>
      </c>
      <c r="F33" s="21">
        <f>[3]Condor!$FY$52</f>
        <v>0</v>
      </c>
      <c r="G33" s="21">
        <f>'[3]Air France'!$FY$52</f>
        <v>0</v>
      </c>
      <c r="H33" s="21">
        <f>'[3]Jet Blue'!$FY$52</f>
        <v>0</v>
      </c>
      <c r="I33" s="21">
        <f>[3]KLM!$FY$52</f>
        <v>160542</v>
      </c>
      <c r="J33" s="21">
        <f>'Other Major Airline Stats'!J33</f>
        <v>131858</v>
      </c>
      <c r="K33" s="27">
        <f t="shared" si="12"/>
        <v>2465687</v>
      </c>
    </row>
    <row r="34" spans="1:11" x14ac:dyDescent="0.2">
      <c r="A34" s="62" t="s">
        <v>38</v>
      </c>
      <c r="B34" s="14">
        <f>[3]American!$FY$53</f>
        <v>73779</v>
      </c>
      <c r="C34" s="14">
        <f>[3]Delta!$FY$53</f>
        <v>2071696</v>
      </c>
      <c r="D34" s="14">
        <f>[3]United!$FY$53</f>
        <v>51820</v>
      </c>
      <c r="E34" s="14">
        <f>[3]Spirit!$FY$53</f>
        <v>0</v>
      </c>
      <c r="F34" s="14">
        <f>[3]Condor!$FY$53</f>
        <v>0</v>
      </c>
      <c r="G34" s="14">
        <f>'[3]Air France'!$FY$53</f>
        <v>0</v>
      </c>
      <c r="H34" s="14">
        <f>'[3]Jet Blue'!$FY$53</f>
        <v>0</v>
      </c>
      <c r="I34" s="14">
        <f>[3]KLM!$FY$53</f>
        <v>0</v>
      </c>
      <c r="J34" s="14">
        <f>'Other Major Airline Stats'!J34</f>
        <v>430396</v>
      </c>
      <c r="K34" s="33">
        <f t="shared" si="12"/>
        <v>2627691</v>
      </c>
    </row>
    <row r="35" spans="1:11" x14ac:dyDescent="0.2">
      <c r="A35" s="66" t="s">
        <v>41</v>
      </c>
      <c r="B35" s="288">
        <f t="shared" ref="B35:J35" si="13">SUM(B33:B34)</f>
        <v>84008</v>
      </c>
      <c r="C35" s="288">
        <f t="shared" si="13"/>
        <v>4226522</v>
      </c>
      <c r="D35" s="288">
        <f t="shared" si="13"/>
        <v>60052</v>
      </c>
      <c r="E35" s="288">
        <f t="shared" si="13"/>
        <v>0</v>
      </c>
      <c r="F35" s="288">
        <f t="shared" ref="F35:I35" si="14">SUM(F33:F34)</f>
        <v>0</v>
      </c>
      <c r="G35" s="288">
        <f t="shared" si="14"/>
        <v>0</v>
      </c>
      <c r="H35" s="288">
        <f t="shared" si="14"/>
        <v>0</v>
      </c>
      <c r="I35" s="288">
        <f t="shared" si="14"/>
        <v>160542</v>
      </c>
      <c r="J35" s="288">
        <f t="shared" si="13"/>
        <v>562254</v>
      </c>
      <c r="K35" s="27">
        <f t="shared" si="12"/>
        <v>5093378</v>
      </c>
    </row>
    <row r="36" spans="1:11" hidden="1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7">
        <f t="shared" si="12"/>
        <v>0</v>
      </c>
    </row>
    <row r="37" spans="1:11" hidden="1" x14ac:dyDescent="0.2">
      <c r="A37" s="62" t="s">
        <v>42</v>
      </c>
      <c r="B37" s="21"/>
      <c r="C37" s="21"/>
      <c r="D37" s="21"/>
      <c r="E37" s="21"/>
      <c r="F37" s="21"/>
      <c r="G37" s="21"/>
      <c r="H37" s="21"/>
      <c r="I37" s="21"/>
      <c r="J37" s="21"/>
      <c r="K37" s="27">
        <f t="shared" si="12"/>
        <v>0</v>
      </c>
    </row>
    <row r="38" spans="1:11" hidden="1" x14ac:dyDescent="0.2">
      <c r="A38" s="62" t="s">
        <v>37</v>
      </c>
      <c r="B38" s="21">
        <f>[3]American!$FY$57</f>
        <v>0</v>
      </c>
      <c r="C38" s="21">
        <f>[3]Delta!$FY$57</f>
        <v>0</v>
      </c>
      <c r="D38" s="21">
        <f>[3]United!$FY$57</f>
        <v>0</v>
      </c>
      <c r="E38" s="21">
        <f>[3]Spirit!$FY$57</f>
        <v>0</v>
      </c>
      <c r="F38" s="21">
        <f>[3]Condor!$FY$57</f>
        <v>0</v>
      </c>
      <c r="G38" s="21">
        <f>'[3]Air France'!$FY$57</f>
        <v>0</v>
      </c>
      <c r="H38" s="21">
        <f>'[3]Jet Blue'!$FY$57</f>
        <v>0</v>
      </c>
      <c r="I38" s="21">
        <f>[3]KLM!$FY$57</f>
        <v>0</v>
      </c>
      <c r="J38" s="21">
        <f>'Other Major Airline Stats'!J38</f>
        <v>0</v>
      </c>
      <c r="K38" s="27">
        <f t="shared" si="12"/>
        <v>0</v>
      </c>
    </row>
    <row r="39" spans="1:11" hidden="1" x14ac:dyDescent="0.2">
      <c r="A39" s="62" t="s">
        <v>38</v>
      </c>
      <c r="B39" s="14">
        <f>[3]American!$FY$58</f>
        <v>0</v>
      </c>
      <c r="C39" s="14">
        <f>[3]Delta!$FY$58</f>
        <v>0</v>
      </c>
      <c r="D39" s="14">
        <f>[3]United!$FY$58</f>
        <v>0</v>
      </c>
      <c r="E39" s="14">
        <f>[3]Spirit!$FY$58</f>
        <v>0</v>
      </c>
      <c r="F39" s="14">
        <f>[3]Condor!$FY$58</f>
        <v>0</v>
      </c>
      <c r="G39" s="14">
        <f>'[3]Air France'!$FY$58</f>
        <v>0</v>
      </c>
      <c r="H39" s="14">
        <f>'[3]Jet Blue'!$FY$58</f>
        <v>0</v>
      </c>
      <c r="I39" s="14">
        <f>[3]KLM!$FY$58</f>
        <v>0</v>
      </c>
      <c r="J39" s="14">
        <f>'Other Major Airline Stats'!J39</f>
        <v>0</v>
      </c>
      <c r="K39" s="33">
        <f t="shared" si="12"/>
        <v>0</v>
      </c>
    </row>
    <row r="40" spans="1:11" hidden="1" x14ac:dyDescent="0.2">
      <c r="A40" s="66" t="s">
        <v>43</v>
      </c>
      <c r="B40" s="288">
        <f t="shared" ref="B40:J40" si="15">SUM(B38:B39)</f>
        <v>0</v>
      </c>
      <c r="C40" s="288">
        <f t="shared" si="15"/>
        <v>0</v>
      </c>
      <c r="D40" s="288">
        <f t="shared" si="15"/>
        <v>0</v>
      </c>
      <c r="E40" s="288">
        <f t="shared" si="15"/>
        <v>0</v>
      </c>
      <c r="F40" s="288">
        <f t="shared" ref="F40:I40" si="16">SUM(F38:F39)</f>
        <v>0</v>
      </c>
      <c r="G40" s="288">
        <f t="shared" si="16"/>
        <v>0</v>
      </c>
      <c r="H40" s="288">
        <f t="shared" si="16"/>
        <v>0</v>
      </c>
      <c r="I40" s="288">
        <f t="shared" si="16"/>
        <v>0</v>
      </c>
      <c r="J40" s="288">
        <f t="shared" si="15"/>
        <v>0</v>
      </c>
      <c r="K40" s="27">
        <f t="shared" si="12"/>
        <v>0</v>
      </c>
    </row>
    <row r="41" spans="1:11" x14ac:dyDescent="0.2">
      <c r="A41" s="62"/>
      <c r="B41" s="21"/>
      <c r="C41" s="21"/>
      <c r="D41" s="21"/>
      <c r="E41" s="21"/>
      <c r="F41" s="21"/>
      <c r="G41" s="21"/>
      <c r="H41" s="21"/>
      <c r="I41" s="21"/>
      <c r="J41" s="21"/>
      <c r="K41" s="27"/>
    </row>
    <row r="42" spans="1:11" x14ac:dyDescent="0.2">
      <c r="A42" s="62" t="s">
        <v>44</v>
      </c>
      <c r="B42" s="21"/>
      <c r="C42" s="21"/>
      <c r="D42" s="21"/>
      <c r="E42" s="21"/>
      <c r="F42" s="21"/>
      <c r="G42" s="21"/>
      <c r="H42" s="21"/>
      <c r="I42" s="21"/>
      <c r="J42" s="21"/>
      <c r="K42" s="27">
        <f>SUM(B42:J42)</f>
        <v>0</v>
      </c>
    </row>
    <row r="43" spans="1:11" x14ac:dyDescent="0.2">
      <c r="A43" s="62" t="s">
        <v>45</v>
      </c>
      <c r="B43" s="21">
        <f t="shared" ref="B43:J44" si="17">B28+B33+B38</f>
        <v>48459</v>
      </c>
      <c r="C43" s="21">
        <f t="shared" si="17"/>
        <v>5480493</v>
      </c>
      <c r="D43" s="21">
        <f t="shared" si="17"/>
        <v>65182</v>
      </c>
      <c r="E43" s="21">
        <f>E28+E33+E38</f>
        <v>0</v>
      </c>
      <c r="F43" s="21">
        <f t="shared" ref="F43:I43" si="18">F28+F33+F38</f>
        <v>0</v>
      </c>
      <c r="G43" s="21">
        <f t="shared" si="18"/>
        <v>0</v>
      </c>
      <c r="H43" s="21">
        <f t="shared" si="18"/>
        <v>0</v>
      </c>
      <c r="I43" s="21">
        <f t="shared" si="18"/>
        <v>709895</v>
      </c>
      <c r="J43" s="21">
        <f t="shared" si="17"/>
        <v>510324</v>
      </c>
      <c r="K43" s="27">
        <f>SUM(B43:J43)</f>
        <v>6814353</v>
      </c>
    </row>
    <row r="44" spans="1:11" x14ac:dyDescent="0.2">
      <c r="A44" s="62" t="s">
        <v>38</v>
      </c>
      <c r="B44" s="14">
        <f t="shared" si="17"/>
        <v>103039</v>
      </c>
      <c r="C44" s="14">
        <f t="shared" si="17"/>
        <v>3741264</v>
      </c>
      <c r="D44" s="14">
        <f t="shared" si="17"/>
        <v>71329</v>
      </c>
      <c r="E44" s="14">
        <f>E29+E34+E39</f>
        <v>0</v>
      </c>
      <c r="F44" s="14">
        <f t="shared" ref="F44:I44" si="19">F29+F34+F39</f>
        <v>0</v>
      </c>
      <c r="G44" s="14">
        <f t="shared" si="19"/>
        <v>0</v>
      </c>
      <c r="H44" s="14">
        <f t="shared" si="19"/>
        <v>0</v>
      </c>
      <c r="I44" s="14">
        <f t="shared" si="19"/>
        <v>0</v>
      </c>
      <c r="J44" s="14">
        <f t="shared" si="17"/>
        <v>708623</v>
      </c>
      <c r="K44" s="27">
        <f>SUM(B44:J44)</f>
        <v>4624255</v>
      </c>
    </row>
    <row r="45" spans="1:11" ht="15.75" thickBot="1" x14ac:dyDescent="0.3">
      <c r="A45" s="63" t="s">
        <v>46</v>
      </c>
      <c r="B45" s="289">
        <f t="shared" ref="B45:J45" si="20">SUM(B43:B44)</f>
        <v>151498</v>
      </c>
      <c r="C45" s="289">
        <f t="shared" si="20"/>
        <v>9221757</v>
      </c>
      <c r="D45" s="289">
        <f t="shared" si="20"/>
        <v>136511</v>
      </c>
      <c r="E45" s="289">
        <f t="shared" si="20"/>
        <v>0</v>
      </c>
      <c r="F45" s="289">
        <f t="shared" ref="F45:I45" si="21">SUM(F43:F44)</f>
        <v>0</v>
      </c>
      <c r="G45" s="289">
        <f t="shared" si="21"/>
        <v>0</v>
      </c>
      <c r="H45" s="289">
        <f t="shared" si="21"/>
        <v>0</v>
      </c>
      <c r="I45" s="289">
        <f t="shared" si="21"/>
        <v>709895</v>
      </c>
      <c r="J45" s="289">
        <f t="shared" si="20"/>
        <v>1218947</v>
      </c>
      <c r="K45" s="290">
        <f>SUM(B45:J45)</f>
        <v>11438608</v>
      </c>
    </row>
    <row r="46" spans="1:11" x14ac:dyDescent="0.2">
      <c r="B46" s="13"/>
      <c r="C46" s="13"/>
      <c r="D46" s="13"/>
      <c r="E46" s="13"/>
      <c r="F46" s="13"/>
      <c r="G46" s="13"/>
      <c r="H46" s="13"/>
      <c r="I46" s="13"/>
      <c r="J46" s="13"/>
    </row>
    <row r="47" spans="1:11" hidden="1" x14ac:dyDescent="0.2">
      <c r="A47" s="375" t="s">
        <v>124</v>
      </c>
      <c r="C47" s="319">
        <f>[3]Delta!$FY$70+[3]Delta!$FY$73</f>
        <v>402615</v>
      </c>
      <c r="D47" s="306"/>
      <c r="E47" s="306"/>
      <c r="F47" s="306"/>
      <c r="G47" s="306"/>
      <c r="H47" s="306"/>
      <c r="I47" s="306"/>
      <c r="J47" s="306"/>
      <c r="K47" s="307">
        <f>SUM(B47:J47)</f>
        <v>402615</v>
      </c>
    </row>
    <row r="48" spans="1:11" hidden="1" x14ac:dyDescent="0.2">
      <c r="A48" s="376" t="s">
        <v>125</v>
      </c>
      <c r="C48" s="319">
        <f>[3]Delta!$FY$71+[3]Delta!$FY$74</f>
        <v>328083</v>
      </c>
      <c r="D48" s="306"/>
      <c r="E48" s="306"/>
      <c r="F48" s="306"/>
      <c r="G48" s="306"/>
      <c r="H48" s="306"/>
      <c r="I48" s="306"/>
      <c r="J48" s="306"/>
      <c r="K48" s="307">
        <f>SUM(B48:J48)</f>
        <v>328083</v>
      </c>
    </row>
    <row r="49" spans="1:11" hidden="1" x14ac:dyDescent="0.2">
      <c r="A49" s="377" t="s">
        <v>126</v>
      </c>
      <c r="C49" s="320">
        <f>SUM(C47:C48)</f>
        <v>730698</v>
      </c>
      <c r="K49" s="307">
        <f>SUM(B49:J49)</f>
        <v>730698</v>
      </c>
    </row>
    <row r="50" spans="1:11" x14ac:dyDescent="0.2">
      <c r="A50" s="375" t="s">
        <v>124</v>
      </c>
      <c r="B50" s="387"/>
      <c r="C50" s="322">
        <f>[3]Delta!$FY$70+[3]Delta!$FY$73</f>
        <v>402615</v>
      </c>
      <c r="D50" s="387"/>
      <c r="E50" s="322">
        <f>[3]Spirit!$FY$70+[3]Spirit!$FY$73</f>
        <v>0</v>
      </c>
      <c r="F50" s="387"/>
      <c r="G50" s="387"/>
      <c r="H50" s="387"/>
      <c r="I50" s="387"/>
      <c r="J50" s="321">
        <f>'Other Major Airline Stats'!J48</f>
        <v>177196</v>
      </c>
      <c r="K50" s="310">
        <f>SUM(B50:J50)</f>
        <v>579811</v>
      </c>
    </row>
    <row r="51" spans="1:11" x14ac:dyDescent="0.2">
      <c r="A51" s="389" t="s">
        <v>125</v>
      </c>
      <c r="B51" s="387"/>
      <c r="C51" s="322">
        <f>[3]Delta!$FY$71+[3]Delta!$FY$74</f>
        <v>328083</v>
      </c>
      <c r="D51" s="387"/>
      <c r="E51" s="322">
        <f>[3]Spirit!$FY$71+[3]Spirit!$FY$74</f>
        <v>0</v>
      </c>
      <c r="F51" s="387"/>
      <c r="G51" s="387"/>
      <c r="H51" s="387"/>
      <c r="I51" s="387"/>
      <c r="J51" s="321">
        <f>+'Other Major Airline Stats'!J49</f>
        <v>2571</v>
      </c>
      <c r="K51" s="310">
        <f>SUM(B51:J51)</f>
        <v>330654</v>
      </c>
    </row>
    <row r="52" spans="1:11" x14ac:dyDescent="0.2">
      <c r="E52" s="11"/>
      <c r="F52" s="11"/>
      <c r="G52" s="11"/>
      <c r="H52" s="11"/>
      <c r="I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December 2018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M13" sqref="M13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78">
        <v>43435</v>
      </c>
      <c r="B2" s="436" t="s">
        <v>47</v>
      </c>
      <c r="C2" s="436" t="s">
        <v>159</v>
      </c>
      <c r="D2" s="435" t="s">
        <v>196</v>
      </c>
      <c r="E2" s="435" t="s">
        <v>197</v>
      </c>
      <c r="F2" s="436" t="s">
        <v>48</v>
      </c>
      <c r="G2" s="435" t="s">
        <v>132</v>
      </c>
      <c r="H2" s="435" t="s">
        <v>49</v>
      </c>
      <c r="I2" s="435" t="s">
        <v>131</v>
      </c>
      <c r="J2" s="514" t="s">
        <v>61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30</v>
      </c>
      <c r="B5" s="146">
        <f>[3]Frontier!$FY$22</f>
        <v>17137</v>
      </c>
      <c r="C5" s="146">
        <f>'[3]Great Lakes'!$FY$22</f>
        <v>0</v>
      </c>
      <c r="D5" s="118">
        <f>'[3]Air Choice One'!$FY$22</f>
        <v>483</v>
      </c>
      <c r="E5" s="118">
        <f>'[3]Boutique Air'!$FY$22</f>
        <v>363</v>
      </c>
      <c r="F5" s="146">
        <f>[3]Icelandair!$FY$32</f>
        <v>2121</v>
      </c>
      <c r="G5" s="118">
        <f>[3]Southwest!$FY$22</f>
        <v>72082</v>
      </c>
      <c r="H5" s="118">
        <f>'[3]Sun Country'!$FY$22+'[3]Sun Country'!$FY$32</f>
        <v>102117</v>
      </c>
      <c r="I5" s="118">
        <f>[3]Alaska!$FY$22</f>
        <v>8276</v>
      </c>
      <c r="J5" s="147">
        <f>SUM(B5:I5)</f>
        <v>202579</v>
      </c>
      <c r="M5" s="130"/>
    </row>
    <row r="6" spans="1:13" x14ac:dyDescent="0.2">
      <c r="A6" s="62" t="s">
        <v>31</v>
      </c>
      <c r="B6" s="146">
        <f>[3]Frontier!$FY$23</f>
        <v>18271</v>
      </c>
      <c r="C6" s="146">
        <f>'[3]Great Lakes'!$FY$23</f>
        <v>0</v>
      </c>
      <c r="D6" s="118">
        <f>'[3]Air Choice One'!$FY$23</f>
        <v>436</v>
      </c>
      <c r="E6" s="118">
        <f>'[3]Boutique Air'!$FY$23</f>
        <v>345</v>
      </c>
      <c r="F6" s="146">
        <f>[3]Icelandair!$FY$33</f>
        <v>2178</v>
      </c>
      <c r="G6" s="118">
        <f>[3]Southwest!$FY$23</f>
        <v>71348</v>
      </c>
      <c r="H6" s="118">
        <f>'[3]Sun Country'!$FY$23+'[3]Sun Country'!$FY$33</f>
        <v>108419</v>
      </c>
      <c r="I6" s="118">
        <f>[3]Alaska!$FY$23</f>
        <v>8431</v>
      </c>
      <c r="J6" s="147">
        <f>SUM(B6:I6)</f>
        <v>209428</v>
      </c>
    </row>
    <row r="7" spans="1:13" ht="15" x14ac:dyDescent="0.25">
      <c r="A7" s="60" t="s">
        <v>7</v>
      </c>
      <c r="B7" s="155">
        <f t="shared" ref="B7:I7" si="0">SUM(B5:B6)</f>
        <v>35408</v>
      </c>
      <c r="C7" s="155">
        <f t="shared" si="0"/>
        <v>0</v>
      </c>
      <c r="D7" s="155">
        <f t="shared" ref="D7:E7" si="1">SUM(D5:D6)</f>
        <v>919</v>
      </c>
      <c r="E7" s="155">
        <f t="shared" si="1"/>
        <v>708</v>
      </c>
      <c r="F7" s="155">
        <f t="shared" si="0"/>
        <v>4299</v>
      </c>
      <c r="G7" s="155">
        <f t="shared" si="0"/>
        <v>143430</v>
      </c>
      <c r="H7" s="155">
        <f>SUM(H5:H6)</f>
        <v>210536</v>
      </c>
      <c r="I7" s="155">
        <f t="shared" si="0"/>
        <v>16707</v>
      </c>
      <c r="J7" s="156">
        <f>SUM(B7:I7)</f>
        <v>412007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32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30</v>
      </c>
      <c r="B10" s="154">
        <f>[3]Frontier!$FY$27</f>
        <v>135</v>
      </c>
      <c r="C10" s="154">
        <f>'[3]Great Lakes'!$FY$27</f>
        <v>0</v>
      </c>
      <c r="D10" s="154">
        <f>'[3]Air Choice One'!$FY$27</f>
        <v>0</v>
      </c>
      <c r="E10" s="154">
        <f>'[3]Boutique Air'!$FY$27</f>
        <v>0</v>
      </c>
      <c r="F10" s="154">
        <f>[3]Icelandair!$FY$37</f>
        <v>57</v>
      </c>
      <c r="G10" s="154">
        <f>[3]Southwest!$FY$27</f>
        <v>1568</v>
      </c>
      <c r="H10" s="154">
        <f>'[3]Sun Country'!$FY$27+'[3]Sun Country'!$FY$37</f>
        <v>1666</v>
      </c>
      <c r="I10" s="154">
        <f>[3]Alaska!$FY$27</f>
        <v>353</v>
      </c>
      <c r="J10" s="147">
        <f>SUM(B10:I10)</f>
        <v>3779</v>
      </c>
    </row>
    <row r="11" spans="1:13" x14ac:dyDescent="0.2">
      <c r="A11" s="62" t="s">
        <v>33</v>
      </c>
      <c r="B11" s="157">
        <f>[3]Frontier!$FY$28</f>
        <v>142</v>
      </c>
      <c r="C11" s="157">
        <f>'[3]Great Lakes'!$FY$28</f>
        <v>0</v>
      </c>
      <c r="D11" s="157">
        <f>'[3]Air Choice One'!$FY$28</f>
        <v>0</v>
      </c>
      <c r="E11" s="157">
        <f>'[3]Boutique Air'!$FY$28</f>
        <v>0</v>
      </c>
      <c r="F11" s="157">
        <f>[3]Icelandair!$FY$38</f>
        <v>65</v>
      </c>
      <c r="G11" s="157">
        <f>[3]Southwest!$FY$28</f>
        <v>1846</v>
      </c>
      <c r="H11" s="157">
        <f>'[3]Sun Country'!$FY$28+'[3]Sun Country'!$FY$38</f>
        <v>1775</v>
      </c>
      <c r="I11" s="157">
        <f>[3]Alaska!$FY$28</f>
        <v>477</v>
      </c>
      <c r="J11" s="147">
        <f>SUM(B11:I11)</f>
        <v>4305</v>
      </c>
    </row>
    <row r="12" spans="1:13" ht="15.75" thickBot="1" x14ac:dyDescent="0.3">
      <c r="A12" s="63" t="s">
        <v>34</v>
      </c>
      <c r="B12" s="150">
        <f t="shared" ref="B12:I12" si="2">SUM(B10:B11)</f>
        <v>277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122</v>
      </c>
      <c r="G12" s="150">
        <f t="shared" si="2"/>
        <v>3414</v>
      </c>
      <c r="H12" s="150">
        <f>SUM(H10:H11)</f>
        <v>3441</v>
      </c>
      <c r="I12" s="150">
        <f t="shared" si="2"/>
        <v>830</v>
      </c>
      <c r="J12" s="158">
        <f>SUM(B12:I12)</f>
        <v>8084</v>
      </c>
      <c r="M12" s="130"/>
    </row>
    <row r="13" spans="1:13" ht="15" x14ac:dyDescent="0.25">
      <c r="A13" s="59"/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22</v>
      </c>
      <c r="B16" s="146">
        <f>[3]Frontier!$FY$4</f>
        <v>108</v>
      </c>
      <c r="C16" s="146">
        <f>'[3]Great Lakes'!$FY$4</f>
        <v>0</v>
      </c>
      <c r="D16" s="106">
        <f>'[3]Air Choice One'!$FY$4</f>
        <v>101</v>
      </c>
      <c r="E16" s="106">
        <f>'[3]Boutique Air'!$FY$4</f>
        <v>73</v>
      </c>
      <c r="F16" s="146">
        <f>[3]Icelandair!$FY$15</f>
        <v>16</v>
      </c>
      <c r="G16" s="106">
        <f>[3]Southwest!$FY$4</f>
        <v>609</v>
      </c>
      <c r="H16" s="118">
        <f>'[3]Sun Country'!$FY$4+'[3]Sun Country'!$FY$15</f>
        <v>783</v>
      </c>
      <c r="I16" s="118">
        <f>[3]Alaska!$FY$4</f>
        <v>58</v>
      </c>
      <c r="J16" s="147">
        <f>SUM(B16:I16)</f>
        <v>1748</v>
      </c>
    </row>
    <row r="17" spans="1:257" x14ac:dyDescent="0.2">
      <c r="A17" s="62" t="s">
        <v>23</v>
      </c>
      <c r="B17" s="146">
        <f>[3]Frontier!$FY$5</f>
        <v>108</v>
      </c>
      <c r="C17" s="146">
        <f>'[3]Great Lakes'!$FY$5</f>
        <v>0</v>
      </c>
      <c r="D17" s="106">
        <f>'[3]Air Choice One'!$FY$5</f>
        <v>101</v>
      </c>
      <c r="E17" s="106">
        <f>'[3]Boutique Air'!$FY$5</f>
        <v>73</v>
      </c>
      <c r="F17" s="146">
        <f>[3]Icelandair!$FY$16</f>
        <v>16</v>
      </c>
      <c r="G17" s="106">
        <f>[3]Southwest!$FY$5</f>
        <v>608</v>
      </c>
      <c r="H17" s="118">
        <f>'[3]Sun Country'!$FY$5+'[3]Sun Country'!$FY$16</f>
        <v>772</v>
      </c>
      <c r="I17" s="118">
        <f>[3]Alaska!$FY$5</f>
        <v>59</v>
      </c>
      <c r="J17" s="147">
        <f>SUM(B17:I17)</f>
        <v>1737</v>
      </c>
    </row>
    <row r="18" spans="1:257" x14ac:dyDescent="0.2">
      <c r="A18" s="66" t="s">
        <v>24</v>
      </c>
      <c r="B18" s="148">
        <f t="shared" ref="B18:I18" si="4">SUM(B16:B17)</f>
        <v>216</v>
      </c>
      <c r="C18" s="148">
        <f t="shared" si="4"/>
        <v>0</v>
      </c>
      <c r="D18" s="148">
        <f t="shared" ref="D18:E18" si="5">SUM(D16:D17)</f>
        <v>202</v>
      </c>
      <c r="E18" s="148">
        <f t="shared" si="5"/>
        <v>146</v>
      </c>
      <c r="F18" s="148">
        <f t="shared" si="4"/>
        <v>32</v>
      </c>
      <c r="G18" s="148">
        <f t="shared" si="4"/>
        <v>1217</v>
      </c>
      <c r="H18" s="148">
        <f t="shared" si="4"/>
        <v>1555</v>
      </c>
      <c r="I18" s="148">
        <f t="shared" si="4"/>
        <v>117</v>
      </c>
      <c r="J18" s="149">
        <f>SUM(B18:I18)</f>
        <v>3485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25</v>
      </c>
      <c r="B20" s="146">
        <f>[3]Frontier!$FY$8</f>
        <v>0</v>
      </c>
      <c r="C20" s="146">
        <f>'[3]Great Lakes'!$FY$8</f>
        <v>0</v>
      </c>
      <c r="D20" s="118">
        <f>'[3]Air Choice One'!$FY$8</f>
        <v>0</v>
      </c>
      <c r="E20" s="118">
        <f>'[3]Boutique Air'!$FY$8</f>
        <v>0</v>
      </c>
      <c r="F20" s="146">
        <f>[3]Icelandair!$FY$8</f>
        <v>0</v>
      </c>
      <c r="G20" s="118">
        <f>[3]Southwest!$FY$8</f>
        <v>1</v>
      </c>
      <c r="H20" s="118">
        <f>'[3]Sun Country'!$FY$8</f>
        <v>46</v>
      </c>
      <c r="I20" s="118">
        <f>[3]Alaska!$FY$8</f>
        <v>0</v>
      </c>
      <c r="J20" s="147">
        <f>SUM(B20:I20)</f>
        <v>47</v>
      </c>
    </row>
    <row r="21" spans="1:257" x14ac:dyDescent="0.2">
      <c r="A21" s="62" t="s">
        <v>26</v>
      </c>
      <c r="B21" s="146">
        <f>[3]Frontier!$FY$9</f>
        <v>0</v>
      </c>
      <c r="C21" s="146">
        <f>'[3]Great Lakes'!$FY$9</f>
        <v>0</v>
      </c>
      <c r="D21" s="118">
        <f>'[3]Air Choice One'!$FY$9</f>
        <v>0</v>
      </c>
      <c r="E21" s="118">
        <f>'[3]Boutique Air'!$FY$9</f>
        <v>0</v>
      </c>
      <c r="F21" s="146">
        <f>[3]Icelandair!$FY$9</f>
        <v>0</v>
      </c>
      <c r="G21" s="118">
        <f>[3]Southwest!$FY$9</f>
        <v>0</v>
      </c>
      <c r="H21" s="118">
        <f>'[3]Sun Country'!$FY$9</f>
        <v>49</v>
      </c>
      <c r="I21" s="118">
        <f>[3]Alaska!$FY$9</f>
        <v>0</v>
      </c>
      <c r="J21" s="147">
        <f>SUM(B21:I21)</f>
        <v>49</v>
      </c>
    </row>
    <row r="22" spans="1:257" x14ac:dyDescent="0.2">
      <c r="A22" s="66" t="s">
        <v>27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1</v>
      </c>
      <c r="H22" s="148">
        <f t="shared" si="6"/>
        <v>95</v>
      </c>
      <c r="I22" s="148">
        <f t="shared" si="6"/>
        <v>0</v>
      </c>
      <c r="J22" s="149">
        <f>SUM(B22:I22)</f>
        <v>96</v>
      </c>
    </row>
    <row r="23" spans="1:257" ht="15.75" thickBot="1" x14ac:dyDescent="0.3">
      <c r="A23" s="63" t="s">
        <v>28</v>
      </c>
      <c r="B23" s="150">
        <f t="shared" ref="B23:I23" si="8">B22+B18</f>
        <v>216</v>
      </c>
      <c r="C23" s="150">
        <f t="shared" si="8"/>
        <v>0</v>
      </c>
      <c r="D23" s="150">
        <f t="shared" ref="D23:E23" si="9">D22+D18</f>
        <v>202</v>
      </c>
      <c r="E23" s="150">
        <f t="shared" si="9"/>
        <v>146</v>
      </c>
      <c r="F23" s="150">
        <f t="shared" si="8"/>
        <v>32</v>
      </c>
      <c r="G23" s="150">
        <f t="shared" si="8"/>
        <v>1218</v>
      </c>
      <c r="H23" s="150">
        <f t="shared" si="8"/>
        <v>1650</v>
      </c>
      <c r="I23" s="150">
        <f t="shared" si="8"/>
        <v>117</v>
      </c>
      <c r="J23" s="151">
        <f>SUM(B23:I23)</f>
        <v>3581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3"/>
      <c r="C25" s="413"/>
      <c r="D25" s="413"/>
      <c r="E25" s="413"/>
      <c r="F25" s="413"/>
      <c r="G25" s="413"/>
      <c r="H25" s="413"/>
      <c r="I25" s="413"/>
      <c r="J25" s="130"/>
    </row>
    <row r="26" spans="1:257" ht="15.75" thickTop="1" x14ac:dyDescent="0.25">
      <c r="A26" s="65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36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37</v>
      </c>
      <c r="B28" s="146">
        <f>[3]Frontier!$FY$47</f>
        <v>0</v>
      </c>
      <c r="C28" s="146">
        <f>'[3]Great Lakes'!$FY$47</f>
        <v>0</v>
      </c>
      <c r="D28" s="118">
        <f>'[3]Air Choice One'!$FY$47</f>
        <v>0</v>
      </c>
      <c r="E28" s="118">
        <f>'[3]Boutique Air'!$FY$47</f>
        <v>0</v>
      </c>
      <c r="F28" s="146">
        <f>[3]Icelandair!$FY$47</f>
        <v>12833</v>
      </c>
      <c r="G28" s="118">
        <f>[3]Southwest!$FY$47</f>
        <v>262502</v>
      </c>
      <c r="H28" s="118">
        <f>'[3]Sun Country'!$FY$47</f>
        <v>97552</v>
      </c>
      <c r="I28" s="118">
        <f>[3]Alaska!$FY$47</f>
        <v>5579</v>
      </c>
      <c r="J28" s="147">
        <f>SUM(B28:I28)</f>
        <v>378466</v>
      </c>
    </row>
    <row r="29" spans="1:257" x14ac:dyDescent="0.2">
      <c r="A29" s="62" t="s">
        <v>38</v>
      </c>
      <c r="B29" s="146">
        <f>[3]Frontier!$FY$48</f>
        <v>0</v>
      </c>
      <c r="C29" s="146">
        <f>'[3]Great Lakes'!$FY$48</f>
        <v>0</v>
      </c>
      <c r="D29" s="118">
        <f>'[3]Air Choice One'!$FY$48</f>
        <v>0</v>
      </c>
      <c r="E29" s="118">
        <f>'[3]Boutique Air'!$FY$48</f>
        <v>0</v>
      </c>
      <c r="F29" s="146">
        <f>[3]Icelandair!$FY$48</f>
        <v>0</v>
      </c>
      <c r="G29" s="118">
        <f>[3]Southwest!$FY$48</f>
        <v>0</v>
      </c>
      <c r="H29" s="118">
        <f>'[3]Sun Country'!$FY$48</f>
        <v>275356</v>
      </c>
      <c r="I29" s="118">
        <f>[3]Alaska!$FY$48</f>
        <v>2871</v>
      </c>
      <c r="J29" s="147">
        <f>SUM(B29:I29)</f>
        <v>278227</v>
      </c>
    </row>
    <row r="30" spans="1:257" x14ac:dyDescent="0.2">
      <c r="A30" s="66" t="s">
        <v>39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12833</v>
      </c>
      <c r="G30" s="162">
        <f t="shared" si="10"/>
        <v>262502</v>
      </c>
      <c r="H30" s="162">
        <f t="shared" si="10"/>
        <v>372908</v>
      </c>
      <c r="I30" s="162">
        <f t="shared" si="10"/>
        <v>8450</v>
      </c>
      <c r="J30" s="165">
        <f>SUM(B30:I30)</f>
        <v>656693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40</v>
      </c>
      <c r="B32" s="146"/>
      <c r="C32" s="146"/>
      <c r="D32" s="118"/>
      <c r="E32" s="118"/>
      <c r="F32" s="146"/>
      <c r="G32" s="118"/>
      <c r="H32" s="118"/>
      <c r="I32" s="118"/>
      <c r="J32" s="147"/>
    </row>
    <row r="33" spans="1:10" x14ac:dyDescent="0.2">
      <c r="A33" s="62" t="s">
        <v>37</v>
      </c>
      <c r="B33" s="146">
        <f>[3]Frontier!$FY$52</f>
        <v>0</v>
      </c>
      <c r="C33" s="146">
        <f>'[3]Great Lakes'!$FY$52</f>
        <v>0</v>
      </c>
      <c r="D33" s="118">
        <f>'[3]Air Choice One'!$FY$52</f>
        <v>0</v>
      </c>
      <c r="E33" s="118">
        <f>'[3]Boutique Air'!$FY$52</f>
        <v>0</v>
      </c>
      <c r="F33" s="146">
        <f>[3]Icelandair!$FY$52</f>
        <v>132</v>
      </c>
      <c r="G33" s="118">
        <f>[3]Southwest!$FY$52</f>
        <v>77220</v>
      </c>
      <c r="H33" s="118">
        <f>'[3]Sun Country'!$FY$52</f>
        <v>48077</v>
      </c>
      <c r="I33" s="118">
        <f>[3]Alaska!$FY$52</f>
        <v>6429</v>
      </c>
      <c r="J33" s="147">
        <f>SUM(B33:I33)</f>
        <v>131858</v>
      </c>
    </row>
    <row r="34" spans="1:10" x14ac:dyDescent="0.2">
      <c r="A34" s="62" t="s">
        <v>38</v>
      </c>
      <c r="B34" s="146">
        <f>[3]Frontier!$FY$53</f>
        <v>0</v>
      </c>
      <c r="C34" s="146">
        <f>'[3]Great Lakes'!$FY$53</f>
        <v>0</v>
      </c>
      <c r="D34" s="118">
        <f>'[3]Air Choice One'!$FY$53</f>
        <v>0</v>
      </c>
      <c r="E34" s="118">
        <f>'[3]Boutique Air'!$FY$53</f>
        <v>0</v>
      </c>
      <c r="F34" s="146">
        <f>[3]Icelandair!$FY$53</f>
        <v>0</v>
      </c>
      <c r="G34" s="118">
        <f>[3]Southwest!$FY$53</f>
        <v>0</v>
      </c>
      <c r="H34" s="118">
        <f>'[3]Sun Country'!$FY$53</f>
        <v>423972</v>
      </c>
      <c r="I34" s="118">
        <f>[3]Alaska!$FY$53</f>
        <v>6424</v>
      </c>
      <c r="J34" s="163">
        <f>SUM(B34:I34)</f>
        <v>430396</v>
      </c>
    </row>
    <row r="35" spans="1:10" x14ac:dyDescent="0.2">
      <c r="A35" s="66" t="s">
        <v>41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132</v>
      </c>
      <c r="G35" s="164">
        <f t="shared" si="12"/>
        <v>77220</v>
      </c>
      <c r="H35" s="164">
        <f t="shared" si="12"/>
        <v>472049</v>
      </c>
      <c r="I35" s="164">
        <f t="shared" si="12"/>
        <v>12853</v>
      </c>
      <c r="J35" s="165">
        <f>SUM(B35:I35)</f>
        <v>562254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42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37</v>
      </c>
      <c r="B38" s="154">
        <f>[3]Frontier!$FY$57</f>
        <v>0</v>
      </c>
      <c r="C38" s="154">
        <f>'[3]Great Lakes'!$FY$57</f>
        <v>0</v>
      </c>
      <c r="D38" s="154">
        <f>'[3]Air Choice One'!$FY$57</f>
        <v>0</v>
      </c>
      <c r="E38" s="154">
        <f>'[3]Boutique Air'!$FY$57</f>
        <v>0</v>
      </c>
      <c r="F38" s="154">
        <f>[3]Icelandair!$FY$57</f>
        <v>0</v>
      </c>
      <c r="G38" s="154">
        <f>[3]Southwest!$FY$57</f>
        <v>0</v>
      </c>
      <c r="H38" s="154">
        <f>'[3]Sun Country'!$FY$57</f>
        <v>0</v>
      </c>
      <c r="I38" s="154">
        <f>[3]Alaska!$FY$57</f>
        <v>0</v>
      </c>
      <c r="J38" s="147">
        <f>SUM(B38:H38)</f>
        <v>0</v>
      </c>
    </row>
    <row r="39" spans="1:10" hidden="1" x14ac:dyDescent="0.2">
      <c r="A39" s="62" t="s">
        <v>38</v>
      </c>
      <c r="B39" s="157">
        <f>[3]Frontier!$FY$58</f>
        <v>0</v>
      </c>
      <c r="C39" s="157">
        <f>'[3]Great Lakes'!$FY$58</f>
        <v>0</v>
      </c>
      <c r="D39" s="157">
        <f>'[3]Air Choice One'!$FY$58</f>
        <v>0</v>
      </c>
      <c r="E39" s="157">
        <f>'[3]Boutique Air'!$FY$58</f>
        <v>0</v>
      </c>
      <c r="F39" s="157">
        <f>[3]Icelandair!$FY$58</f>
        <v>0</v>
      </c>
      <c r="G39" s="157">
        <f>[3]Southwest!$FY$58</f>
        <v>0</v>
      </c>
      <c r="H39" s="157">
        <f>'[3]Sun Country'!$FY$58</f>
        <v>0</v>
      </c>
      <c r="I39" s="157">
        <f>[3]Alaska!$FY$58</f>
        <v>0</v>
      </c>
      <c r="J39" s="163">
        <f>SUM(B39:H39)</f>
        <v>0</v>
      </c>
    </row>
    <row r="40" spans="1:10" hidden="1" x14ac:dyDescent="0.2">
      <c r="A40" s="66" t="s">
        <v>43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44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45</v>
      </c>
      <c r="B43" s="154">
        <f t="shared" ref="B43:I43" si="16">B28+B33+B38</f>
        <v>0</v>
      </c>
      <c r="C43" s="154">
        <f>C28+C33+C38</f>
        <v>0</v>
      </c>
      <c r="D43" s="154">
        <f t="shared" ref="D43:E43" si="17">D28+D33+D38</f>
        <v>0</v>
      </c>
      <c r="E43" s="154">
        <f t="shared" si="17"/>
        <v>0</v>
      </c>
      <c r="F43" s="154">
        <f t="shared" si="16"/>
        <v>12965</v>
      </c>
      <c r="G43" s="154">
        <f t="shared" si="16"/>
        <v>339722</v>
      </c>
      <c r="H43" s="154">
        <f t="shared" si="16"/>
        <v>145629</v>
      </c>
      <c r="I43" s="154">
        <f t="shared" si="16"/>
        <v>12008</v>
      </c>
      <c r="J43" s="147">
        <f>SUM(B43:I43)</f>
        <v>510324</v>
      </c>
    </row>
    <row r="44" spans="1:10" x14ac:dyDescent="0.2">
      <c r="A44" s="62" t="s">
        <v>38</v>
      </c>
      <c r="B44" s="157">
        <f t="shared" ref="B44:I44" si="18">+B39+B34+B29</f>
        <v>0</v>
      </c>
      <c r="C44" s="157">
        <f>+C39+C34+C29</f>
        <v>0</v>
      </c>
      <c r="D44" s="157">
        <f t="shared" ref="D44:E44" si="19">+D39+D34+D29</f>
        <v>0</v>
      </c>
      <c r="E44" s="157">
        <f t="shared" si="19"/>
        <v>0</v>
      </c>
      <c r="F44" s="157">
        <f t="shared" si="18"/>
        <v>0</v>
      </c>
      <c r="G44" s="157">
        <f t="shared" si="18"/>
        <v>0</v>
      </c>
      <c r="H44" s="157">
        <f t="shared" si="18"/>
        <v>699328</v>
      </c>
      <c r="I44" s="157">
        <f t="shared" si="18"/>
        <v>9295</v>
      </c>
      <c r="J44" s="147">
        <f>SUM(B44:I44)</f>
        <v>708623</v>
      </c>
    </row>
    <row r="45" spans="1:10" ht="15.75" thickBot="1" x14ac:dyDescent="0.3">
      <c r="A45" s="63" t="s">
        <v>46</v>
      </c>
      <c r="B45" s="167">
        <f t="shared" ref="B45:I45" si="20">B43+B44</f>
        <v>0</v>
      </c>
      <c r="C45" s="167">
        <f t="shared" si="20"/>
        <v>0</v>
      </c>
      <c r="D45" s="167">
        <f t="shared" ref="D45:E45" si="21">D43+D44</f>
        <v>0</v>
      </c>
      <c r="E45" s="167">
        <f t="shared" si="21"/>
        <v>0</v>
      </c>
      <c r="F45" s="167">
        <f t="shared" si="20"/>
        <v>12965</v>
      </c>
      <c r="G45" s="167">
        <f t="shared" si="20"/>
        <v>339722</v>
      </c>
      <c r="H45" s="167">
        <f t="shared" si="20"/>
        <v>844957</v>
      </c>
      <c r="I45" s="167">
        <f t="shared" si="20"/>
        <v>21303</v>
      </c>
      <c r="J45" s="168">
        <f>SUM(B45:I45)</f>
        <v>1218947</v>
      </c>
    </row>
    <row r="48" spans="1:10" x14ac:dyDescent="0.2">
      <c r="A48" s="375" t="s">
        <v>124</v>
      </c>
      <c r="B48" s="387"/>
      <c r="C48" s="387"/>
      <c r="D48" s="387"/>
      <c r="E48" s="387"/>
      <c r="G48" s="322">
        <f>[3]Southwest!$FY$70+[3]Southwest!$FY$73</f>
        <v>71051</v>
      </c>
      <c r="H48" s="322">
        <f>'[3]Sun Country'!$FY$70+'[3]Sun Country'!$FY$73</f>
        <v>106145</v>
      </c>
      <c r="I48" s="387"/>
      <c r="J48" s="310">
        <f>SUM(B48:I48)</f>
        <v>177196</v>
      </c>
    </row>
    <row r="49" spans="1:10" x14ac:dyDescent="0.2">
      <c r="A49" s="389" t="s">
        <v>125</v>
      </c>
      <c r="B49" s="387"/>
      <c r="C49" s="387"/>
      <c r="D49" s="387"/>
      <c r="E49" s="387"/>
      <c r="G49" s="322">
        <f>[3]Southwest!$FY$71+[3]Southwest!$FY$74</f>
        <v>297</v>
      </c>
      <c r="H49" s="322">
        <f>'[3]Sun Country'!$FY$71+'[3]Sun Country'!$FY$74</f>
        <v>2274</v>
      </c>
      <c r="I49" s="387"/>
      <c r="J49" s="310">
        <f>SUM(B49:I49)</f>
        <v>2571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December 2018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workbookViewId="0">
      <selection activeCell="A2" sqref="A2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85"/>
    </row>
    <row r="2" spans="1:13" s="7" customFormat="1" ht="51.75" thickBot="1" x14ac:dyDescent="0.25">
      <c r="A2" s="378">
        <v>43435</v>
      </c>
      <c r="B2" s="434" t="s">
        <v>163</v>
      </c>
      <c r="C2" s="434" t="s">
        <v>166</v>
      </c>
      <c r="D2" s="434" t="s">
        <v>176</v>
      </c>
      <c r="E2" s="434" t="s">
        <v>175</v>
      </c>
      <c r="F2" s="434" t="s">
        <v>177</v>
      </c>
      <c r="G2" s="434" t="s">
        <v>228</v>
      </c>
      <c r="H2" s="434" t="s">
        <v>181</v>
      </c>
      <c r="I2" s="434" t="s">
        <v>198</v>
      </c>
      <c r="J2" s="434" t="s">
        <v>223</v>
      </c>
      <c r="K2" s="434" t="s">
        <v>180</v>
      </c>
      <c r="L2" s="19" t="s">
        <v>118</v>
      </c>
      <c r="M2" s="19" t="s">
        <v>21</v>
      </c>
    </row>
    <row r="3" spans="1:13" ht="15.75" thickTop="1" x14ac:dyDescent="0.25">
      <c r="A3" s="279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2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10"/>
    </row>
    <row r="5" spans="1:13" x14ac:dyDescent="0.2">
      <c r="A5" s="62" t="s">
        <v>30</v>
      </c>
      <c r="B5" s="131">
        <f>[3]Pinnacle!$FY$22+[3]Pinnacle!$FY$32</f>
        <v>78860</v>
      </c>
      <c r="C5" s="132">
        <f>[3]MESA_UA!$FY$22</f>
        <v>9797</v>
      </c>
      <c r="D5" s="130">
        <f>'[3]Sky West'!$FY$22+'[3]Sky West'!$FY$32</f>
        <v>169218</v>
      </c>
      <c r="E5" s="130">
        <f>'[3]Sky West_UA'!$FY$22</f>
        <v>5657</v>
      </c>
      <c r="F5" s="130">
        <f>'[3]Sky West_AS'!$FY$22</f>
        <v>1744</v>
      </c>
      <c r="G5" s="130">
        <f>'[3]Sky West_AA'!$FY$22</f>
        <v>1127</v>
      </c>
      <c r="H5" s="130">
        <f>[3]Republic!$FY$22</f>
        <v>10944</v>
      </c>
      <c r="I5" s="130">
        <f>[3]Republic_UA!$FY$22</f>
        <v>13011</v>
      </c>
      <c r="J5" s="130">
        <f>'[3]Sky Regional'!$FY$32</f>
        <v>4308</v>
      </c>
      <c r="K5" s="130">
        <f>'[3]American Eagle'!$FY$22</f>
        <v>329</v>
      </c>
      <c r="L5" s="130">
        <f>'Other Regional'!M5</f>
        <v>22295</v>
      </c>
      <c r="M5" s="110">
        <f>SUM(B5:L5)</f>
        <v>317290</v>
      </c>
    </row>
    <row r="6" spans="1:13" s="10" customFormat="1" x14ac:dyDescent="0.2">
      <c r="A6" s="62" t="s">
        <v>31</v>
      </c>
      <c r="B6" s="131">
        <f>[3]Pinnacle!$FY$23+[3]Pinnacle!$FY$33</f>
        <v>77646</v>
      </c>
      <c r="C6" s="132">
        <f>[3]MESA_UA!$FY$23</f>
        <v>10275</v>
      </c>
      <c r="D6" s="130">
        <f>'[3]Sky West'!$FY$23+'[3]Sky West'!$FY$33</f>
        <v>166757</v>
      </c>
      <c r="E6" s="130">
        <f>'[3]Sky West_UA'!$FY$23</f>
        <v>5937</v>
      </c>
      <c r="F6" s="130">
        <f>'[3]Sky West_AS'!$FY$23</f>
        <v>1475</v>
      </c>
      <c r="G6" s="130">
        <f>'[3]Sky West_AA'!$FY$23</f>
        <v>969</v>
      </c>
      <c r="H6" s="130">
        <f>[3]Republic!$FY$23</f>
        <v>10619</v>
      </c>
      <c r="I6" s="130">
        <f>[3]Republic_UA!$FY$23</f>
        <v>12884</v>
      </c>
      <c r="J6" s="130">
        <f>'[3]Sky Regional'!$FY$33</f>
        <v>4316</v>
      </c>
      <c r="K6" s="130">
        <f>'[3]American Eagle'!$FY$23</f>
        <v>302</v>
      </c>
      <c r="L6" s="130">
        <f>'Other Regional'!M6</f>
        <v>21772</v>
      </c>
      <c r="M6" s="115">
        <f>SUM(B6:L6)</f>
        <v>312952</v>
      </c>
    </row>
    <row r="7" spans="1:13" ht="15" thickBot="1" x14ac:dyDescent="0.25">
      <c r="A7" s="73" t="s">
        <v>7</v>
      </c>
      <c r="B7" s="133">
        <f>SUM(B5:B6)</f>
        <v>156506</v>
      </c>
      <c r="C7" s="133">
        <f t="shared" ref="C7:L7" si="0">SUM(C5:C6)</f>
        <v>20072</v>
      </c>
      <c r="D7" s="133">
        <f t="shared" si="0"/>
        <v>335975</v>
      </c>
      <c r="E7" s="133">
        <f t="shared" si="0"/>
        <v>11594</v>
      </c>
      <c r="F7" s="133">
        <f t="shared" ref="F7:G7" si="1">SUM(F5:F6)</f>
        <v>3219</v>
      </c>
      <c r="G7" s="133">
        <f t="shared" si="1"/>
        <v>2096</v>
      </c>
      <c r="H7" s="133">
        <f t="shared" si="0"/>
        <v>21563</v>
      </c>
      <c r="I7" s="133">
        <f t="shared" si="0"/>
        <v>25895</v>
      </c>
      <c r="J7" s="133">
        <f t="shared" si="0"/>
        <v>8624</v>
      </c>
      <c r="K7" s="133">
        <f t="shared" si="0"/>
        <v>631</v>
      </c>
      <c r="L7" s="133">
        <f t="shared" si="0"/>
        <v>44067</v>
      </c>
      <c r="M7" s="134">
        <f>SUM(B7:L7)</f>
        <v>630242</v>
      </c>
    </row>
    <row r="8" spans="1:13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2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10"/>
    </row>
    <row r="10" spans="1:13" x14ac:dyDescent="0.2">
      <c r="A10" s="62" t="s">
        <v>30</v>
      </c>
      <c r="B10" s="131">
        <f>[3]Pinnacle!$FY$27+[3]Pinnacle!$FY$37</f>
        <v>3394</v>
      </c>
      <c r="C10" s="132">
        <f>[3]MESA_UA!$FY$27</f>
        <v>326</v>
      </c>
      <c r="D10" s="130">
        <f>'[3]Sky West'!$FY$27+'[3]Sky West'!$FY$37</f>
        <v>6572</v>
      </c>
      <c r="E10" s="130">
        <f>'[3]Sky West_UA'!$FY$27</f>
        <v>236</v>
      </c>
      <c r="F10" s="130">
        <f>'[3]Sky West_AS'!$FY$27</f>
        <v>55</v>
      </c>
      <c r="G10" s="130">
        <f>'[3]Sky West_AA'!$FY$27</f>
        <v>76</v>
      </c>
      <c r="H10" s="130">
        <f>[3]Republic!$FY$27</f>
        <v>335</v>
      </c>
      <c r="I10" s="130">
        <f>[3]Republic_UA!$FY$27</f>
        <v>421</v>
      </c>
      <c r="J10" s="130">
        <f>'[3]Sky Regional'!$FY$37</f>
        <v>62</v>
      </c>
      <c r="K10" s="130">
        <f>'[3]American Eagle'!$FY$27</f>
        <v>62</v>
      </c>
      <c r="L10" s="130">
        <f>'Other Regional'!M10</f>
        <v>943</v>
      </c>
      <c r="M10" s="110">
        <f>SUM(B10:L10)</f>
        <v>12482</v>
      </c>
    </row>
    <row r="11" spans="1:13" x14ac:dyDescent="0.2">
      <c r="A11" s="62" t="s">
        <v>33</v>
      </c>
      <c r="B11" s="131">
        <f>[3]Pinnacle!$FY$28+[3]Pinnacle!$FY$38</f>
        <v>3096</v>
      </c>
      <c r="C11" s="132">
        <f>[3]MESA_UA!$FY$28</f>
        <v>306</v>
      </c>
      <c r="D11" s="130">
        <f>'[3]Sky West'!$FY$28+'[3]Sky West'!$FY$38</f>
        <v>6548</v>
      </c>
      <c r="E11" s="130">
        <f>'[3]Sky West_UA'!$FY$28</f>
        <v>220</v>
      </c>
      <c r="F11" s="130">
        <f>'[3]Sky West_AS'!$FY$28</f>
        <v>54</v>
      </c>
      <c r="G11" s="130">
        <f>'[3]Sky West_AA'!$FY$28</f>
        <v>72</v>
      </c>
      <c r="H11" s="130">
        <f>[3]Republic!$FY$28</f>
        <v>403</v>
      </c>
      <c r="I11" s="130">
        <f>[3]Republic_UA!$FY$28</f>
        <v>386</v>
      </c>
      <c r="J11" s="130">
        <f>'[3]Sky Regional'!$FY$38</f>
        <v>50</v>
      </c>
      <c r="K11" s="130">
        <f>'[3]American Eagle'!$FY$28</f>
        <v>40</v>
      </c>
      <c r="L11" s="130">
        <f>'Other Regional'!M11</f>
        <v>928</v>
      </c>
      <c r="M11" s="115">
        <f>SUM(B11:L11)</f>
        <v>12103</v>
      </c>
    </row>
    <row r="12" spans="1:13" ht="15" thickBot="1" x14ac:dyDescent="0.25">
      <c r="A12" s="74" t="s">
        <v>34</v>
      </c>
      <c r="B12" s="136">
        <f t="shared" ref="B12:L12" si="2">SUM(B10:B11)</f>
        <v>6490</v>
      </c>
      <c r="C12" s="136">
        <f t="shared" si="2"/>
        <v>632</v>
      </c>
      <c r="D12" s="136">
        <f t="shared" si="2"/>
        <v>13120</v>
      </c>
      <c r="E12" s="136">
        <f t="shared" si="2"/>
        <v>456</v>
      </c>
      <c r="F12" s="136">
        <f t="shared" ref="F12:G12" si="3">SUM(F10:F11)</f>
        <v>109</v>
      </c>
      <c r="G12" s="136">
        <f t="shared" si="3"/>
        <v>148</v>
      </c>
      <c r="H12" s="136">
        <f t="shared" si="2"/>
        <v>738</v>
      </c>
      <c r="I12" s="136">
        <f t="shared" si="2"/>
        <v>807</v>
      </c>
      <c r="J12" s="136">
        <f t="shared" si="2"/>
        <v>112</v>
      </c>
      <c r="K12" s="136">
        <f t="shared" si="2"/>
        <v>102</v>
      </c>
      <c r="L12" s="136">
        <f t="shared" si="2"/>
        <v>1871</v>
      </c>
      <c r="M12" s="137">
        <f>SUM(B12:L12)</f>
        <v>24585</v>
      </c>
    </row>
    <row r="13" spans="1:13" ht="13.5" thickBot="1" x14ac:dyDescent="0.25"/>
    <row r="14" spans="1:13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f t="shared" ref="M14" si="4">SUM(B14:L14)</f>
        <v>0</v>
      </c>
    </row>
    <row r="15" spans="1:13" x14ac:dyDescent="0.2">
      <c r="A15" s="62" t="s">
        <v>53</v>
      </c>
      <c r="B15" s="21">
        <f>[3]Pinnacle!$FY$4+[3]Pinnacle!$FY$15</f>
        <v>1330</v>
      </c>
      <c r="C15" s="108">
        <f>[3]MESA_UA!$FY$4</f>
        <v>160</v>
      </c>
      <c r="D15" s="106">
        <f>'[3]Sky West'!$FY$4+'[3]Sky West'!$FY$15</f>
        <v>3547</v>
      </c>
      <c r="E15" s="106">
        <f>'[3]Sky West_UA'!$FY$4</f>
        <v>91</v>
      </c>
      <c r="F15" s="106">
        <f>'[3]Sky West_AS'!$FY$4</f>
        <v>30</v>
      </c>
      <c r="G15" s="106">
        <f>'[3]Sky West_AA'!$FY$4</f>
        <v>19</v>
      </c>
      <c r="H15" s="109">
        <f>[3]Republic!$FY$4</f>
        <v>186</v>
      </c>
      <c r="I15" s="455">
        <f>[3]Republic_UA!$FY$4</f>
        <v>215</v>
      </c>
      <c r="J15" s="455">
        <f>'[3]Sky Regional'!$FY$15</f>
        <v>87</v>
      </c>
      <c r="K15" s="109">
        <f>'[3]American Eagle'!$FY$4</f>
        <v>7</v>
      </c>
      <c r="L15" s="107">
        <f>'Other Regional'!M15</f>
        <v>383</v>
      </c>
      <c r="M15" s="110">
        <f t="shared" ref="M15:M21" si="5">SUM(B15:L15)</f>
        <v>6055</v>
      </c>
    </row>
    <row r="16" spans="1:13" x14ac:dyDescent="0.2">
      <c r="A16" s="62" t="s">
        <v>54</v>
      </c>
      <c r="B16" s="14">
        <f>[3]Pinnacle!$FY$5+[3]Pinnacle!$FY$16</f>
        <v>1329</v>
      </c>
      <c r="C16" s="113">
        <f>[3]MESA_UA!$FY$5</f>
        <v>160</v>
      </c>
      <c r="D16" s="111">
        <f>'[3]Sky West'!$FY$5+'[3]Sky West'!$FY$16</f>
        <v>3545</v>
      </c>
      <c r="E16" s="111">
        <f>'[3]Sky West_UA'!$FY$5</f>
        <v>91</v>
      </c>
      <c r="F16" s="111">
        <f>'[3]Sky West_AS'!$FY$5</f>
        <v>30</v>
      </c>
      <c r="G16" s="111">
        <f>'[3]Sky West_AA'!$FY$5</f>
        <v>19</v>
      </c>
      <c r="H16" s="114">
        <f>[3]Republic!$FY$5</f>
        <v>189</v>
      </c>
      <c r="I16" s="297">
        <f>[3]Republic_UA!$FY$5</f>
        <v>215</v>
      </c>
      <c r="J16" s="297">
        <f>'[3]Sky Regional'!$FY$16</f>
        <v>87</v>
      </c>
      <c r="K16" s="114">
        <f>'[3]American Eagle'!$FY$5</f>
        <v>7</v>
      </c>
      <c r="L16" s="112">
        <f>'Other Regional'!M16</f>
        <v>382</v>
      </c>
      <c r="M16" s="115">
        <f t="shared" si="5"/>
        <v>6054</v>
      </c>
    </row>
    <row r="17" spans="1:13" x14ac:dyDescent="0.2">
      <c r="A17" s="71" t="s">
        <v>55</v>
      </c>
      <c r="B17" s="116">
        <f t="shared" ref="B17:K17" si="6">SUM(B15:B16)</f>
        <v>2659</v>
      </c>
      <c r="C17" s="116">
        <f t="shared" si="6"/>
        <v>320</v>
      </c>
      <c r="D17" s="116">
        <f t="shared" si="6"/>
        <v>7092</v>
      </c>
      <c r="E17" s="116">
        <f t="shared" si="6"/>
        <v>182</v>
      </c>
      <c r="F17" s="116">
        <f t="shared" ref="F17:G17" si="7">SUM(F15:F16)</f>
        <v>60</v>
      </c>
      <c r="G17" s="116">
        <f t="shared" si="7"/>
        <v>38</v>
      </c>
      <c r="H17" s="116">
        <f t="shared" si="6"/>
        <v>375</v>
      </c>
      <c r="I17" s="116">
        <f t="shared" ref="I17:J17" si="8">SUM(I15:I16)</f>
        <v>430</v>
      </c>
      <c r="J17" s="116">
        <f t="shared" si="8"/>
        <v>174</v>
      </c>
      <c r="K17" s="116">
        <f t="shared" si="6"/>
        <v>14</v>
      </c>
      <c r="L17" s="116">
        <f>SUM(L15:L16)</f>
        <v>765</v>
      </c>
      <c r="M17" s="117">
        <f t="shared" si="5"/>
        <v>12109</v>
      </c>
    </row>
    <row r="18" spans="1:13" x14ac:dyDescent="0.2">
      <c r="A18" s="62" t="s">
        <v>56</v>
      </c>
      <c r="B18" s="118">
        <f>[3]Pinnacle!$FY$8</f>
        <v>2</v>
      </c>
      <c r="C18" s="119">
        <f>[3]MESA_UA!$FY$8</f>
        <v>0</v>
      </c>
      <c r="D18" s="118">
        <f>'[3]Sky West'!$FY$8</f>
        <v>1</v>
      </c>
      <c r="E18" s="118">
        <f>'[3]Sky West_UA'!$FY$8</f>
        <v>0</v>
      </c>
      <c r="F18" s="118">
        <f>'[3]Sky West_AS'!$FY$8</f>
        <v>0</v>
      </c>
      <c r="G18" s="118">
        <f>'[3]Sky West_AA'!$FY$8</f>
        <v>0</v>
      </c>
      <c r="H18" s="118">
        <f>[3]Republic!$FY$8</f>
        <v>0</v>
      </c>
      <c r="I18" s="118">
        <f>[3]Republic_UA!$FY$8</f>
        <v>0</v>
      </c>
      <c r="J18" s="118">
        <f>'[3]Sky Regional'!$FY$8</f>
        <v>0</v>
      </c>
      <c r="K18" s="118">
        <f>'[3]American Eagle'!$FY$8</f>
        <v>0</v>
      </c>
      <c r="L18" s="118">
        <f>'Other Regional'!M18</f>
        <v>0</v>
      </c>
      <c r="M18" s="110">
        <f t="shared" si="5"/>
        <v>3</v>
      </c>
    </row>
    <row r="19" spans="1:13" x14ac:dyDescent="0.2">
      <c r="A19" s="62" t="s">
        <v>57</v>
      </c>
      <c r="B19" s="120">
        <f>[3]Pinnacle!$FY$9</f>
        <v>3</v>
      </c>
      <c r="C19" s="121">
        <f>[3]MESA_UA!$FY$9</f>
        <v>0</v>
      </c>
      <c r="D19" s="120">
        <f>'[3]Sky West'!$FY$9</f>
        <v>11</v>
      </c>
      <c r="E19" s="120">
        <f>'[3]Sky West_UA'!$FY$9</f>
        <v>0</v>
      </c>
      <c r="F19" s="120">
        <f>'[3]Sky West_AS'!$FY$9</f>
        <v>0</v>
      </c>
      <c r="G19" s="120">
        <f>'[3]Sky West_AA'!$FY$9</f>
        <v>0</v>
      </c>
      <c r="H19" s="120">
        <f>[3]Republic!$FY$9</f>
        <v>0</v>
      </c>
      <c r="I19" s="120">
        <f>[3]Republic_UA!$FY$9</f>
        <v>0</v>
      </c>
      <c r="J19" s="120">
        <f>'[3]Sky Regional'!$FY$9</f>
        <v>0</v>
      </c>
      <c r="K19" s="120">
        <f>'[3]American Eagle'!$FY$9</f>
        <v>0</v>
      </c>
      <c r="L19" s="120">
        <f>'Other Regional'!M19</f>
        <v>0</v>
      </c>
      <c r="M19" s="115">
        <f t="shared" si="5"/>
        <v>14</v>
      </c>
    </row>
    <row r="20" spans="1:13" x14ac:dyDescent="0.2">
      <c r="A20" s="71" t="s">
        <v>58</v>
      </c>
      <c r="B20" s="116">
        <f t="shared" ref="B20:L20" si="9">SUM(B18:B19)</f>
        <v>5</v>
      </c>
      <c r="C20" s="116">
        <f t="shared" si="9"/>
        <v>0</v>
      </c>
      <c r="D20" s="116">
        <f t="shared" si="9"/>
        <v>12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0</v>
      </c>
      <c r="M20" s="117">
        <f t="shared" si="5"/>
        <v>17</v>
      </c>
    </row>
    <row r="21" spans="1:13" ht="15.75" thickBot="1" x14ac:dyDescent="0.3">
      <c r="A21" s="72" t="s">
        <v>28</v>
      </c>
      <c r="B21" s="122">
        <f t="shared" ref="B21:K21" si="11">SUM(B20,B17)</f>
        <v>2664</v>
      </c>
      <c r="C21" s="122">
        <f t="shared" si="11"/>
        <v>320</v>
      </c>
      <c r="D21" s="122">
        <f t="shared" si="11"/>
        <v>7104</v>
      </c>
      <c r="E21" s="122">
        <f t="shared" si="11"/>
        <v>182</v>
      </c>
      <c r="F21" s="122">
        <f t="shared" ref="F21:G21" si="12">SUM(F20,F17)</f>
        <v>60</v>
      </c>
      <c r="G21" s="122">
        <f t="shared" si="12"/>
        <v>38</v>
      </c>
      <c r="H21" s="122">
        <f t="shared" si="11"/>
        <v>375</v>
      </c>
      <c r="I21" s="122">
        <f t="shared" si="11"/>
        <v>430</v>
      </c>
      <c r="J21" s="122">
        <f t="shared" si="11"/>
        <v>174</v>
      </c>
      <c r="K21" s="122">
        <f t="shared" si="11"/>
        <v>14</v>
      </c>
      <c r="L21" s="122">
        <f>SUM(L20,L17)</f>
        <v>765</v>
      </c>
      <c r="M21" s="123">
        <f t="shared" si="5"/>
        <v>12126</v>
      </c>
    </row>
    <row r="22" spans="1:13" ht="13.5" thickBot="1" x14ac:dyDescent="0.25"/>
    <row r="23" spans="1:13" ht="15.75" thickTop="1" x14ac:dyDescent="0.25">
      <c r="A23" s="65" t="s">
        <v>117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5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10"/>
    </row>
    <row r="25" spans="1:13" x14ac:dyDescent="0.2">
      <c r="A25" s="75" t="s">
        <v>37</v>
      </c>
      <c r="B25" s="130">
        <f>[3]Pinnacle!$FY$47</f>
        <v>0</v>
      </c>
      <c r="C25" s="132">
        <f>[3]MESA_UA!$FY$47</f>
        <v>0</v>
      </c>
      <c r="D25" s="130">
        <f>'[3]Sky West'!$FY$47</f>
        <v>0</v>
      </c>
      <c r="E25" s="130">
        <f>'[3]Sky West_UA'!$FY$47</f>
        <v>0</v>
      </c>
      <c r="F25" s="130">
        <f>'[3]Sky West_AS'!$FY$47</f>
        <v>0</v>
      </c>
      <c r="G25" s="130">
        <f>'[3]Sky West_AA'!$FY$47</f>
        <v>458</v>
      </c>
      <c r="H25" s="130">
        <f>[3]Republic!$FY$47</f>
        <v>0</v>
      </c>
      <c r="I25" s="130">
        <f>[3]Republic_UA!$FY$47</f>
        <v>0</v>
      </c>
      <c r="J25" s="130">
        <f>'[3]Sky Regional'!$FY$47</f>
        <v>0</v>
      </c>
      <c r="K25" s="130">
        <f>'[3]American Eagle'!$FY$47</f>
        <v>0</v>
      </c>
      <c r="L25" s="130">
        <f>'Other Regional'!M25</f>
        <v>2940</v>
      </c>
      <c r="M25" s="110">
        <f>SUM(B25:L25)</f>
        <v>3398</v>
      </c>
    </row>
    <row r="26" spans="1:13" x14ac:dyDescent="0.2">
      <c r="A26" s="75" t="s">
        <v>38</v>
      </c>
      <c r="B26" s="130">
        <f>[3]Pinnacle!$FY$48</f>
        <v>0</v>
      </c>
      <c r="C26" s="132">
        <f>[3]MESA_UA!$FY$48</f>
        <v>0</v>
      </c>
      <c r="D26" s="130">
        <f>'[3]Sky West'!$FY$48</f>
        <v>0</v>
      </c>
      <c r="E26" s="130">
        <f>'[3]Sky West_UA'!$FY$48</f>
        <v>0</v>
      </c>
      <c r="F26" s="130">
        <f>'[3]Sky West_AS'!$FY$48</f>
        <v>0</v>
      </c>
      <c r="G26" s="130">
        <f>'[3]Sky West_AA'!$FY$48</f>
        <v>0</v>
      </c>
      <c r="H26" s="130">
        <f>[3]Republic!$FY$48</f>
        <v>0</v>
      </c>
      <c r="I26" s="130">
        <f>[3]Republic_UA!$FY$48</f>
        <v>0</v>
      </c>
      <c r="J26" s="130">
        <f>'[3]Sky Regional'!$FY$48</f>
        <v>0</v>
      </c>
      <c r="K26" s="130">
        <f>'[3]American Eagle'!$FY$48</f>
        <v>0</v>
      </c>
      <c r="L26" s="130">
        <f>'Other Regional'!M26</f>
        <v>0</v>
      </c>
      <c r="M26" s="110">
        <f>SUM(B26:L26)</f>
        <v>0</v>
      </c>
    </row>
    <row r="27" spans="1:13" ht="15" thickBot="1" x14ac:dyDescent="0.25">
      <c r="A27" s="73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0</v>
      </c>
      <c r="G27" s="133">
        <f t="shared" si="14"/>
        <v>458</v>
      </c>
      <c r="H27" s="133">
        <f t="shared" si="13"/>
        <v>0</v>
      </c>
      <c r="I27" s="133">
        <f t="shared" si="13"/>
        <v>0</v>
      </c>
      <c r="J27" s="133">
        <f t="shared" si="13"/>
        <v>0</v>
      </c>
      <c r="K27" s="133">
        <f t="shared" si="13"/>
        <v>0</v>
      </c>
      <c r="L27" s="133">
        <f t="shared" si="13"/>
        <v>2940</v>
      </c>
      <c r="M27" s="134">
        <f>SUM(B27:L27)</f>
        <v>3398</v>
      </c>
    </row>
    <row r="28" spans="1:13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10"/>
    </row>
    <row r="29" spans="1:13" x14ac:dyDescent="0.2">
      <c r="A29" s="75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10"/>
    </row>
    <row r="30" spans="1:13" x14ac:dyDescent="0.2">
      <c r="A30" s="75" t="s">
        <v>59</v>
      </c>
      <c r="B30" s="130">
        <f>[3]Pinnacle!$FY$52</f>
        <v>0</v>
      </c>
      <c r="C30" s="132">
        <f>[3]MESA_UA!$FY$52</f>
        <v>0</v>
      </c>
      <c r="D30" s="130">
        <f>'[3]Sky West'!$FY$52</f>
        <v>0</v>
      </c>
      <c r="E30" s="130">
        <f>'[3]Sky West_UA'!$FY$52</f>
        <v>0</v>
      </c>
      <c r="F30" s="130">
        <f>'[3]Sky West_AS'!$FY$52</f>
        <v>10</v>
      </c>
      <c r="G30" s="130">
        <f>'[3]Sky West_AA'!$FY$52</f>
        <v>0</v>
      </c>
      <c r="H30" s="130">
        <f>[3]Republic!$FY$52</f>
        <v>0</v>
      </c>
      <c r="I30" s="130">
        <f>[3]Republic_UA!$FY$52</f>
        <v>0</v>
      </c>
      <c r="J30" s="130">
        <f>'[3]Sky Regional'!$FY$52</f>
        <v>507</v>
      </c>
      <c r="K30" s="130">
        <f>'[3]American Eagle'!$FY$52</f>
        <v>0</v>
      </c>
      <c r="L30" s="130">
        <f>'Other Regional'!M30</f>
        <v>0</v>
      </c>
      <c r="M30" s="110">
        <f t="shared" ref="M30:M37" si="15">SUM(B30:L30)</f>
        <v>517</v>
      </c>
    </row>
    <row r="31" spans="1:13" x14ac:dyDescent="0.2">
      <c r="A31" s="75" t="s">
        <v>60</v>
      </c>
      <c r="B31" s="130">
        <f>[3]Pinnacle!$FY$53</f>
        <v>0</v>
      </c>
      <c r="C31" s="132">
        <f>[3]MESA_UA!$FY$53</f>
        <v>0</v>
      </c>
      <c r="D31" s="130">
        <f>'[3]Sky West'!$FY$53</f>
        <v>0</v>
      </c>
      <c r="E31" s="130">
        <f>'[3]Sky West_UA'!$FY$53</f>
        <v>0</v>
      </c>
      <c r="F31" s="130">
        <f>'[3]Sky West_AS'!$FY$53</f>
        <v>634</v>
      </c>
      <c r="G31" s="130">
        <f>'[3]Sky West_AA'!$FY$53</f>
        <v>0</v>
      </c>
      <c r="H31" s="130">
        <f>[3]Republic!$FY$53</f>
        <v>0</v>
      </c>
      <c r="I31" s="130">
        <f>[3]Republic_UA!$FY$53</f>
        <v>0</v>
      </c>
      <c r="J31" s="130">
        <f>'[3]Sky Regional'!$FY$53</f>
        <v>0</v>
      </c>
      <c r="K31" s="130">
        <f>'[3]American Eagle'!$FY$53</f>
        <v>0</v>
      </c>
      <c r="L31" s="130">
        <f>'Other Regional'!M31</f>
        <v>4654</v>
      </c>
      <c r="M31" s="110">
        <f t="shared" si="15"/>
        <v>5288</v>
      </c>
    </row>
    <row r="32" spans="1:13" ht="15" thickBot="1" x14ac:dyDescent="0.25">
      <c r="A32" s="73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644</v>
      </c>
      <c r="G32" s="133">
        <f t="shared" si="17"/>
        <v>0</v>
      </c>
      <c r="H32" s="133">
        <f t="shared" si="16"/>
        <v>0</v>
      </c>
      <c r="I32" s="133">
        <f t="shared" si="16"/>
        <v>0</v>
      </c>
      <c r="J32" s="133">
        <f t="shared" si="16"/>
        <v>507</v>
      </c>
      <c r="K32" s="133">
        <f t="shared" si="16"/>
        <v>0</v>
      </c>
      <c r="L32" s="133">
        <f>SUM(L30:L31)</f>
        <v>4654</v>
      </c>
      <c r="M32" s="134">
        <f t="shared" si="15"/>
        <v>5805</v>
      </c>
    </row>
    <row r="33" spans="1:13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10">
        <f t="shared" si="15"/>
        <v>0</v>
      </c>
    </row>
    <row r="34" spans="1:13" ht="13.5" hidden="1" thickTop="1" x14ac:dyDescent="0.2">
      <c r="A34" s="75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10">
        <f t="shared" si="15"/>
        <v>0</v>
      </c>
    </row>
    <row r="35" spans="1:13" ht="13.5" hidden="1" thickTop="1" x14ac:dyDescent="0.2">
      <c r="A35" s="75" t="s">
        <v>37</v>
      </c>
      <c r="B35" s="130">
        <f>[3]Pinnacle!$FY$57</f>
        <v>0</v>
      </c>
      <c r="C35" s="132">
        <f>[3]MESA_UA!$FY$57</f>
        <v>0</v>
      </c>
      <c r="D35" s="130">
        <f>'[3]Sky West'!$FY$57</f>
        <v>0</v>
      </c>
      <c r="E35" s="130">
        <f>'[3]Sky West_UA'!$FY$57</f>
        <v>0</v>
      </c>
      <c r="F35" s="130">
        <f>'[3]Sky West_AS'!$FY$57</f>
        <v>0</v>
      </c>
      <c r="G35" s="130">
        <f>'[3]Sky West_AA'!$FY$57</f>
        <v>0</v>
      </c>
      <c r="H35" s="130">
        <f>[3]Republic!$FY$57</f>
        <v>0</v>
      </c>
      <c r="I35" s="130">
        <f>[3]Republic!$FY$57</f>
        <v>0</v>
      </c>
      <c r="J35" s="130">
        <f>[3]Republic!$FY$57</f>
        <v>0</v>
      </c>
      <c r="K35" s="130">
        <f>'[3]American Eagle'!$FY$57</f>
        <v>0</v>
      </c>
      <c r="L35" s="130">
        <f>'Other Regional'!M35</f>
        <v>0</v>
      </c>
      <c r="M35" s="110">
        <f t="shared" si="15"/>
        <v>0</v>
      </c>
    </row>
    <row r="36" spans="1:13" ht="13.5" hidden="1" thickTop="1" x14ac:dyDescent="0.2">
      <c r="A36" s="75" t="s">
        <v>38</v>
      </c>
      <c r="B36" s="130">
        <f>[3]Pinnacle!$FY$58</f>
        <v>0</v>
      </c>
      <c r="C36" s="132">
        <f>[3]MESA_UA!$FY$58</f>
        <v>0</v>
      </c>
      <c r="D36" s="130">
        <f>'[3]Sky West'!$FY$58</f>
        <v>0</v>
      </c>
      <c r="E36" s="130">
        <f>'[3]Sky West_UA'!$FY$58</f>
        <v>0</v>
      </c>
      <c r="F36" s="130">
        <f>'[3]Sky West_AS'!$FY$58</f>
        <v>0</v>
      </c>
      <c r="G36" s="130">
        <f>'[3]Sky West_AA'!$FY$58</f>
        <v>0</v>
      </c>
      <c r="H36" s="130">
        <f>[3]Republic!$FY$58</f>
        <v>0</v>
      </c>
      <c r="I36" s="130">
        <f>[3]Republic!$FY$58</f>
        <v>0</v>
      </c>
      <c r="J36" s="130">
        <f>[3]Republic!$FY$58</f>
        <v>0</v>
      </c>
      <c r="K36" s="130">
        <f>'[3]American Eagle'!$FY$58</f>
        <v>0</v>
      </c>
      <c r="L36" s="130">
        <f>'Other Regional'!M36</f>
        <v>0</v>
      </c>
      <c r="M36" s="110">
        <f t="shared" si="15"/>
        <v>0</v>
      </c>
    </row>
    <row r="37" spans="1:13" ht="13.5" hidden="1" thickTop="1" x14ac:dyDescent="0.2">
      <c r="A37" s="76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10"/>
    </row>
    <row r="39" spans="1:13" x14ac:dyDescent="0.2">
      <c r="A39" s="75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10"/>
    </row>
    <row r="40" spans="1:13" x14ac:dyDescent="0.2">
      <c r="A40" s="75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10</v>
      </c>
      <c r="G40" s="130">
        <f t="shared" ref="G40" si="22">SUM(G35,G30,G25)</f>
        <v>458</v>
      </c>
      <c r="H40" s="130">
        <f t="shared" si="20"/>
        <v>0</v>
      </c>
      <c r="I40" s="130">
        <f t="shared" si="20"/>
        <v>0</v>
      </c>
      <c r="J40" s="130">
        <f t="shared" si="20"/>
        <v>507</v>
      </c>
      <c r="K40" s="130">
        <f>SUM(K35,K30,K25)</f>
        <v>0</v>
      </c>
      <c r="L40" s="130">
        <f>L35+L30+L25</f>
        <v>2940</v>
      </c>
      <c r="M40" s="110">
        <f>SUM(B40:L40)</f>
        <v>3915</v>
      </c>
    </row>
    <row r="41" spans="1:13" x14ac:dyDescent="0.2">
      <c r="A41" s="75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634</v>
      </c>
      <c r="G41" s="130">
        <f t="shared" ref="G41" si="23">SUM(G36,G31,G26)</f>
        <v>0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4654</v>
      </c>
      <c r="M41" s="110">
        <f>SUM(B41:L41)</f>
        <v>5288</v>
      </c>
    </row>
    <row r="42" spans="1:13" ht="15" thickBot="1" x14ac:dyDescent="0.25">
      <c r="A42" s="74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644</v>
      </c>
      <c r="G42" s="136">
        <f t="shared" ref="G42" si="24">SUM(G37,G32,G27)</f>
        <v>458</v>
      </c>
      <c r="H42" s="136">
        <f t="shared" si="20"/>
        <v>0</v>
      </c>
      <c r="I42" s="136">
        <f t="shared" si="20"/>
        <v>0</v>
      </c>
      <c r="J42" s="136">
        <f t="shared" si="20"/>
        <v>507</v>
      </c>
      <c r="K42" s="136">
        <f>SUM(K37,K32,K27)</f>
        <v>0</v>
      </c>
      <c r="L42" s="136">
        <f>SUM(L37,L32,L27)</f>
        <v>7594</v>
      </c>
      <c r="M42" s="137">
        <f>SUM(B42:L42)</f>
        <v>9203</v>
      </c>
    </row>
    <row r="44" spans="1:13" x14ac:dyDescent="0.2">
      <c r="A44" s="375" t="s">
        <v>124</v>
      </c>
      <c r="B44" s="321">
        <f>[3]Pinnacle!$FY$70+[3]Pinnacle!$FY$73</f>
        <v>32689</v>
      </c>
      <c r="D44" s="322">
        <f>'[3]Sky West'!$FY$70+'[3]Sky West'!$FY$73</f>
        <v>52195</v>
      </c>
      <c r="E44" s="5"/>
      <c r="F44" s="5"/>
      <c r="G44" s="5"/>
      <c r="L44" s="322">
        <f>+'Other Regional'!M46</f>
        <v>9947</v>
      </c>
      <c r="M44" s="310">
        <f>SUM(B44:L44)</f>
        <v>94831</v>
      </c>
    </row>
    <row r="45" spans="1:13" x14ac:dyDescent="0.2">
      <c r="A45" s="389" t="s">
        <v>125</v>
      </c>
      <c r="B45" s="321">
        <f>[3]Pinnacle!$FY$71+[3]Pinnacle!$FY$74</f>
        <v>44957</v>
      </c>
      <c r="D45" s="322">
        <f>'[3]Sky West'!$FY$71+'[3]Sky West'!$FY$74</f>
        <v>114562</v>
      </c>
      <c r="E45" s="5"/>
      <c r="F45" s="5"/>
      <c r="G45" s="5"/>
      <c r="L45" s="322">
        <f>+'Other Regional'!M47</f>
        <v>8812</v>
      </c>
      <c r="M45" s="310">
        <f>SUM(B45:L45)</f>
        <v>168331</v>
      </c>
    </row>
    <row r="46" spans="1:13" x14ac:dyDescent="0.2">
      <c r="A46" s="312" t="s">
        <v>126</v>
      </c>
      <c r="B46" s="313">
        <f>SUM(B44:B45)</f>
        <v>77646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December 2018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7"/>
  <sheetViews>
    <sheetView zoomScaleNormal="100" zoomScaleSheetLayoutView="100" workbookViewId="0">
      <selection activeCell="A2" sqref="A2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10.42578125" customWidth="1"/>
    <col min="7" max="7" width="9.7109375" customWidth="1"/>
    <col min="8" max="8" width="10.140625" customWidth="1"/>
    <col min="9" max="9" width="9.5703125" customWidth="1"/>
    <col min="10" max="10" width="9.28515625" bestFit="1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36" customHeight="1" x14ac:dyDescent="0.2">
      <c r="A1" s="385"/>
    </row>
    <row r="2" spans="1:13" s="7" customFormat="1" ht="55.5" customHeight="1" thickBot="1" x14ac:dyDescent="0.25">
      <c r="A2" s="378">
        <v>43435</v>
      </c>
      <c r="B2" s="434" t="s">
        <v>179</v>
      </c>
      <c r="C2" s="434" t="s">
        <v>178</v>
      </c>
      <c r="D2" s="434" t="s">
        <v>227</v>
      </c>
      <c r="E2" s="434" t="s">
        <v>199</v>
      </c>
      <c r="F2" s="434" t="s">
        <v>170</v>
      </c>
      <c r="G2" s="434" t="s">
        <v>184</v>
      </c>
      <c r="H2" s="434" t="s">
        <v>183</v>
      </c>
      <c r="I2" s="434" t="s">
        <v>165</v>
      </c>
      <c r="J2" s="434" t="s">
        <v>169</v>
      </c>
      <c r="K2" s="434" t="s">
        <v>185</v>
      </c>
      <c r="L2" s="434" t="s">
        <v>182</v>
      </c>
      <c r="M2" s="291" t="s">
        <v>21</v>
      </c>
    </row>
    <row r="3" spans="1:13" ht="15.75" thickTop="1" x14ac:dyDescent="0.25">
      <c r="A3" s="279" t="s">
        <v>3</v>
      </c>
      <c r="B3" s="401"/>
      <c r="C3" s="401"/>
      <c r="D3" s="401"/>
      <c r="E3" s="401"/>
      <c r="F3" s="401"/>
      <c r="G3" s="402"/>
      <c r="H3" s="402"/>
      <c r="I3" s="402"/>
      <c r="J3" s="402"/>
      <c r="K3" s="402"/>
      <c r="L3" s="401"/>
      <c r="M3" s="127"/>
    </row>
    <row r="4" spans="1:13" x14ac:dyDescent="0.2">
      <c r="A4" s="62" t="s">
        <v>29</v>
      </c>
      <c r="B4" s="128"/>
      <c r="C4" s="128"/>
      <c r="D4" s="128"/>
      <c r="E4" s="129"/>
      <c r="F4" s="130"/>
      <c r="G4" s="131"/>
      <c r="H4" s="131"/>
      <c r="I4" s="131"/>
      <c r="J4" s="131"/>
      <c r="K4" s="132"/>
      <c r="L4" s="130"/>
      <c r="M4" s="110"/>
    </row>
    <row r="5" spans="1:13" x14ac:dyDescent="0.2">
      <c r="A5" s="62" t="s">
        <v>30</v>
      </c>
      <c r="B5" s="131">
        <f>'[3]Shuttle America'!$FY$22</f>
        <v>0</v>
      </c>
      <c r="C5" s="131">
        <f>'[3]Shuttle America_Delta'!$FY$22</f>
        <v>2879</v>
      </c>
      <c r="D5" s="456">
        <f>[3]Horizon_AS!$FY$22</f>
        <v>2050</v>
      </c>
      <c r="E5" s="456">
        <f>[3]PSA!$FY$22</f>
        <v>0</v>
      </c>
      <c r="F5" s="21">
        <f>[3]Compass!$FY$22+[3]Compass!$FY$32</f>
        <v>0</v>
      </c>
      <c r="G5" s="131">
        <f>'[3]Atlantic Southeast'!$FY$22+'[3]Atlantic Southeast'!$FY$32</f>
        <v>0</v>
      </c>
      <c r="H5" s="131">
        <f>'[3]Continental Express'!$FY$22</f>
        <v>0</v>
      </c>
      <c r="I5" s="130">
        <f>'[3]Go Jet_UA'!$FY$22</f>
        <v>891</v>
      </c>
      <c r="J5" s="21">
        <f>'[3]Go Jet'!$FY$22+'[3]Go Jet'!$FY$32</f>
        <v>16475</v>
      </c>
      <c r="K5" s="132">
        <f>'[3]Air Wisconsin'!$FY$22</f>
        <v>0</v>
      </c>
      <c r="L5" s="130">
        <f>[3]MESA!$FY$22</f>
        <v>0</v>
      </c>
      <c r="M5" s="110">
        <f>SUM(B5:L5)</f>
        <v>22295</v>
      </c>
    </row>
    <row r="6" spans="1:13" s="10" customFormat="1" x14ac:dyDescent="0.2">
      <c r="A6" s="62" t="s">
        <v>31</v>
      </c>
      <c r="B6" s="131">
        <f>'[3]Shuttle America'!$FY$23</f>
        <v>0</v>
      </c>
      <c r="C6" s="131">
        <f>'[3]Shuttle America_Delta'!$FY$23</f>
        <v>2814</v>
      </c>
      <c r="D6" s="456">
        <f>[3]Horizon_AS!$FY$23</f>
        <v>2144</v>
      </c>
      <c r="E6" s="456">
        <f>[3]PSA!$FY$23</f>
        <v>0</v>
      </c>
      <c r="F6" s="14">
        <f>[3]Compass!$FY$23+[3]Compass!$FY$33</f>
        <v>0</v>
      </c>
      <c r="G6" s="131">
        <f>'[3]Atlantic Southeast'!$FY$23+'[3]Atlantic Southeast'!$FY$33</f>
        <v>0</v>
      </c>
      <c r="H6" s="131">
        <f>'[3]Continental Express'!$FY$23</f>
        <v>0</v>
      </c>
      <c r="I6" s="130">
        <f>'[3]Go Jet_UA'!$FY$23</f>
        <v>869</v>
      </c>
      <c r="J6" s="14">
        <f>'[3]Go Jet'!$FY$23+'[3]Go Jet'!$FY$33</f>
        <v>15945</v>
      </c>
      <c r="K6" s="132">
        <f>'[3]Air Wisconsin'!$FY$23</f>
        <v>0</v>
      </c>
      <c r="L6" s="130">
        <f>[3]MESA!$FY$23</f>
        <v>0</v>
      </c>
      <c r="M6" s="115">
        <f>SUM(B6:L6)</f>
        <v>21772</v>
      </c>
    </row>
    <row r="7" spans="1:13" ht="15" thickBot="1" x14ac:dyDescent="0.25">
      <c r="A7" s="73" t="s">
        <v>7</v>
      </c>
      <c r="B7" s="133">
        <f t="shared" ref="B7:L7" si="0">SUM(B5:B6)</f>
        <v>0</v>
      </c>
      <c r="C7" s="133">
        <f t="shared" si="0"/>
        <v>5693</v>
      </c>
      <c r="D7" s="133">
        <f t="shared" ref="D7" si="1">SUM(D5:D6)</f>
        <v>4194</v>
      </c>
      <c r="E7" s="133">
        <f t="shared" si="0"/>
        <v>0</v>
      </c>
      <c r="F7" s="133">
        <f>SUM(F5:F6)</f>
        <v>0</v>
      </c>
      <c r="G7" s="133">
        <f t="shared" si="0"/>
        <v>0</v>
      </c>
      <c r="H7" s="133">
        <f t="shared" si="0"/>
        <v>0</v>
      </c>
      <c r="I7" s="133">
        <f t="shared" si="0"/>
        <v>1760</v>
      </c>
      <c r="J7" s="133">
        <f>SUM(J5:J6)</f>
        <v>32420</v>
      </c>
      <c r="K7" s="133">
        <f t="shared" si="0"/>
        <v>0</v>
      </c>
      <c r="L7" s="133">
        <f t="shared" si="0"/>
        <v>0</v>
      </c>
      <c r="M7" s="134">
        <f>SUM(B7:L7)</f>
        <v>44067</v>
      </c>
    </row>
    <row r="8" spans="1:13" ht="13.5" thickTop="1" x14ac:dyDescent="0.2">
      <c r="A8" s="62"/>
      <c r="B8" s="131"/>
      <c r="C8" s="131"/>
      <c r="D8" s="456"/>
      <c r="E8" s="456"/>
      <c r="F8" s="340"/>
      <c r="G8" s="131"/>
      <c r="H8" s="131"/>
      <c r="I8" s="130"/>
      <c r="J8" s="340"/>
      <c r="K8" s="132"/>
      <c r="L8" s="130"/>
      <c r="M8" s="135"/>
    </row>
    <row r="9" spans="1:13" s="10" customFormat="1" x14ac:dyDescent="0.2">
      <c r="A9" s="62" t="s">
        <v>32</v>
      </c>
      <c r="B9" s="131"/>
      <c r="C9" s="131"/>
      <c r="D9" s="456"/>
      <c r="E9" s="456"/>
      <c r="F9" s="21"/>
      <c r="G9" s="131"/>
      <c r="H9" s="131"/>
      <c r="I9" s="130"/>
      <c r="J9" s="21"/>
      <c r="K9" s="132"/>
      <c r="L9" s="130"/>
      <c r="M9" s="110"/>
    </row>
    <row r="10" spans="1:13" x14ac:dyDescent="0.2">
      <c r="A10" s="62" t="s">
        <v>30</v>
      </c>
      <c r="B10" s="131">
        <f>'[3]Shuttle America'!$FY$27</f>
        <v>0</v>
      </c>
      <c r="C10" s="131">
        <f>'[3]Shuttle America_Delta'!$FY$27</f>
        <v>136</v>
      </c>
      <c r="D10" s="456">
        <f>[3]Horizon_AS!$FY$27</f>
        <v>80</v>
      </c>
      <c r="E10" s="456">
        <f>[3]PSA!$FY$27</f>
        <v>0</v>
      </c>
      <c r="F10" s="21">
        <f>[3]Compass!$FY$27+[3]Compass!$FY$37</f>
        <v>0</v>
      </c>
      <c r="G10" s="21">
        <f>'[3]Atlantic Southeast'!$FY$27+'[3]Atlantic Southeast'!$FY$37</f>
        <v>0</v>
      </c>
      <c r="H10" s="131">
        <f>'[3]Continental Express'!$FY$27</f>
        <v>0</v>
      </c>
      <c r="I10" s="130">
        <f>'[3]Go Jet_UA'!$FY$27</f>
        <v>44</v>
      </c>
      <c r="J10" s="21">
        <f>'[3]Go Jet'!$FY$27+'[3]Go Jet'!$FY$37</f>
        <v>683</v>
      </c>
      <c r="K10" s="132">
        <f>'[3]Air Wisconsin'!$FY$27</f>
        <v>0</v>
      </c>
      <c r="L10" s="130">
        <f>[3]MESA!$FY$27</f>
        <v>0</v>
      </c>
      <c r="M10" s="110">
        <f>SUM(B10:L10)</f>
        <v>943</v>
      </c>
    </row>
    <row r="11" spans="1:13" x14ac:dyDescent="0.2">
      <c r="A11" s="62" t="s">
        <v>33</v>
      </c>
      <c r="B11" s="131">
        <f>'[3]Shuttle America'!$FY$28</f>
        <v>0</v>
      </c>
      <c r="C11" s="131">
        <f>'[3]Shuttle America_Delta'!$FY$28</f>
        <v>152</v>
      </c>
      <c r="D11" s="456">
        <f>[3]Horizon_AS!$FY$28</f>
        <v>72</v>
      </c>
      <c r="E11" s="456">
        <f>[3]PSA!$FY$28</f>
        <v>0</v>
      </c>
      <c r="F11" s="14">
        <f>[3]Compass!$FY$28+[3]Compass!$FY$38</f>
        <v>0</v>
      </c>
      <c r="G11" s="14">
        <f>'[3]Atlantic Southeast'!$FY$28+'[3]Atlantic Southeast'!$FY$38</f>
        <v>0</v>
      </c>
      <c r="H11" s="131">
        <f>'[3]Continental Express'!$FY$28</f>
        <v>0</v>
      </c>
      <c r="I11" s="130">
        <f>'[3]Go Jet_UA'!$FY$28</f>
        <v>49</v>
      </c>
      <c r="J11" s="14">
        <f>'[3]Go Jet'!$FY$28+'[3]Go Jet'!$FY$38</f>
        <v>655</v>
      </c>
      <c r="K11" s="132">
        <f>'[3]Air Wisconsin'!$FY$28</f>
        <v>0</v>
      </c>
      <c r="L11" s="130">
        <f>[3]MESA!$FY$28</f>
        <v>0</v>
      </c>
      <c r="M11" s="115">
        <f>SUM(B11:L11)</f>
        <v>928</v>
      </c>
    </row>
    <row r="12" spans="1:13" ht="15" thickBot="1" x14ac:dyDescent="0.25">
      <c r="A12" s="74" t="s">
        <v>34</v>
      </c>
      <c r="B12" s="136">
        <f>SUM(B10:B11)</f>
        <v>0</v>
      </c>
      <c r="C12" s="136">
        <f>SUM(C10:C11)</f>
        <v>288</v>
      </c>
      <c r="D12" s="136">
        <f t="shared" ref="D12:E12" si="2">SUM(D10:D11)</f>
        <v>152</v>
      </c>
      <c r="E12" s="136">
        <f t="shared" si="2"/>
        <v>0</v>
      </c>
      <c r="F12" s="136">
        <f t="shared" ref="F12:L12" si="3">SUM(F10:F11)</f>
        <v>0</v>
      </c>
      <c r="G12" s="136">
        <f t="shared" si="3"/>
        <v>0</v>
      </c>
      <c r="H12" s="136">
        <f t="shared" si="3"/>
        <v>0</v>
      </c>
      <c r="I12" s="136">
        <f t="shared" si="3"/>
        <v>93</v>
      </c>
      <c r="J12" s="136">
        <f t="shared" ref="J12" si="4">SUM(J10:J11)</f>
        <v>1338</v>
      </c>
      <c r="K12" s="136">
        <f t="shared" si="3"/>
        <v>0</v>
      </c>
      <c r="L12" s="136">
        <f t="shared" si="3"/>
        <v>0</v>
      </c>
      <c r="M12" s="137">
        <f>SUM(B12:L12)</f>
        <v>1871</v>
      </c>
    </row>
    <row r="13" spans="1:13" ht="6" customHeight="1" thickBot="1" x14ac:dyDescent="0.25"/>
    <row r="14" spans="1:13" ht="15.75" thickTop="1" x14ac:dyDescent="0.25">
      <c r="A14" s="61" t="s">
        <v>9</v>
      </c>
      <c r="B14" s="103"/>
      <c r="C14" s="103"/>
      <c r="D14" s="103"/>
      <c r="E14" s="103"/>
      <c r="F14" s="103"/>
      <c r="G14" s="104"/>
      <c r="H14" s="104"/>
      <c r="I14" s="103"/>
      <c r="J14" s="103"/>
      <c r="K14" s="104"/>
      <c r="L14" s="103"/>
      <c r="M14" s="105"/>
    </row>
    <row r="15" spans="1:13" x14ac:dyDescent="0.2">
      <c r="A15" s="62" t="s">
        <v>53</v>
      </c>
      <c r="B15" s="106">
        <f>'[3]Shuttle America'!$FY$4</f>
        <v>0</v>
      </c>
      <c r="C15" s="106">
        <f>'[3]Shuttle America_Delta'!$FY$4</f>
        <v>46</v>
      </c>
      <c r="D15" s="457">
        <f>[3]Horizon_AS!$FY$4</f>
        <v>31</v>
      </c>
      <c r="E15" s="457">
        <f>[3]PSA!$FY$4</f>
        <v>0</v>
      </c>
      <c r="F15" s="21">
        <f>[3]Compass!$FY$4+[3]Compass!$FY$15</f>
        <v>0</v>
      </c>
      <c r="G15" s="107">
        <f>'[3]Atlantic Southeast'!$FY$4+'[3]Atlantic Southeast'!$FY$15</f>
        <v>0</v>
      </c>
      <c r="H15" s="107">
        <f>'[3]Continental Express'!$FY$4</f>
        <v>0</v>
      </c>
      <c r="I15" s="106">
        <f>'[3]Go Jet_UA'!$FY$4</f>
        <v>14</v>
      </c>
      <c r="J15" s="21">
        <f>'[3]Go Jet'!$FY$4+'[3]Go Jet'!$FY$15</f>
        <v>292</v>
      </c>
      <c r="K15" s="108">
        <f>'[3]Air Wisconsin'!$FY$4</f>
        <v>0</v>
      </c>
      <c r="L15" s="106">
        <f>[3]MESA!$FY$4</f>
        <v>0</v>
      </c>
      <c r="M15" s="110">
        <f t="shared" ref="M15:M21" si="5">SUM(B15:L15)</f>
        <v>383</v>
      </c>
    </row>
    <row r="16" spans="1:13" x14ac:dyDescent="0.2">
      <c r="A16" s="62" t="s">
        <v>54</v>
      </c>
      <c r="B16" s="111">
        <f>'[3]Shuttle America'!$FY$5</f>
        <v>0</v>
      </c>
      <c r="C16" s="111">
        <f>'[3]Shuttle America_Delta'!$FY$5</f>
        <v>46</v>
      </c>
      <c r="D16" s="458">
        <f>[3]Horizon_AS!$FY$5</f>
        <v>31</v>
      </c>
      <c r="E16" s="458">
        <f>[3]PSA!$FY$5</f>
        <v>0</v>
      </c>
      <c r="F16" s="14">
        <f>[3]Compass!$FY$5+[3]Compass!$FY$16</f>
        <v>0</v>
      </c>
      <c r="G16" s="112">
        <f>'[3]Atlantic Southeast'!$FY$5+'[3]Atlantic Southeast'!$FY$16</f>
        <v>0</v>
      </c>
      <c r="H16" s="112">
        <f>'[3]Continental Express'!$FY$5</f>
        <v>0</v>
      </c>
      <c r="I16" s="111">
        <f>'[3]Go Jet_UA'!$FY$5</f>
        <v>14</v>
      </c>
      <c r="J16" s="14">
        <f>'[3]Go Jet'!$FY$5+'[3]Go Jet'!$FY$16</f>
        <v>291</v>
      </c>
      <c r="K16" s="113">
        <f>'[3]Air Wisconsin'!$FY$5</f>
        <v>0</v>
      </c>
      <c r="L16" s="111">
        <f>[3]MESA!$FY$5</f>
        <v>0</v>
      </c>
      <c r="M16" s="115">
        <f t="shared" si="5"/>
        <v>382</v>
      </c>
    </row>
    <row r="17" spans="1:13" x14ac:dyDescent="0.2">
      <c r="A17" s="71" t="s">
        <v>55</v>
      </c>
      <c r="B17" s="116">
        <f>SUM(B15:B16)</f>
        <v>0</v>
      </c>
      <c r="C17" s="116">
        <f>SUM(C15:C16)</f>
        <v>92</v>
      </c>
      <c r="D17" s="116">
        <f t="shared" ref="D17:E17" si="6">SUM(D15:D16)</f>
        <v>62</v>
      </c>
      <c r="E17" s="116">
        <f t="shared" si="6"/>
        <v>0</v>
      </c>
      <c r="F17" s="286">
        <f>SUM(F15:F16)</f>
        <v>0</v>
      </c>
      <c r="G17" s="116">
        <f t="shared" ref="G17:L17" si="7">SUM(G15:G16)</f>
        <v>0</v>
      </c>
      <c r="H17" s="116">
        <f t="shared" si="7"/>
        <v>0</v>
      </c>
      <c r="I17" s="116">
        <f t="shared" si="7"/>
        <v>28</v>
      </c>
      <c r="J17" s="286">
        <f>SUM(J15:J16)</f>
        <v>583</v>
      </c>
      <c r="K17" s="116">
        <f t="shared" si="7"/>
        <v>0</v>
      </c>
      <c r="L17" s="116">
        <f t="shared" si="7"/>
        <v>0</v>
      </c>
      <c r="M17" s="117">
        <f t="shared" si="5"/>
        <v>765</v>
      </c>
    </row>
    <row r="18" spans="1:13" x14ac:dyDescent="0.2">
      <c r="A18" s="62" t="s">
        <v>56</v>
      </c>
      <c r="B18" s="118">
        <f>'[3]Shuttle America'!$FY$8</f>
        <v>0</v>
      </c>
      <c r="C18" s="118">
        <f>'[3]Shuttle America_Delta'!$FY$8</f>
        <v>0</v>
      </c>
      <c r="D18" s="118">
        <f>[3]Horizon_AS!$FY$8</f>
        <v>0</v>
      </c>
      <c r="E18" s="118">
        <f>[3]PSA!$FY$8</f>
        <v>0</v>
      </c>
      <c r="F18" s="21">
        <f>[3]Compass!$FY$8</f>
        <v>0</v>
      </c>
      <c r="G18" s="109">
        <f>'[3]Atlantic Southeast'!$FY$8</f>
        <v>0</v>
      </c>
      <c r="H18" s="109">
        <f>'[3]Continental Express'!$FY$8</f>
        <v>0</v>
      </c>
      <c r="I18" s="118">
        <f>'[3]Go Jet_UA'!$FY$8</f>
        <v>0</v>
      </c>
      <c r="J18" s="21">
        <f>'[3]Go Jet'!$FY$8</f>
        <v>0</v>
      </c>
      <c r="K18" s="119">
        <f>'[3]Air Wisconsin'!$FY$8</f>
        <v>0</v>
      </c>
      <c r="L18" s="118">
        <f>[3]MESA!$FY$8</f>
        <v>0</v>
      </c>
      <c r="M18" s="110">
        <f t="shared" si="5"/>
        <v>0</v>
      </c>
    </row>
    <row r="19" spans="1:13" x14ac:dyDescent="0.2">
      <c r="A19" s="62" t="s">
        <v>57</v>
      </c>
      <c r="B19" s="120">
        <f>'[3]Shuttle America'!$FY$9</f>
        <v>0</v>
      </c>
      <c r="C19" s="120">
        <f>'[3]Shuttle America_Delta'!$FY$9</f>
        <v>0</v>
      </c>
      <c r="D19" s="120">
        <f>[3]Horizon_AS!$FY$9</f>
        <v>0</v>
      </c>
      <c r="E19" s="120">
        <f>[3]PSA!$FY$9</f>
        <v>0</v>
      </c>
      <c r="F19" s="14">
        <f>[3]Compass!$FY$9</f>
        <v>0</v>
      </c>
      <c r="G19" s="114">
        <f>'[3]Atlantic Southeast'!$FY$9</f>
        <v>0</v>
      </c>
      <c r="H19" s="114">
        <f>'[3]Continental Express'!$FY$9</f>
        <v>0</v>
      </c>
      <c r="I19" s="120">
        <f>'[3]Go Jet_UA'!$FY$9</f>
        <v>0</v>
      </c>
      <c r="J19" s="14">
        <f>'[3]Go Jet'!$FY$9</f>
        <v>0</v>
      </c>
      <c r="K19" s="121">
        <f>'[3]Air Wisconsin'!$FY$9</f>
        <v>0</v>
      </c>
      <c r="L19" s="120">
        <f>[3]MESA!$FY$9</f>
        <v>0</v>
      </c>
      <c r="M19" s="115">
        <f t="shared" si="5"/>
        <v>0</v>
      </c>
    </row>
    <row r="20" spans="1:13" x14ac:dyDescent="0.2">
      <c r="A20" s="71" t="s">
        <v>58</v>
      </c>
      <c r="B20" s="116">
        <f>SUM(B18:B19)</f>
        <v>0</v>
      </c>
      <c r="C20" s="116">
        <f>SUM(C18:C19)</f>
        <v>0</v>
      </c>
      <c r="D20" s="116">
        <f t="shared" ref="D20:E20" si="8">SUM(D18:D19)</f>
        <v>0</v>
      </c>
      <c r="E20" s="116">
        <f t="shared" si="8"/>
        <v>0</v>
      </c>
      <c r="F20" s="286">
        <f>SUM(F18:F19)</f>
        <v>0</v>
      </c>
      <c r="G20" s="116">
        <f t="shared" ref="G20:L20" si="9">SUM(G18:G19)</f>
        <v>0</v>
      </c>
      <c r="H20" s="116">
        <f t="shared" si="9"/>
        <v>0</v>
      </c>
      <c r="I20" s="116">
        <f t="shared" si="9"/>
        <v>0</v>
      </c>
      <c r="J20" s="286">
        <f>SUM(J18:J19)</f>
        <v>0</v>
      </c>
      <c r="K20" s="116">
        <f t="shared" si="9"/>
        <v>0</v>
      </c>
      <c r="L20" s="116">
        <f t="shared" si="9"/>
        <v>0</v>
      </c>
      <c r="M20" s="117">
        <f t="shared" si="5"/>
        <v>0</v>
      </c>
    </row>
    <row r="21" spans="1:13" ht="15.75" thickBot="1" x14ac:dyDescent="0.3">
      <c r="A21" s="72" t="s">
        <v>28</v>
      </c>
      <c r="B21" s="122">
        <f>SUM(B20,B17)</f>
        <v>0</v>
      </c>
      <c r="C21" s="122">
        <f>SUM(C20,C17)</f>
        <v>92</v>
      </c>
      <c r="D21" s="122">
        <f t="shared" ref="D21:E21" si="10">SUM(D20,D17)</f>
        <v>62</v>
      </c>
      <c r="E21" s="122">
        <f t="shared" si="10"/>
        <v>0</v>
      </c>
      <c r="F21" s="122">
        <f t="shared" ref="F21:L21" si="11">SUM(F20,F17)</f>
        <v>0</v>
      </c>
      <c r="G21" s="122">
        <f t="shared" si="11"/>
        <v>0</v>
      </c>
      <c r="H21" s="122">
        <f t="shared" si="11"/>
        <v>0</v>
      </c>
      <c r="I21" s="122">
        <f t="shared" si="11"/>
        <v>28</v>
      </c>
      <c r="J21" s="122">
        <f t="shared" ref="J21" si="12">SUM(J20,J17)</f>
        <v>583</v>
      </c>
      <c r="K21" s="122">
        <f t="shared" si="11"/>
        <v>0</v>
      </c>
      <c r="L21" s="122">
        <f t="shared" si="11"/>
        <v>0</v>
      </c>
      <c r="M21" s="123">
        <f t="shared" si="5"/>
        <v>765</v>
      </c>
    </row>
    <row r="22" spans="1:13" ht="3.75" customHeight="1" thickBot="1" x14ac:dyDescent="0.25"/>
    <row r="23" spans="1:13" ht="15.75" thickTop="1" x14ac:dyDescent="0.25">
      <c r="A23" s="65" t="s">
        <v>117</v>
      </c>
      <c r="B23" s="138"/>
      <c r="C23" s="138"/>
      <c r="D23" s="138"/>
      <c r="E23" s="138"/>
      <c r="F23" s="138"/>
      <c r="G23" s="139"/>
      <c r="H23" s="139"/>
      <c r="I23" s="138"/>
      <c r="J23" s="138"/>
      <c r="K23" s="139"/>
      <c r="L23" s="138"/>
      <c r="M23" s="140"/>
    </row>
    <row r="24" spans="1:13" x14ac:dyDescent="0.2">
      <c r="A24" s="75" t="s">
        <v>36</v>
      </c>
      <c r="B24" s="130"/>
      <c r="C24" s="130"/>
      <c r="D24" s="130"/>
      <c r="E24" s="130"/>
      <c r="G24" s="131"/>
      <c r="H24" s="131"/>
      <c r="I24" s="130"/>
      <c r="K24" s="132"/>
      <c r="L24" s="130"/>
      <c r="M24" s="110"/>
    </row>
    <row r="25" spans="1:13" x14ac:dyDescent="0.2">
      <c r="A25" s="75" t="s">
        <v>37</v>
      </c>
      <c r="B25" s="130">
        <f>'[3]Shuttle America'!$FY$47</f>
        <v>0</v>
      </c>
      <c r="C25" s="130">
        <f>'[3]Shuttle America_Delta'!$FY$47</f>
        <v>0</v>
      </c>
      <c r="D25" s="130">
        <f>[3]Horizon_AS!$FY$47</f>
        <v>1765</v>
      </c>
      <c r="E25" s="130">
        <f>[3]PSA!$FY$47</f>
        <v>0</v>
      </c>
      <c r="F25" s="130">
        <f>[3]Compass!$FY$47</f>
        <v>0</v>
      </c>
      <c r="G25" s="131">
        <f>'[3]Atlantic Southeast'!$FY$47</f>
        <v>0</v>
      </c>
      <c r="H25" s="131">
        <f>'[3]Continental Express'!$FY$47</f>
        <v>0</v>
      </c>
      <c r="I25" s="130">
        <f>'[3]Go Jet_UA'!$FY$47</f>
        <v>0</v>
      </c>
      <c r="J25" s="130">
        <f>'[3]Go Jet'!$FY$47</f>
        <v>1175</v>
      </c>
      <c r="K25" s="132">
        <f>'[3]Air Wisconsin'!$FY$47</f>
        <v>0</v>
      </c>
      <c r="L25" s="130">
        <f>[3]MESA!$FY$47</f>
        <v>0</v>
      </c>
      <c r="M25" s="110">
        <f>SUM(B25:L25)</f>
        <v>2940</v>
      </c>
    </row>
    <row r="26" spans="1:13" x14ac:dyDescent="0.2">
      <c r="A26" s="75" t="s">
        <v>38</v>
      </c>
      <c r="B26" s="130">
        <f>'[3]Shuttle America'!$FY$48</f>
        <v>0</v>
      </c>
      <c r="C26" s="130">
        <f>'[3]Shuttle America_Delta'!$FY$48</f>
        <v>0</v>
      </c>
      <c r="D26" s="130">
        <f>[3]Horizon_AS!$FY$48</f>
        <v>0</v>
      </c>
      <c r="E26" s="130">
        <f>[3]PSA!$FY$48</f>
        <v>0</v>
      </c>
      <c r="F26" s="130">
        <f>[3]Compass!$FY$48</f>
        <v>0</v>
      </c>
      <c r="G26" s="131">
        <f>'[3]Atlantic Southeast'!$FY$48</f>
        <v>0</v>
      </c>
      <c r="H26" s="131">
        <f>'[3]Continental Express'!$FY$48</f>
        <v>0</v>
      </c>
      <c r="I26" s="130">
        <f>'[3]Go Jet_UA'!$FY$48</f>
        <v>0</v>
      </c>
      <c r="J26" s="130">
        <f>'[3]Go Jet'!$FY$48</f>
        <v>0</v>
      </c>
      <c r="K26" s="132">
        <f>'[3]Air Wisconsin'!$FY$48</f>
        <v>0</v>
      </c>
      <c r="L26" s="130">
        <f>[3]MESA!$FY$48</f>
        <v>0</v>
      </c>
      <c r="M26" s="110">
        <f>SUM(B26:L26)</f>
        <v>0</v>
      </c>
    </row>
    <row r="27" spans="1:13" ht="15" thickBot="1" x14ac:dyDescent="0.25">
      <c r="A27" s="73" t="s">
        <v>39</v>
      </c>
      <c r="B27" s="133">
        <f>SUM(B25:B26)</f>
        <v>0</v>
      </c>
      <c r="C27" s="133">
        <f>SUM(C25:C26)</f>
        <v>0</v>
      </c>
      <c r="D27" s="133">
        <f t="shared" ref="D27:E27" si="13">SUM(D25:D26)</f>
        <v>1765</v>
      </c>
      <c r="E27" s="133">
        <f t="shared" si="13"/>
        <v>0</v>
      </c>
      <c r="F27" s="133">
        <f>SUM(F25:F26)</f>
        <v>0</v>
      </c>
      <c r="G27" s="133">
        <f t="shared" ref="G27:L27" si="14">SUM(G25:G26)</f>
        <v>0</v>
      </c>
      <c r="H27" s="133">
        <f t="shared" si="14"/>
        <v>0</v>
      </c>
      <c r="I27" s="133">
        <f t="shared" si="14"/>
        <v>0</v>
      </c>
      <c r="J27" s="133">
        <f>SUM(J25:J26)</f>
        <v>1175</v>
      </c>
      <c r="K27" s="133">
        <f t="shared" si="14"/>
        <v>0</v>
      </c>
      <c r="L27" s="133">
        <f t="shared" si="14"/>
        <v>0</v>
      </c>
      <c r="M27" s="134">
        <f>SUM(B27:L27)</f>
        <v>2940</v>
      </c>
    </row>
    <row r="28" spans="1:13" ht="7.5" customHeight="1" thickTop="1" x14ac:dyDescent="0.2">
      <c r="A28" s="75"/>
      <c r="B28" s="130"/>
      <c r="C28" s="130"/>
      <c r="D28" s="130"/>
      <c r="E28" s="130"/>
      <c r="F28" s="130"/>
      <c r="G28" s="131"/>
      <c r="H28" s="131"/>
      <c r="I28" s="130"/>
      <c r="J28" s="130"/>
      <c r="K28" s="132"/>
      <c r="L28" s="130"/>
      <c r="M28" s="110"/>
    </row>
    <row r="29" spans="1:13" x14ac:dyDescent="0.2">
      <c r="A29" s="75" t="s">
        <v>40</v>
      </c>
      <c r="B29" s="130"/>
      <c r="C29" s="130"/>
      <c r="D29" s="130"/>
      <c r="E29" s="130"/>
      <c r="F29" s="130"/>
      <c r="G29" s="131"/>
      <c r="H29" s="131"/>
      <c r="I29" s="130"/>
      <c r="J29" s="130"/>
      <c r="K29" s="132"/>
      <c r="L29" s="130"/>
      <c r="M29" s="110"/>
    </row>
    <row r="30" spans="1:13" x14ac:dyDescent="0.2">
      <c r="A30" s="75" t="s">
        <v>59</v>
      </c>
      <c r="B30" s="130">
        <f>'[3]Shuttle America'!$FY$52</f>
        <v>0</v>
      </c>
      <c r="C30" s="130">
        <f>'[3]Shuttle America_Delta'!$FY$52</f>
        <v>0</v>
      </c>
      <c r="D30" s="130">
        <f>[3]Horizon_AS!$FY$52</f>
        <v>0</v>
      </c>
      <c r="E30" s="130">
        <f>[3]PSA!$FY$52</f>
        <v>0</v>
      </c>
      <c r="F30" s="130">
        <f>[3]Compass!$FY$52</f>
        <v>0</v>
      </c>
      <c r="G30" s="131">
        <f>'[3]Atlantic Southeast'!$FY$52</f>
        <v>0</v>
      </c>
      <c r="H30" s="131">
        <f>'[3]Continental Express'!$FY$52</f>
        <v>0</v>
      </c>
      <c r="I30" s="130">
        <f>'[3]Go Jet_UA'!$FY$52</f>
        <v>0</v>
      </c>
      <c r="J30" s="130">
        <f>'[3]Go Jet'!$FY$52</f>
        <v>0</v>
      </c>
      <c r="K30" s="132">
        <f>'[3]Air Wisconsin'!BH$52</f>
        <v>0</v>
      </c>
      <c r="L30" s="130">
        <f>[3]MESA!$FY$52</f>
        <v>0</v>
      </c>
      <c r="M30" s="110">
        <f>SUM(B30:L30)</f>
        <v>0</v>
      </c>
    </row>
    <row r="31" spans="1:13" x14ac:dyDescent="0.2">
      <c r="A31" s="75" t="s">
        <v>60</v>
      </c>
      <c r="B31" s="130">
        <f>'[3]Shuttle America'!$FY$53</f>
        <v>0</v>
      </c>
      <c r="C31" s="130">
        <f>'[3]Shuttle America_Delta'!$FY$53</f>
        <v>0</v>
      </c>
      <c r="D31" s="130">
        <f>[3]Horizon_AS!$FY$53</f>
        <v>4654</v>
      </c>
      <c r="E31" s="130">
        <f>[3]PSA!$FY$53</f>
        <v>0</v>
      </c>
      <c r="F31" s="130">
        <f>[3]Compass!$FY$53</f>
        <v>0</v>
      </c>
      <c r="G31" s="131">
        <f>'[3]Atlantic Southeast'!$FY$53</f>
        <v>0</v>
      </c>
      <c r="H31" s="131">
        <f>'[3]Continental Express'!$FY$53</f>
        <v>0</v>
      </c>
      <c r="I31" s="130">
        <f>'[3]Go Jet_UA'!$FY$53</f>
        <v>0</v>
      </c>
      <c r="J31" s="130">
        <f>'[3]Go Jet'!$FY$53</f>
        <v>0</v>
      </c>
      <c r="K31" s="132">
        <f>'[3]Air Wisconsin'!$FY$53</f>
        <v>0</v>
      </c>
      <c r="L31" s="130">
        <f>[3]MESA!$FY$53</f>
        <v>0</v>
      </c>
      <c r="M31" s="110">
        <f>SUM(B31:L31)</f>
        <v>4654</v>
      </c>
    </row>
    <row r="32" spans="1:13" ht="15" thickBot="1" x14ac:dyDescent="0.25">
      <c r="A32" s="73" t="s">
        <v>41</v>
      </c>
      <c r="B32" s="133">
        <f t="shared" ref="B32:L32" si="15">SUM(B30:B31)</f>
        <v>0</v>
      </c>
      <c r="C32" s="133">
        <f t="shared" si="15"/>
        <v>0</v>
      </c>
      <c r="D32" s="133">
        <f t="shared" ref="D32" si="16">SUM(D30:D31)</f>
        <v>4654</v>
      </c>
      <c r="E32" s="133">
        <f t="shared" si="15"/>
        <v>0</v>
      </c>
      <c r="F32" s="133">
        <f t="shared" si="15"/>
        <v>0</v>
      </c>
      <c r="G32" s="133">
        <f t="shared" si="15"/>
        <v>0</v>
      </c>
      <c r="H32" s="133">
        <f t="shared" si="15"/>
        <v>0</v>
      </c>
      <c r="I32" s="133">
        <f t="shared" si="15"/>
        <v>0</v>
      </c>
      <c r="J32" s="133">
        <f t="shared" ref="J32" si="17">SUM(J30:J31)</f>
        <v>0</v>
      </c>
      <c r="K32" s="133">
        <f t="shared" si="15"/>
        <v>0</v>
      </c>
      <c r="L32" s="133">
        <f t="shared" si="15"/>
        <v>0</v>
      </c>
      <c r="M32" s="134">
        <f>SUM(B32:L32)</f>
        <v>4654</v>
      </c>
    </row>
    <row r="33" spans="1:13" ht="13.5" hidden="1" thickTop="1" x14ac:dyDescent="0.2">
      <c r="A33" s="75"/>
      <c r="B33" s="130"/>
      <c r="C33" s="130"/>
      <c r="D33" s="130"/>
      <c r="E33" s="130"/>
      <c r="F33" s="130"/>
      <c r="G33" s="131"/>
      <c r="H33" s="131"/>
      <c r="I33" s="130"/>
      <c r="J33" s="130"/>
      <c r="K33" s="132"/>
      <c r="L33" s="130"/>
      <c r="M33" s="110"/>
    </row>
    <row r="34" spans="1:13" ht="13.5" hidden="1" thickTop="1" x14ac:dyDescent="0.2">
      <c r="A34" s="75" t="s">
        <v>42</v>
      </c>
      <c r="B34" s="130"/>
      <c r="C34" s="130"/>
      <c r="D34" s="130"/>
      <c r="E34" s="130"/>
      <c r="F34" s="130"/>
      <c r="G34" s="131"/>
      <c r="H34" s="131"/>
      <c r="I34" s="130"/>
      <c r="J34" s="130"/>
      <c r="K34" s="132"/>
      <c r="L34" s="130"/>
      <c r="M34" s="110"/>
    </row>
    <row r="35" spans="1:13" ht="13.5" hidden="1" thickTop="1" x14ac:dyDescent="0.2">
      <c r="A35" s="75" t="s">
        <v>37</v>
      </c>
      <c r="B35" s="130">
        <f>'[3]Shuttle America'!$FY$57</f>
        <v>0</v>
      </c>
      <c r="C35" s="130">
        <f>'[3]Shuttle America_Delta'!$FY$57</f>
        <v>0</v>
      </c>
      <c r="D35" s="130">
        <f>[3]Horizon_AS!$FY$57</f>
        <v>0</v>
      </c>
      <c r="E35" s="130">
        <f>[3]PSA!$FY$57</f>
        <v>0</v>
      </c>
      <c r="F35" s="130">
        <f>[3]Compass!$FY$57</f>
        <v>0</v>
      </c>
      <c r="G35" s="131">
        <f>'[3]Atlantic Southeast'!$FY$57</f>
        <v>0</v>
      </c>
      <c r="H35" s="131">
        <f>'[3]Continental Express'!$FY$57</f>
        <v>0</v>
      </c>
      <c r="I35" s="130">
        <f>'[3]Go Jet_UA'!$AJ$57</f>
        <v>0</v>
      </c>
      <c r="J35" s="130">
        <f>'[3]Go Jet'!$FY$57</f>
        <v>0</v>
      </c>
      <c r="K35" s="132">
        <f>'[3]Air Wisconsin'!BG$57</f>
        <v>0</v>
      </c>
      <c r="L35" s="130">
        <f>[3]MESA!$AJ$57</f>
        <v>0</v>
      </c>
      <c r="M35" s="110">
        <f>SUM(B35:L35)</f>
        <v>0</v>
      </c>
    </row>
    <row r="36" spans="1:13" ht="13.5" hidden="1" thickTop="1" x14ac:dyDescent="0.2">
      <c r="A36" s="75" t="s">
        <v>38</v>
      </c>
      <c r="B36" s="130">
        <f>'[3]Shuttle America'!BG$58</f>
        <v>0</v>
      </c>
      <c r="C36" s="130">
        <f>'[3]Shuttle America_Delta'!BH$58</f>
        <v>0</v>
      </c>
      <c r="D36" s="130">
        <f>[3]Horizon_AS!BF$58</f>
        <v>0</v>
      </c>
      <c r="E36" s="130">
        <f>[3]PSA!BG$58</f>
        <v>0</v>
      </c>
      <c r="F36" s="130">
        <f>[3]Compass!BG$58</f>
        <v>0</v>
      </c>
      <c r="G36" s="131">
        <f>'[3]Atlantic Southeast'!BG$58</f>
        <v>0</v>
      </c>
      <c r="H36" s="131">
        <f>'[3]Continental Express'!BG$58</f>
        <v>0</v>
      </c>
      <c r="I36" s="130">
        <f>'[3]Go Jet_UA'!$AJ$58</f>
        <v>0</v>
      </c>
      <c r="J36" s="130">
        <f>'[3]Go Jet'!BK$58</f>
        <v>0</v>
      </c>
      <c r="K36" s="132">
        <f>'[3]Air Wisconsin'!BG$58</f>
        <v>0</v>
      </c>
      <c r="L36" s="130">
        <f>[3]MESA!$AJ$58</f>
        <v>0</v>
      </c>
      <c r="M36" s="110">
        <f>SUM(B36:L36)</f>
        <v>0</v>
      </c>
    </row>
    <row r="37" spans="1:13" ht="13.5" hidden="1" thickTop="1" x14ac:dyDescent="0.2">
      <c r="A37" s="76" t="s">
        <v>43</v>
      </c>
      <c r="B37" s="141">
        <f>SUM(B35:B36)</f>
        <v>0</v>
      </c>
      <c r="C37" s="141">
        <f>SUM(C35:C36)</f>
        <v>0</v>
      </c>
      <c r="D37" s="141">
        <f t="shared" ref="D37:E37" si="18">SUM(D35:D36)</f>
        <v>0</v>
      </c>
      <c r="E37" s="141">
        <f t="shared" si="18"/>
        <v>0</v>
      </c>
      <c r="F37" s="141">
        <f>SUM(F35:F36)</f>
        <v>0</v>
      </c>
      <c r="G37" s="142">
        <f t="shared" ref="G37:L37" si="19">SUM(G35:G36)</f>
        <v>0</v>
      </c>
      <c r="H37" s="142">
        <f t="shared" si="19"/>
        <v>0</v>
      </c>
      <c r="I37" s="141">
        <f t="shared" si="19"/>
        <v>0</v>
      </c>
      <c r="J37" s="141">
        <f>SUM(J35:J36)</f>
        <v>0</v>
      </c>
      <c r="K37" s="141">
        <f t="shared" si="19"/>
        <v>0</v>
      </c>
      <c r="L37" s="141">
        <f t="shared" si="19"/>
        <v>0</v>
      </c>
      <c r="M37" s="143">
        <f>SUM(B37:L37)</f>
        <v>0</v>
      </c>
    </row>
    <row r="38" spans="1:13" ht="6.75" customHeight="1" thickTop="1" x14ac:dyDescent="0.2">
      <c r="A38" s="75"/>
      <c r="B38" s="130"/>
      <c r="C38" s="130"/>
      <c r="D38" s="130"/>
      <c r="E38" s="130"/>
      <c r="F38" s="130"/>
      <c r="G38" s="131"/>
      <c r="H38" s="131"/>
      <c r="I38" s="130"/>
      <c r="J38" s="130"/>
      <c r="K38" s="132"/>
      <c r="L38" s="130"/>
      <c r="M38" s="110"/>
    </row>
    <row r="39" spans="1:13" x14ac:dyDescent="0.2">
      <c r="A39" s="75" t="s">
        <v>44</v>
      </c>
      <c r="B39" s="130"/>
      <c r="C39" s="130"/>
      <c r="D39" s="130"/>
      <c r="E39" s="130"/>
      <c r="F39" s="130"/>
      <c r="G39" s="131"/>
      <c r="H39" s="131"/>
      <c r="I39" s="130"/>
      <c r="J39" s="130"/>
      <c r="K39" s="132"/>
      <c r="L39" s="130"/>
      <c r="M39" s="110"/>
    </row>
    <row r="40" spans="1:13" x14ac:dyDescent="0.2">
      <c r="A40" s="75" t="s">
        <v>45</v>
      </c>
      <c r="B40" s="130">
        <f t="shared" ref="B40:L40" si="20">SUM(B35,B30,B25)</f>
        <v>0</v>
      </c>
      <c r="C40" s="130">
        <f>SUM(C35,C30,C25)</f>
        <v>0</v>
      </c>
      <c r="D40" s="130">
        <f t="shared" ref="D40:E41" si="21">SUM(D35,D30,D25)</f>
        <v>1765</v>
      </c>
      <c r="E40" s="130">
        <f t="shared" si="21"/>
        <v>0</v>
      </c>
      <c r="F40" s="130">
        <f t="shared" si="20"/>
        <v>0</v>
      </c>
      <c r="G40" s="130">
        <f t="shared" si="20"/>
        <v>0</v>
      </c>
      <c r="H40" s="130">
        <f t="shared" si="20"/>
        <v>0</v>
      </c>
      <c r="I40" s="130">
        <f>SUM(I35,I30,I25)</f>
        <v>0</v>
      </c>
      <c r="J40" s="130">
        <f t="shared" ref="J40" si="22">SUM(J35,J30,J25)</f>
        <v>1175</v>
      </c>
      <c r="K40" s="130">
        <f t="shared" si="20"/>
        <v>0</v>
      </c>
      <c r="L40" s="130">
        <f t="shared" si="20"/>
        <v>0</v>
      </c>
      <c r="M40" s="110">
        <f>SUM(B40:L40)</f>
        <v>2940</v>
      </c>
    </row>
    <row r="41" spans="1:13" x14ac:dyDescent="0.2">
      <c r="A41" s="75" t="s">
        <v>38</v>
      </c>
      <c r="B41" s="130">
        <f>SUM(B36,B31,B26)</f>
        <v>0</v>
      </c>
      <c r="C41" s="130">
        <f>SUM(C36,C31,C26)</f>
        <v>0</v>
      </c>
      <c r="D41" s="130">
        <f t="shared" si="21"/>
        <v>4654</v>
      </c>
      <c r="E41" s="130">
        <f t="shared" si="21"/>
        <v>0</v>
      </c>
      <c r="F41" s="130">
        <f t="shared" ref="F41:L41" si="23">SUM(F36,F31,F26)</f>
        <v>0</v>
      </c>
      <c r="G41" s="130">
        <f t="shared" si="23"/>
        <v>0</v>
      </c>
      <c r="H41" s="130">
        <f t="shared" si="23"/>
        <v>0</v>
      </c>
      <c r="I41" s="130">
        <f>SUM(I36,I31,I26)</f>
        <v>0</v>
      </c>
      <c r="J41" s="130">
        <f t="shared" ref="J41" si="24">SUM(J36,J31,J26)</f>
        <v>0</v>
      </c>
      <c r="K41" s="130">
        <f t="shared" si="23"/>
        <v>0</v>
      </c>
      <c r="L41" s="130">
        <f t="shared" si="23"/>
        <v>0</v>
      </c>
      <c r="M41" s="110">
        <f>SUM(B41:L41)</f>
        <v>4654</v>
      </c>
    </row>
    <row r="42" spans="1:13" ht="15" thickBot="1" x14ac:dyDescent="0.25">
      <c r="A42" s="74" t="s">
        <v>46</v>
      </c>
      <c r="B42" s="136">
        <f>SUM(B40:B41)</f>
        <v>0</v>
      </c>
      <c r="C42" s="136">
        <f>SUM(C40:C41)</f>
        <v>0</v>
      </c>
      <c r="D42" s="136">
        <f t="shared" ref="D42:E42" si="25">SUM(D40:D41)</f>
        <v>6419</v>
      </c>
      <c r="E42" s="136">
        <f t="shared" si="25"/>
        <v>0</v>
      </c>
      <c r="F42" s="136">
        <f t="shared" ref="F42:L42" si="26">SUM(F40:F41)</f>
        <v>0</v>
      </c>
      <c r="G42" s="136">
        <f t="shared" si="26"/>
        <v>0</v>
      </c>
      <c r="H42" s="136">
        <f t="shared" si="26"/>
        <v>0</v>
      </c>
      <c r="I42" s="136">
        <f t="shared" si="26"/>
        <v>0</v>
      </c>
      <c r="J42" s="136">
        <f t="shared" ref="J42" si="27">SUM(J40:J41)</f>
        <v>1175</v>
      </c>
      <c r="K42" s="136">
        <f t="shared" si="26"/>
        <v>0</v>
      </c>
      <c r="L42" s="136">
        <f t="shared" si="26"/>
        <v>0</v>
      </c>
      <c r="M42" s="137">
        <f>SUM(B42:L42)</f>
        <v>7594</v>
      </c>
    </row>
    <row r="43" spans="1:13" ht="4.5" customHeight="1" x14ac:dyDescent="0.2"/>
    <row r="44" spans="1:13" hidden="1" x14ac:dyDescent="0.2">
      <c r="A44" s="323" t="s">
        <v>127</v>
      </c>
      <c r="F44" s="322">
        <f>[3]Compass!BG$70+[3]Compass!BG$73</f>
        <v>27782</v>
      </c>
      <c r="G44" s="308"/>
      <c r="J44" s="322">
        <f>'[3]Go Jet'!BK$70+'[3]Go Jet'!BK$73</f>
        <v>0</v>
      </c>
      <c r="M44" s="310">
        <f>SUM(F44:F44)</f>
        <v>27782</v>
      </c>
    </row>
    <row r="45" spans="1:13" hidden="1" x14ac:dyDescent="0.2">
      <c r="A45" s="323" t="s">
        <v>128</v>
      </c>
      <c r="F45" s="322">
        <f>[3]Compass!BG$71+[3]Compass!BG$74</f>
        <v>47176</v>
      </c>
      <c r="G45" s="326"/>
      <c r="J45" s="322">
        <f>'[3]Go Jet'!BK$71+'[3]Go Jet'!BK$74</f>
        <v>0</v>
      </c>
      <c r="M45" s="310">
        <f>SUM(F45:F45)</f>
        <v>47176</v>
      </c>
    </row>
    <row r="46" spans="1:13" x14ac:dyDescent="0.2">
      <c r="A46" s="375" t="s">
        <v>124</v>
      </c>
      <c r="C46" s="322">
        <f>'[3]Shuttle America_Delta'!$FY$70+'[3]Shuttle America_Delta'!$FY$73</f>
        <v>1911</v>
      </c>
      <c r="D46" s="5"/>
      <c r="F46" s="322">
        <f>[3]Compass!$FY$70+[3]Compass!$FY$73</f>
        <v>0</v>
      </c>
      <c r="G46" s="322">
        <f>'[3]Atlantic Southeast'!$FY$70+'[3]Atlantic Southeast'!$FY$73</f>
        <v>0</v>
      </c>
      <c r="J46" s="322">
        <f>'[3]Go Jet'!$FY$70+'[3]Go Jet'!$FY$73</f>
        <v>8036</v>
      </c>
      <c r="M46" s="388">
        <f>SUM(B46:L46)</f>
        <v>9947</v>
      </c>
    </row>
    <row r="47" spans="1:13" x14ac:dyDescent="0.2">
      <c r="A47" s="389" t="s">
        <v>125</v>
      </c>
      <c r="C47" s="322">
        <f>'[3]Shuttle America_Delta'!$FY$71+'[3]Shuttle America_Delta'!$FY$74</f>
        <v>903</v>
      </c>
      <c r="D47" s="5"/>
      <c r="F47" s="322">
        <f>[3]Compass!$FY$71+[3]Compass!$FY$74</f>
        <v>0</v>
      </c>
      <c r="G47" s="322">
        <f>'[3]Atlantic Southeast'!$FY$71+'[3]Atlantic Southeast'!$FY$74</f>
        <v>0</v>
      </c>
      <c r="J47" s="322">
        <f>'[3]Go Jet'!$FY$71+'[3]Go Jet'!$FY$74</f>
        <v>7909</v>
      </c>
      <c r="M47" s="388">
        <f>SUM(B47:L47)</f>
        <v>8812</v>
      </c>
    </row>
  </sheetData>
  <phoneticPr fontId="6" type="noConversion"/>
  <printOptions horizontalCentered="1"/>
  <pageMargins left="0.75" right="0.75" top="0.92" bottom="1" header="0.5" footer="0.5"/>
  <pageSetup scale="80" orientation="landscape" r:id="rId1"/>
  <headerFooter alignWithMargins="0">
    <oddHeader>&amp;L
Schedule 5
&amp;CMinneapolis-St. Paul International Airport
&amp;"Arial,Bold"Other Regional
December 2018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A13" zoomScale="115" zoomScaleNormal="115" workbookViewId="0">
      <selection activeCell="G32" activeCellId="1" sqref="B32 G32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78">
        <v>43435</v>
      </c>
      <c r="B2" s="180" t="s">
        <v>119</v>
      </c>
      <c r="C2" s="180" t="s">
        <v>157</v>
      </c>
      <c r="D2" s="102" t="s">
        <v>78</v>
      </c>
      <c r="E2" s="102" t="s">
        <v>158</v>
      </c>
      <c r="F2" s="180" t="s">
        <v>133</v>
      </c>
      <c r="G2" s="174" t="s">
        <v>79</v>
      </c>
    </row>
    <row r="3" spans="1:17" x14ac:dyDescent="0.2">
      <c r="A3" s="278" t="s">
        <v>3</v>
      </c>
      <c r="B3" s="186"/>
      <c r="C3" s="185"/>
      <c r="D3" s="185"/>
      <c r="E3" s="185"/>
      <c r="F3" s="185"/>
      <c r="G3" s="269"/>
    </row>
    <row r="4" spans="1:17" x14ac:dyDescent="0.2">
      <c r="A4" s="62" t="s">
        <v>29</v>
      </c>
      <c r="B4" s="417"/>
      <c r="C4" s="184"/>
      <c r="D4" s="184"/>
      <c r="E4" s="184"/>
      <c r="F4" s="184"/>
      <c r="G4" s="254"/>
    </row>
    <row r="5" spans="1:17" x14ac:dyDescent="0.2">
      <c r="A5" s="62" t="s">
        <v>30</v>
      </c>
      <c r="B5" s="417">
        <f>'[3]Charter Misc'!$FY$22</f>
        <v>150</v>
      </c>
      <c r="C5" s="184">
        <f>[3]Ryan!$FY$22</f>
        <v>0</v>
      </c>
      <c r="D5" s="184">
        <f>'[3]Charter Misc'!$FY$32</f>
        <v>0</v>
      </c>
      <c r="E5" s="184">
        <f>[3]Omni!$FY$32</f>
        <v>0</v>
      </c>
      <c r="F5" s="184">
        <f>[3]Xtra!$FY$32+[3]Xtra!$FY$22</f>
        <v>0</v>
      </c>
      <c r="G5" s="339">
        <f>SUM(B5:F5)</f>
        <v>150</v>
      </c>
    </row>
    <row r="6" spans="1:17" x14ac:dyDescent="0.2">
      <c r="A6" s="62" t="s">
        <v>31</v>
      </c>
      <c r="B6" s="418">
        <f>'[3]Charter Misc'!$FY$23</f>
        <v>0</v>
      </c>
      <c r="C6" s="187">
        <f>[3]Ryan!$FY$23</f>
        <v>0</v>
      </c>
      <c r="D6" s="187">
        <f>'[3]Charter Misc'!$FY$33</f>
        <v>0</v>
      </c>
      <c r="E6" s="187">
        <f>[3]Omni!$FY$33</f>
        <v>0</v>
      </c>
      <c r="F6" s="187">
        <f>[3]Xtra!$FY$33+[3]Xtra!$FY$23</f>
        <v>0</v>
      </c>
      <c r="G6" s="338">
        <f>SUM(B6:F6)</f>
        <v>0</v>
      </c>
    </row>
    <row r="7" spans="1:17" ht="15.75" thickBot="1" x14ac:dyDescent="0.3">
      <c r="A7" s="183" t="s">
        <v>7</v>
      </c>
      <c r="B7" s="419">
        <f>SUM(B5:B6)</f>
        <v>150</v>
      </c>
      <c r="C7" s="298">
        <f>SUM(C5:C6)</f>
        <v>0</v>
      </c>
      <c r="D7" s="298">
        <f>SUM(D5:D6)</f>
        <v>0</v>
      </c>
      <c r="E7" s="298">
        <f>SUM(E5:E6)</f>
        <v>0</v>
      </c>
      <c r="F7" s="298">
        <f>SUM(F5:F6)</f>
        <v>0</v>
      </c>
      <c r="G7" s="299">
        <f>SUM(B7:F7)</f>
        <v>150</v>
      </c>
    </row>
    <row r="8" spans="1:17" ht="13.5" thickBot="1" x14ac:dyDescent="0.25"/>
    <row r="9" spans="1:17" x14ac:dyDescent="0.2">
      <c r="A9" s="181" t="s">
        <v>9</v>
      </c>
      <c r="B9" s="420"/>
      <c r="C9" s="45"/>
      <c r="D9" s="45"/>
      <c r="E9" s="45"/>
      <c r="F9" s="45"/>
      <c r="G9" s="57"/>
    </row>
    <row r="10" spans="1:17" x14ac:dyDescent="0.2">
      <c r="A10" s="182" t="s">
        <v>80</v>
      </c>
      <c r="B10" s="417">
        <f>'[3]Charter Misc'!$FY$4</f>
        <v>2</v>
      </c>
      <c r="C10" s="184">
        <f>[3]Ryan!$FY$4</f>
        <v>0</v>
      </c>
      <c r="D10" s="184">
        <f>'[3]Charter Misc'!$FY$15</f>
        <v>0</v>
      </c>
      <c r="E10" s="184">
        <f>[3]Omni!$FY$15</f>
        <v>0</v>
      </c>
      <c r="F10" s="184">
        <f>[3]Xtra!$FY$15+[3]Xtra!$FY$4</f>
        <v>0</v>
      </c>
      <c r="G10" s="338">
        <f>SUM(B10:F10)</f>
        <v>2</v>
      </c>
    </row>
    <row r="11" spans="1:17" x14ac:dyDescent="0.2">
      <c r="A11" s="182" t="s">
        <v>81</v>
      </c>
      <c r="B11" s="417">
        <f>'[3]Charter Misc'!$FY$5</f>
        <v>0</v>
      </c>
      <c r="C11" s="184">
        <f>[3]Ryan!$FY$5</f>
        <v>0</v>
      </c>
      <c r="D11" s="184">
        <f>'[3]Charter Misc'!$FY$16</f>
        <v>0</v>
      </c>
      <c r="E11" s="184">
        <f>[3]Omni!$FY$16</f>
        <v>0</v>
      </c>
      <c r="F11" s="184">
        <f>[3]Xtra!$FY$16+[3]Xtra!$FY$5</f>
        <v>0</v>
      </c>
      <c r="G11" s="338">
        <f>SUM(B11:F11)</f>
        <v>0</v>
      </c>
    </row>
    <row r="12" spans="1:17" ht="15.75" thickBot="1" x14ac:dyDescent="0.3">
      <c r="A12" s="277" t="s">
        <v>28</v>
      </c>
      <c r="B12" s="421">
        <f>SUM(B10:B11)</f>
        <v>2</v>
      </c>
      <c r="C12" s="300">
        <f>SUM(C10:C11)</f>
        <v>0</v>
      </c>
      <c r="D12" s="300">
        <f>SUM(D10:D11)</f>
        <v>0</v>
      </c>
      <c r="E12" s="300">
        <f>SUM(E10:E11)</f>
        <v>0</v>
      </c>
      <c r="F12" s="300">
        <f>SUM(F10:F11)</f>
        <v>0</v>
      </c>
      <c r="G12" s="301">
        <f>SUM(B12:F12)</f>
        <v>2</v>
      </c>
      <c r="Q12" s="130"/>
    </row>
    <row r="17" spans="1:16" x14ac:dyDescent="0.2">
      <c r="B17" s="523" t="s">
        <v>155</v>
      </c>
      <c r="C17" s="524"/>
      <c r="D17" s="524"/>
      <c r="E17" s="524"/>
      <c r="F17" s="524"/>
      <c r="G17" s="524"/>
      <c r="H17" s="524"/>
      <c r="I17" s="524"/>
      <c r="J17" s="524"/>
      <c r="K17" s="524"/>
      <c r="L17" s="524"/>
      <c r="M17" s="524"/>
      <c r="N17" s="524"/>
      <c r="O17" s="524"/>
      <c r="P17" s="525"/>
    </row>
    <row r="18" spans="1:16" ht="13.5" thickBot="1" x14ac:dyDescent="0.25">
      <c r="A18" s="317"/>
      <c r="E18" s="226"/>
      <c r="G18" s="226"/>
      <c r="H18" s="226"/>
      <c r="L18" s="233"/>
      <c r="N18" s="234"/>
    </row>
    <row r="19" spans="1:16" ht="13.5" customHeight="1" thickBot="1" x14ac:dyDescent="0.25">
      <c r="A19" s="403"/>
      <c r="B19" s="526" t="s">
        <v>121</v>
      </c>
      <c r="C19" s="527"/>
      <c r="D19" s="527"/>
      <c r="E19" s="528"/>
      <c r="G19" s="526" t="s">
        <v>122</v>
      </c>
      <c r="H19" s="529"/>
      <c r="I19" s="529"/>
      <c r="J19" s="530"/>
      <c r="L19" s="531" t="s">
        <v>123</v>
      </c>
      <c r="M19" s="532"/>
      <c r="N19" s="532"/>
      <c r="O19" s="533"/>
    </row>
    <row r="20" spans="1:16" ht="13.5" thickBot="1" x14ac:dyDescent="0.25">
      <c r="A20" s="237" t="s">
        <v>102</v>
      </c>
      <c r="B20" s="242" t="s">
        <v>103</v>
      </c>
      <c r="C20" s="8" t="s">
        <v>104</v>
      </c>
      <c r="D20" s="8" t="s">
        <v>226</v>
      </c>
      <c r="E20" s="8" t="s">
        <v>190</v>
      </c>
      <c r="F20" s="243" t="s">
        <v>99</v>
      </c>
      <c r="G20" s="8" t="s">
        <v>103</v>
      </c>
      <c r="H20" s="8" t="s">
        <v>104</v>
      </c>
      <c r="I20" s="500" t="s">
        <v>226</v>
      </c>
      <c r="J20" s="500" t="s">
        <v>190</v>
      </c>
      <c r="K20" s="243" t="s">
        <v>99</v>
      </c>
      <c r="L20" s="242" t="s">
        <v>103</v>
      </c>
      <c r="M20" s="236" t="s">
        <v>104</v>
      </c>
      <c r="N20" s="500" t="s">
        <v>226</v>
      </c>
      <c r="O20" s="500" t="s">
        <v>190</v>
      </c>
      <c r="P20" s="243" t="s">
        <v>99</v>
      </c>
    </row>
    <row r="21" spans="1:16" ht="14.1" customHeight="1" x14ac:dyDescent="0.2">
      <c r="A21" s="246" t="s">
        <v>105</v>
      </c>
      <c r="B21" s="510">
        <f>+[4]Charter!$B$21</f>
        <v>137179</v>
      </c>
      <c r="C21" s="511">
        <f>+[4]Charter!$C$21</f>
        <v>131658</v>
      </c>
      <c r="D21" s="508">
        <f t="shared" ref="D21:D23" si="0">SUM(B21:C21)</f>
        <v>268837</v>
      </c>
      <c r="E21" s="335">
        <f>[5]Charter!$D$21</f>
        <v>256747</v>
      </c>
      <c r="F21" s="337">
        <f t="shared" ref="F21:F32" si="1">(D21-E21)/E21</f>
        <v>4.7089157809049376E-2</v>
      </c>
      <c r="G21" s="510">
        <f>+[4]Charter!$G$21</f>
        <v>1202691</v>
      </c>
      <c r="H21" s="511">
        <f>+[4]Charter!$H$21</f>
        <v>1213282</v>
      </c>
      <c r="I21" s="508">
        <f t="shared" ref="I21:I26" si="2">SUM(G21:H21)</f>
        <v>2415973</v>
      </c>
      <c r="J21" s="335">
        <f>[5]Charter!$I$21</f>
        <v>2435679</v>
      </c>
      <c r="K21" s="247">
        <f t="shared" ref="K21:K32" si="3">(I21-J21)/J21</f>
        <v>-8.0905570890088558E-3</v>
      </c>
      <c r="L21" s="510">
        <f>+[4]Charter!$L$21</f>
        <v>1339870</v>
      </c>
      <c r="M21" s="511">
        <f>+[4]Charter!$M$21</f>
        <v>1344940</v>
      </c>
      <c r="N21" s="508">
        <f t="shared" ref="N21:N23" si="4">SUM(L21:M21)</f>
        <v>2684810</v>
      </c>
      <c r="O21" s="335">
        <f>[5]Charter!$N$21</f>
        <v>2692426</v>
      </c>
      <c r="P21" s="247">
        <f>(N21-O21)/O21</f>
        <v>-2.8286756999078154E-3</v>
      </c>
    </row>
    <row r="22" spans="1:16" ht="14.1" customHeight="1" x14ac:dyDescent="0.2">
      <c r="A22" s="248" t="s">
        <v>106</v>
      </c>
      <c r="B22" s="331">
        <f>+[6]Charter!$B22</f>
        <v>141643</v>
      </c>
      <c r="C22" s="333">
        <f>+[6]Charter!$C22</f>
        <v>143472</v>
      </c>
      <c r="D22" s="507">
        <f t="shared" ref="D22" si="5">SUM(B22:C22)</f>
        <v>285115</v>
      </c>
      <c r="E22" s="336">
        <f>[7]Charter!D22</f>
        <v>272463</v>
      </c>
      <c r="F22" s="334">
        <f t="shared" si="1"/>
        <v>4.6435662823943069E-2</v>
      </c>
      <c r="G22" s="506">
        <f t="shared" ref="G22:G23" si="6">L22-B22</f>
        <v>1192631</v>
      </c>
      <c r="H22" s="507">
        <f t="shared" ref="H22:H23" si="7">M22-C22</f>
        <v>1233627</v>
      </c>
      <c r="I22" s="507">
        <f t="shared" si="2"/>
        <v>2426258</v>
      </c>
      <c r="J22" s="336">
        <f>[7]Charter!I22</f>
        <v>2337959</v>
      </c>
      <c r="K22" s="250">
        <f t="shared" si="3"/>
        <v>3.7767557087185877E-2</v>
      </c>
      <c r="L22" s="331">
        <f>+[6]Charter!$L22</f>
        <v>1334274</v>
      </c>
      <c r="M22" s="333">
        <f>+[6]Charter!$M22</f>
        <v>1377099</v>
      </c>
      <c r="N22" s="507">
        <f t="shared" ref="N22" si="8">SUM(L22:M22)</f>
        <v>2711373</v>
      </c>
      <c r="O22" s="336">
        <f>[7]Charter!N22</f>
        <v>2610422</v>
      </c>
      <c r="P22" s="249">
        <f t="shared" ref="P22:P32" si="9">(N22-O22)/O22</f>
        <v>3.8672291300027355E-2</v>
      </c>
    </row>
    <row r="23" spans="1:16" ht="14.1" customHeight="1" x14ac:dyDescent="0.2">
      <c r="A23" s="248" t="s">
        <v>107</v>
      </c>
      <c r="B23" s="331">
        <f>+[8]Charter!$B23</f>
        <v>183302</v>
      </c>
      <c r="C23" s="333">
        <f>+[8]Charter!$C23</f>
        <v>184526</v>
      </c>
      <c r="D23" s="332">
        <f t="shared" si="0"/>
        <v>367828</v>
      </c>
      <c r="E23" s="336">
        <f>[9]Charter!D23</f>
        <v>348451</v>
      </c>
      <c r="F23" s="249">
        <f t="shared" si="1"/>
        <v>5.5608966540489191E-2</v>
      </c>
      <c r="G23" s="506">
        <f t="shared" si="6"/>
        <v>1511202</v>
      </c>
      <c r="H23" s="507">
        <f t="shared" si="7"/>
        <v>1531837</v>
      </c>
      <c r="I23" s="332">
        <f t="shared" si="2"/>
        <v>3043039</v>
      </c>
      <c r="J23" s="336">
        <f>[9]Charter!I23</f>
        <v>3083230</v>
      </c>
      <c r="K23" s="250">
        <f t="shared" si="3"/>
        <v>-1.3035355779490988E-2</v>
      </c>
      <c r="L23" s="331">
        <f>+[8]Charter!$L23</f>
        <v>1694504</v>
      </c>
      <c r="M23" s="333">
        <f>+[8]Charter!$M23</f>
        <v>1716363</v>
      </c>
      <c r="N23" s="332">
        <f t="shared" si="4"/>
        <v>3410867</v>
      </c>
      <c r="O23" s="336">
        <f>[9]Charter!N23</f>
        <v>3431681</v>
      </c>
      <c r="P23" s="249">
        <f t="shared" si="9"/>
        <v>-6.0652490718105792E-3</v>
      </c>
    </row>
    <row r="24" spans="1:16" ht="14.1" customHeight="1" x14ac:dyDescent="0.2">
      <c r="A24" s="248" t="s">
        <v>108</v>
      </c>
      <c r="B24" s="331">
        <f>+[10]Charter!$B24</f>
        <v>130702</v>
      </c>
      <c r="C24" s="333">
        <f>+[10]Charter!$C24</f>
        <v>111716</v>
      </c>
      <c r="D24" s="332">
        <f t="shared" ref="D24" si="10">SUM(B24:C24)</f>
        <v>242418</v>
      </c>
      <c r="E24" s="336">
        <f>[11]Charter!D24</f>
        <v>251391</v>
      </c>
      <c r="F24" s="249">
        <f t="shared" si="1"/>
        <v>-3.5693401911762949E-2</v>
      </c>
      <c r="G24" s="506">
        <f t="shared" ref="G24:H26" si="11">L24-B24</f>
        <v>1413434</v>
      </c>
      <c r="H24" s="507">
        <f t="shared" si="11"/>
        <v>1337410</v>
      </c>
      <c r="I24" s="332">
        <f t="shared" si="2"/>
        <v>2750844</v>
      </c>
      <c r="J24" s="336">
        <f>[11]Charter!I24</f>
        <v>2843673</v>
      </c>
      <c r="K24" s="250">
        <f t="shared" si="3"/>
        <v>-3.2644048735561371E-2</v>
      </c>
      <c r="L24" s="331">
        <f>+[10]Charter!$L24</f>
        <v>1544136</v>
      </c>
      <c r="M24" s="333">
        <f>+[10]Charter!$M24</f>
        <v>1449126</v>
      </c>
      <c r="N24" s="332">
        <f t="shared" ref="N24" si="12">SUM(L24:M24)</f>
        <v>2993262</v>
      </c>
      <c r="O24" s="336">
        <f>[11]Charter!N24</f>
        <v>3095064</v>
      </c>
      <c r="P24" s="249">
        <f t="shared" si="9"/>
        <v>-3.2891726956211564E-2</v>
      </c>
    </row>
    <row r="25" spans="1:16" ht="14.1" customHeight="1" x14ac:dyDescent="0.2">
      <c r="A25" s="235" t="s">
        <v>76</v>
      </c>
      <c r="B25" s="331">
        <f>+[12]Charter!$B25</f>
        <v>128052</v>
      </c>
      <c r="C25" s="333">
        <f>+[12]Charter!$C25</f>
        <v>118282</v>
      </c>
      <c r="D25" s="332">
        <f t="shared" ref="D25" si="13">SUM(B25:C25)</f>
        <v>246334</v>
      </c>
      <c r="E25" s="336">
        <f>[13]Charter!D25</f>
        <v>225442</v>
      </c>
      <c r="F25" s="238">
        <f t="shared" si="1"/>
        <v>9.2671285740900097E-2</v>
      </c>
      <c r="G25" s="506">
        <f t="shared" si="11"/>
        <v>1504357</v>
      </c>
      <c r="H25" s="507">
        <f t="shared" si="11"/>
        <v>1476799</v>
      </c>
      <c r="I25" s="332">
        <f t="shared" si="2"/>
        <v>2981156</v>
      </c>
      <c r="J25" s="336">
        <f>[13]Charter!I25</f>
        <v>2980236</v>
      </c>
      <c r="K25" s="244">
        <f t="shared" si="3"/>
        <v>3.0870038480174052E-4</v>
      </c>
      <c r="L25" s="331">
        <f>+[12]Charter!$L25</f>
        <v>1632409</v>
      </c>
      <c r="M25" s="333">
        <f>+[12]Charter!$M25</f>
        <v>1595081</v>
      </c>
      <c r="N25" s="332">
        <f t="shared" ref="N25" si="14">SUM(L25:M25)</f>
        <v>3227490</v>
      </c>
      <c r="O25" s="336">
        <f>[13]Charter!N25</f>
        <v>3205678</v>
      </c>
      <c r="P25" s="238">
        <f t="shared" si="9"/>
        <v>6.8041768387217929E-3</v>
      </c>
    </row>
    <row r="26" spans="1:16" ht="14.1" customHeight="1" x14ac:dyDescent="0.2">
      <c r="A26" s="248" t="s">
        <v>109</v>
      </c>
      <c r="B26" s="331">
        <f>+[14]Charter!$B26</f>
        <v>128004</v>
      </c>
      <c r="C26" s="333">
        <f>+[14]Charter!$C26</f>
        <v>132185</v>
      </c>
      <c r="D26" s="332">
        <f t="shared" ref="D26" si="15">SUM(B26:C26)</f>
        <v>260189</v>
      </c>
      <c r="E26" s="336">
        <f>[15]Charter!D26</f>
        <v>248451</v>
      </c>
      <c r="F26" s="249">
        <f t="shared" si="1"/>
        <v>4.7244728336774656E-2</v>
      </c>
      <c r="G26" s="506">
        <f t="shared" si="11"/>
        <v>1634622</v>
      </c>
      <c r="H26" s="507">
        <f t="shared" si="11"/>
        <v>1620854</v>
      </c>
      <c r="I26" s="332">
        <f t="shared" si="2"/>
        <v>3255476</v>
      </c>
      <c r="J26" s="336">
        <f>[15]Charter!I26</f>
        <v>3247151</v>
      </c>
      <c r="K26" s="250">
        <f t="shared" si="3"/>
        <v>2.5637859157150375E-3</v>
      </c>
      <c r="L26" s="331">
        <f>+[14]Charter!$L26</f>
        <v>1762626</v>
      </c>
      <c r="M26" s="333">
        <f>+[14]Charter!$M26</f>
        <v>1753039</v>
      </c>
      <c r="N26" s="332">
        <f t="shared" ref="N26" si="16">SUM(L26:M26)</f>
        <v>3515665</v>
      </c>
      <c r="O26" s="336">
        <f>[15]Charter!N26</f>
        <v>3495602</v>
      </c>
      <c r="P26" s="249">
        <f t="shared" si="9"/>
        <v>5.7394978032396134E-3</v>
      </c>
    </row>
    <row r="27" spans="1:16" ht="14.1" customHeight="1" x14ac:dyDescent="0.2">
      <c r="A27" s="235" t="s">
        <v>110</v>
      </c>
      <c r="B27" s="331">
        <f>+[16]Charter!$B27</f>
        <v>139361</v>
      </c>
      <c r="C27" s="333">
        <f>+[16]Charter!$C27</f>
        <v>126713</v>
      </c>
      <c r="D27" s="332">
        <f t="shared" ref="D27" si="17">SUM(B27:C27)</f>
        <v>266074</v>
      </c>
      <c r="E27" s="336">
        <f>[17]Charter!D27</f>
        <v>263710</v>
      </c>
      <c r="F27" s="238">
        <f t="shared" si="1"/>
        <v>8.9643927041067831E-3</v>
      </c>
      <c r="G27" s="506">
        <f t="shared" ref="G27" si="18">L27-B27</f>
        <v>1694875</v>
      </c>
      <c r="H27" s="507">
        <f t="shared" ref="H27" si="19">M27-C27</f>
        <v>1704059</v>
      </c>
      <c r="I27" s="332">
        <f t="shared" ref="I27" si="20">SUM(G27:H27)</f>
        <v>3398934</v>
      </c>
      <c r="J27" s="336">
        <f>[17]Charter!I27</f>
        <v>3397860</v>
      </c>
      <c r="K27" s="244">
        <f t="shared" si="3"/>
        <v>3.1608129822888523E-4</v>
      </c>
      <c r="L27" s="331">
        <f>+[16]Charter!$L27</f>
        <v>1834236</v>
      </c>
      <c r="M27" s="333">
        <f>+[16]Charter!$M27</f>
        <v>1830772</v>
      </c>
      <c r="N27" s="332">
        <f t="shared" ref="N27" si="21">SUM(L27:M27)</f>
        <v>3665008</v>
      </c>
      <c r="O27" s="336">
        <f>[17]Charter!N27</f>
        <v>3661570</v>
      </c>
      <c r="P27" s="238">
        <f t="shared" si="9"/>
        <v>9.3894149231067551E-4</v>
      </c>
    </row>
    <row r="28" spans="1:16" ht="14.1" customHeight="1" x14ac:dyDescent="0.2">
      <c r="A28" s="248" t="s">
        <v>111</v>
      </c>
      <c r="B28" s="331">
        <f>+[18]Charter!$B28</f>
        <v>139687</v>
      </c>
      <c r="C28" s="333">
        <f>+[18]Charter!$C28</f>
        <v>136180</v>
      </c>
      <c r="D28" s="332">
        <f t="shared" ref="D28" si="22">SUM(B28:C28)</f>
        <v>275867</v>
      </c>
      <c r="E28" s="336">
        <f>[19]Charter!D28</f>
        <v>267158</v>
      </c>
      <c r="F28" s="249">
        <f t="shared" si="1"/>
        <v>3.2598686919351097E-2</v>
      </c>
      <c r="G28" s="506">
        <f t="shared" ref="G28" si="23">L28-B28</f>
        <v>1736320</v>
      </c>
      <c r="H28" s="507">
        <f t="shared" ref="H28" si="24">M28-C28</f>
        <v>1726918</v>
      </c>
      <c r="I28" s="332">
        <f t="shared" ref="I28" si="25">SUM(G28:H28)</f>
        <v>3463238</v>
      </c>
      <c r="J28" s="336">
        <f>[19]Charter!I28</f>
        <v>3401041</v>
      </c>
      <c r="K28" s="250">
        <f t="shared" si="3"/>
        <v>1.8287636050256378E-2</v>
      </c>
      <c r="L28" s="331">
        <f>+[18]Charter!$L28</f>
        <v>1876007</v>
      </c>
      <c r="M28" s="333">
        <f>+[18]Charter!$M28</f>
        <v>1863098</v>
      </c>
      <c r="N28" s="332">
        <f t="shared" ref="N28" si="26">SUM(L28:M28)</f>
        <v>3739105</v>
      </c>
      <c r="O28" s="336">
        <f>[19]Charter!N28</f>
        <v>3668199</v>
      </c>
      <c r="P28" s="249">
        <f t="shared" si="9"/>
        <v>1.932992184993235E-2</v>
      </c>
    </row>
    <row r="29" spans="1:16" ht="14.1" customHeight="1" x14ac:dyDescent="0.2">
      <c r="A29" s="235" t="s">
        <v>112</v>
      </c>
      <c r="B29" s="331">
        <f>+[20]Charter!$B29</f>
        <v>112387</v>
      </c>
      <c r="C29" s="333">
        <f>+[20]Charter!$C29</f>
        <v>113274</v>
      </c>
      <c r="D29" s="332">
        <f t="shared" ref="D29" si="27">SUM(B29:C29)</f>
        <v>225661</v>
      </c>
      <c r="E29" s="336">
        <f>[21]Charter!D29</f>
        <v>219794</v>
      </c>
      <c r="F29" s="238">
        <f t="shared" si="1"/>
        <v>2.6693176337843617E-2</v>
      </c>
      <c r="G29" s="506">
        <f t="shared" ref="G29" si="28">L29-B29</f>
        <v>1404094</v>
      </c>
      <c r="H29" s="507">
        <f t="shared" ref="H29" si="29">M29-C29</f>
        <v>1420459</v>
      </c>
      <c r="I29" s="332">
        <f t="shared" ref="I29" si="30">SUM(G29:H29)</f>
        <v>2824553</v>
      </c>
      <c r="J29" s="336">
        <f>[21]Charter!I29</f>
        <v>2821616</v>
      </c>
      <c r="K29" s="244">
        <f t="shared" si="3"/>
        <v>1.0408928784072674E-3</v>
      </c>
      <c r="L29" s="331">
        <f>+[20]Charter!$L29</f>
        <v>1516481</v>
      </c>
      <c r="M29" s="333">
        <f>+[20]Charter!$M29</f>
        <v>1533733</v>
      </c>
      <c r="N29" s="332">
        <f t="shared" ref="N29" si="31">SUM(L29:M29)</f>
        <v>3050214</v>
      </c>
      <c r="O29" s="336">
        <f>[21]Charter!N29</f>
        <v>3041410</v>
      </c>
      <c r="P29" s="238">
        <f t="shared" si="9"/>
        <v>2.8947100193660179E-3</v>
      </c>
    </row>
    <row r="30" spans="1:16" ht="14.1" customHeight="1" x14ac:dyDescent="0.2">
      <c r="A30" s="248" t="s">
        <v>113</v>
      </c>
      <c r="B30" s="331">
        <f>+[22]Charter!$B30</f>
        <v>108154</v>
      </c>
      <c r="C30" s="333">
        <f>+[22]Charter!$C30</f>
        <v>100391</v>
      </c>
      <c r="D30" s="332">
        <f t="shared" ref="D30" si="32">SUM(B30:C30)</f>
        <v>208545</v>
      </c>
      <c r="E30" s="336">
        <f>[23]Charter!D30</f>
        <v>203624</v>
      </c>
      <c r="F30" s="249">
        <f t="shared" si="1"/>
        <v>2.4167092287746043E-2</v>
      </c>
      <c r="G30" s="506">
        <f t="shared" ref="G30" si="33">L30-B30</f>
        <v>1503026</v>
      </c>
      <c r="H30" s="507">
        <f t="shared" ref="H30" si="34">M30-C30</f>
        <v>1514372</v>
      </c>
      <c r="I30" s="332">
        <f t="shared" ref="I30" si="35">SUM(G30:H30)</f>
        <v>3017398</v>
      </c>
      <c r="J30" s="336">
        <f>[23]Charter!I30</f>
        <v>3047366</v>
      </c>
      <c r="K30" s="250">
        <f t="shared" si="3"/>
        <v>-9.8340665348369705E-3</v>
      </c>
      <c r="L30" s="331">
        <f>+[22]Charter!$L30</f>
        <v>1611180</v>
      </c>
      <c r="M30" s="333">
        <f>+[22]Charter!$M30</f>
        <v>1614763</v>
      </c>
      <c r="N30" s="332">
        <f t="shared" ref="N30" si="36">SUM(L30:M30)</f>
        <v>3225943</v>
      </c>
      <c r="O30" s="336">
        <f>[23]Charter!N30</f>
        <v>3250990</v>
      </c>
      <c r="P30" s="249">
        <f t="shared" si="9"/>
        <v>-7.7044223451933104E-3</v>
      </c>
    </row>
    <row r="31" spans="1:16" ht="14.1" customHeight="1" x14ac:dyDescent="0.2">
      <c r="A31" s="235" t="s">
        <v>114</v>
      </c>
      <c r="B31" s="331">
        <f>+[2]Charter!$B31</f>
        <v>89321</v>
      </c>
      <c r="C31" s="333">
        <f>+[2]Charter!$C31</f>
        <v>89501</v>
      </c>
      <c r="D31" s="332">
        <f t="shared" ref="D31" si="37">SUM(B31:C31)</f>
        <v>178822</v>
      </c>
      <c r="E31" s="336">
        <f>[24]Charter!D31</f>
        <v>179608</v>
      </c>
      <c r="F31" s="238">
        <f t="shared" si="1"/>
        <v>-4.3761970513562874E-3</v>
      </c>
      <c r="G31" s="506">
        <f t="shared" ref="G31" si="38">L31-B31</f>
        <v>1359253</v>
      </c>
      <c r="H31" s="507">
        <f t="shared" ref="H31" si="39">M31-C31</f>
        <v>1383846</v>
      </c>
      <c r="I31" s="332">
        <f t="shared" ref="I31" si="40">SUM(G31:H31)</f>
        <v>2743099</v>
      </c>
      <c r="J31" s="336">
        <f>[24]Charter!I31</f>
        <v>2773901</v>
      </c>
      <c r="K31" s="244">
        <f t="shared" si="3"/>
        <v>-1.110421749009788E-2</v>
      </c>
      <c r="L31" s="331">
        <f>+[2]Charter!$L31</f>
        <v>1448574</v>
      </c>
      <c r="M31" s="333">
        <f>+[2]Charter!$M31</f>
        <v>1473347</v>
      </c>
      <c r="N31" s="332">
        <f t="shared" ref="N31" si="41">SUM(L31:M31)</f>
        <v>2921921</v>
      </c>
      <c r="O31" s="336">
        <f>[24]Charter!N31</f>
        <v>2953509</v>
      </c>
      <c r="P31" s="238">
        <f t="shared" si="9"/>
        <v>-1.0695074909201225E-2</v>
      </c>
    </row>
    <row r="32" spans="1:16" ht="14.1" customHeight="1" x14ac:dyDescent="0.2">
      <c r="A32" s="251" t="s">
        <v>115</v>
      </c>
      <c r="B32" s="331">
        <f>'Intl Detail'!$P$4+'Intl Detail'!$P$9</f>
        <v>99416</v>
      </c>
      <c r="C32" s="333">
        <f>'Intl Detail'!$P$5+'Intl Detail'!$P$10</f>
        <v>113875</v>
      </c>
      <c r="D32" s="161">
        <f t="shared" ref="D32" si="42">SUM(B32:C32)</f>
        <v>213291</v>
      </c>
      <c r="E32" s="336">
        <f>[1]Charter!D32</f>
        <v>214327</v>
      </c>
      <c r="F32" s="252">
        <f t="shared" si="1"/>
        <v>-4.8337353669859603E-3</v>
      </c>
      <c r="G32" s="253">
        <f t="shared" ref="G32" si="43">L32-B32</f>
        <v>1344653</v>
      </c>
      <c r="H32" s="161">
        <f t="shared" ref="H32" si="44">M32-C32</f>
        <v>1342483</v>
      </c>
      <c r="I32" s="161">
        <f t="shared" ref="I32" si="45">SUM(G32:H32)</f>
        <v>2687136</v>
      </c>
      <c r="J32" s="336">
        <f>[1]Charter!I32</f>
        <v>2713463</v>
      </c>
      <c r="K32" s="252">
        <f t="shared" si="3"/>
        <v>-9.7023618895853755E-3</v>
      </c>
      <c r="L32" s="331">
        <f>'Monthly Summary'!$B$11</f>
        <v>1444069</v>
      </c>
      <c r="M32" s="333">
        <f>'Monthly Summary'!$C$11</f>
        <v>1456358</v>
      </c>
      <c r="N32" s="161">
        <f t="shared" ref="N32" si="46">SUM(L32:M32)</f>
        <v>2900427</v>
      </c>
      <c r="O32" s="336">
        <f>[1]Charter!N32</f>
        <v>2927790</v>
      </c>
      <c r="P32" s="252">
        <f t="shared" si="9"/>
        <v>-9.3459571895525301E-3</v>
      </c>
    </row>
    <row r="33" spans="1:16" ht="13.5" thickBot="1" x14ac:dyDescent="0.25">
      <c r="A33" s="245" t="s">
        <v>77</v>
      </c>
      <c r="B33" s="255">
        <f>SUM(B21:B32)</f>
        <v>1537208</v>
      </c>
      <c r="C33" s="256">
        <f>SUM(C21:C32)</f>
        <v>1501773</v>
      </c>
      <c r="D33" s="256">
        <f>SUM(D21:D32)</f>
        <v>3038981</v>
      </c>
      <c r="E33" s="257">
        <f>SUM(E21:E32)</f>
        <v>2951166</v>
      </c>
      <c r="F33" s="240">
        <f>(D33-E33)/E33</f>
        <v>2.9756035411088361E-2</v>
      </c>
      <c r="G33" s="258">
        <f>SUM(G21:G32)</f>
        <v>17501158</v>
      </c>
      <c r="H33" s="256">
        <f>SUM(H21:H32)</f>
        <v>17505946</v>
      </c>
      <c r="I33" s="256">
        <f>SUM(I21:I32)</f>
        <v>35007104</v>
      </c>
      <c r="J33" s="259">
        <f>SUM(J21:J32)</f>
        <v>35083175</v>
      </c>
      <c r="K33" s="241">
        <f>(I33-J33)/J33</f>
        <v>-2.1683043225135695E-3</v>
      </c>
      <c r="L33" s="258">
        <f>SUM(L21:L32)</f>
        <v>19038366</v>
      </c>
      <c r="M33" s="256">
        <f>SUM(M21:M32)</f>
        <v>19007719</v>
      </c>
      <c r="N33" s="256">
        <f>SUM(N21:N32)</f>
        <v>38046085</v>
      </c>
      <c r="O33" s="257">
        <f>SUM(O21:O32)</f>
        <v>38034341</v>
      </c>
      <c r="P33" s="239">
        <f>(N33-O33)/O33</f>
        <v>3.0877358963574521E-4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D37" s="130"/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December 2018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43"/>
  <sheetViews>
    <sheetView topLeftCell="A13" zoomScaleNormal="100" workbookViewId="0">
      <selection activeCell="C4" sqref="C4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3" width="10.28515625" customWidth="1"/>
    <col min="4" max="5" width="11.28515625" bestFit="1" customWidth="1"/>
    <col min="6" max="6" width="1" customWidth="1"/>
    <col min="7" max="7" width="11.28515625" bestFit="1" customWidth="1"/>
    <col min="8" max="9" width="11.28515625" customWidth="1"/>
    <col min="11" max="12" width="11.28515625" bestFit="1" customWidth="1"/>
    <col min="14" max="14" width="11.28515625" bestFit="1" customWidth="1"/>
  </cols>
  <sheetData>
    <row r="1" spans="1:21" s="190" customFormat="1" ht="15.75" thickBot="1" x14ac:dyDescent="0.3">
      <c r="B1" s="537"/>
      <c r="C1" s="537"/>
      <c r="D1" s="537"/>
      <c r="E1" s="537"/>
      <c r="F1" s="448"/>
      <c r="G1" s="538" t="s">
        <v>94</v>
      </c>
      <c r="H1" s="539"/>
      <c r="I1" s="539"/>
      <c r="J1" s="539"/>
      <c r="K1" s="539"/>
      <c r="L1" s="539"/>
      <c r="M1" s="540"/>
    </row>
    <row r="2" spans="1:21" s="191" customFormat="1" ht="30.75" customHeight="1" thickBot="1" x14ac:dyDescent="0.25">
      <c r="A2" s="378">
        <v>43435</v>
      </c>
      <c r="B2" s="437" t="s">
        <v>186</v>
      </c>
      <c r="C2" s="516" t="s">
        <v>230</v>
      </c>
      <c r="D2" s="8" t="s">
        <v>82</v>
      </c>
      <c r="E2" s="8" t="s">
        <v>83</v>
      </c>
      <c r="F2" s="199"/>
      <c r="G2" s="180" t="s">
        <v>84</v>
      </c>
      <c r="H2" s="180" t="s">
        <v>187</v>
      </c>
      <c r="I2" s="180" t="s">
        <v>167</v>
      </c>
      <c r="J2" s="102" t="s">
        <v>85</v>
      </c>
      <c r="K2" s="8" t="s">
        <v>86</v>
      </c>
      <c r="L2" s="180" t="s">
        <v>87</v>
      </c>
      <c r="M2" s="180" t="s">
        <v>130</v>
      </c>
      <c r="N2" s="180" t="s">
        <v>21</v>
      </c>
    </row>
    <row r="3" spans="1:21" ht="15" x14ac:dyDescent="0.25">
      <c r="A3" s="200" t="s">
        <v>9</v>
      </c>
      <c r="B3" s="201"/>
      <c r="C3" s="201"/>
      <c r="D3" s="201"/>
      <c r="E3" s="201"/>
      <c r="F3" s="202"/>
      <c r="G3" s="45"/>
      <c r="H3" s="45"/>
      <c r="I3" s="45"/>
      <c r="J3" s="45"/>
      <c r="K3" s="56"/>
      <c r="L3" s="45"/>
      <c r="M3" s="45"/>
      <c r="N3" s="203"/>
    </row>
    <row r="4" spans="1:21" x14ac:dyDescent="0.2">
      <c r="A4" s="53" t="s">
        <v>53</v>
      </c>
      <c r="B4" s="161">
        <f>[3]DHL!$FY$4</f>
        <v>24</v>
      </c>
      <c r="C4" s="161">
        <f>'[3]Atlas Air'!$FY$4</f>
        <v>30</v>
      </c>
      <c r="D4" s="161">
        <f>[3]FedEx!$FY$4+[3]FedEx!$FY$15</f>
        <v>170</v>
      </c>
      <c r="E4" s="161">
        <f>[3]UPS!$FY$4+[3]UPS!$FY$15</f>
        <v>176</v>
      </c>
      <c r="F4" s="192"/>
      <c r="G4" s="118">
        <f>[3]ATI_BAX!$FY$4</f>
        <v>0</v>
      </c>
      <c r="H4" s="161">
        <f>[3]IFL!$FY$4+[3]IFL!$FY$15</f>
        <v>11</v>
      </c>
      <c r="I4" s="118">
        <f>'[3]Suburban Air Freight'!$FY$15</f>
        <v>0</v>
      </c>
      <c r="J4" s="118">
        <f>[3]Bemidji!$FY$4</f>
        <v>221</v>
      </c>
      <c r="K4" s="118">
        <f>'[3]CSA Air'!$FY$4</f>
        <v>0</v>
      </c>
      <c r="L4" s="118">
        <f>'[3]Mountain Cargo'!$FY$4</f>
        <v>18</v>
      </c>
      <c r="M4" s="118">
        <f>'[3]Misc Cargo'!$FY$4</f>
        <v>39</v>
      </c>
      <c r="N4" s="204">
        <f>SUM(B4:M4)</f>
        <v>689</v>
      </c>
    </row>
    <row r="5" spans="1:21" x14ac:dyDescent="0.2">
      <c r="A5" s="53" t="s">
        <v>54</v>
      </c>
      <c r="B5" s="198">
        <f>[3]DHL!$FY$5</f>
        <v>24</v>
      </c>
      <c r="C5" s="198">
        <f>'[3]Atlas Air'!$FY$5</f>
        <v>30</v>
      </c>
      <c r="D5" s="198">
        <f>[3]FedEx!$FY$5</f>
        <v>170</v>
      </c>
      <c r="E5" s="198">
        <f>[3]UPS!$FY$5+[3]UPS!$FY$16</f>
        <v>176</v>
      </c>
      <c r="F5" s="192"/>
      <c r="G5" s="120">
        <f>[3]ATI_BAX!$FY$5</f>
        <v>0</v>
      </c>
      <c r="H5" s="198">
        <f>[3]IFL!$FY$5</f>
        <v>11</v>
      </c>
      <c r="I5" s="120">
        <f>'[3]Suburban Air Freight'!$FY$16</f>
        <v>0</v>
      </c>
      <c r="J5" s="120">
        <f>[3]Bemidji!$FY$5</f>
        <v>221</v>
      </c>
      <c r="K5" s="120">
        <f>'[3]CSA Air'!$FY$5</f>
        <v>11</v>
      </c>
      <c r="L5" s="120">
        <f>'[3]Mountain Cargo'!$FY$5</f>
        <v>18</v>
      </c>
      <c r="M5" s="120">
        <f>'[3]Misc Cargo'!$FY$5</f>
        <v>39</v>
      </c>
      <c r="N5" s="208">
        <f>SUM(B5:M5)</f>
        <v>700</v>
      </c>
    </row>
    <row r="6" spans="1:21" s="189" customFormat="1" x14ac:dyDescent="0.2">
      <c r="A6" s="205" t="s">
        <v>55</v>
      </c>
      <c r="B6" s="206">
        <f>SUM(B4:B5)</f>
        <v>48</v>
      </c>
      <c r="C6" s="206">
        <f>SUM(C4:C5)</f>
        <v>60</v>
      </c>
      <c r="D6" s="206">
        <f>SUM(D4:D5)</f>
        <v>340</v>
      </c>
      <c r="E6" s="206">
        <f>SUM(E4:E5)</f>
        <v>352</v>
      </c>
      <c r="F6" s="193"/>
      <c r="G6" s="188">
        <f t="shared" ref="G6:M6" si="0">SUM(G4:G5)</f>
        <v>0</v>
      </c>
      <c r="H6" s="206">
        <f>SUM(H4:H5)</f>
        <v>22</v>
      </c>
      <c r="I6" s="188">
        <f t="shared" si="0"/>
        <v>0</v>
      </c>
      <c r="J6" s="188">
        <f t="shared" si="0"/>
        <v>442</v>
      </c>
      <c r="K6" s="188">
        <f t="shared" si="0"/>
        <v>11</v>
      </c>
      <c r="L6" s="188">
        <f t="shared" si="0"/>
        <v>36</v>
      </c>
      <c r="M6" s="188">
        <f t="shared" si="0"/>
        <v>78</v>
      </c>
      <c r="N6" s="207">
        <f>SUM(B6:M6)</f>
        <v>1389</v>
      </c>
    </row>
    <row r="7" spans="1:21" x14ac:dyDescent="0.2">
      <c r="A7" s="53"/>
      <c r="B7" s="161"/>
      <c r="C7" s="161"/>
      <c r="D7" s="161"/>
      <c r="E7" s="161"/>
      <c r="F7" s="192"/>
      <c r="G7" s="118"/>
      <c r="H7" s="161"/>
      <c r="I7" s="118"/>
      <c r="J7" s="118"/>
      <c r="K7" s="118"/>
      <c r="L7" s="118"/>
      <c r="M7" s="118"/>
      <c r="N7" s="204"/>
    </row>
    <row r="8" spans="1:21" x14ac:dyDescent="0.2">
      <c r="A8" s="53" t="s">
        <v>56</v>
      </c>
      <c r="B8" s="161"/>
      <c r="C8" s="161"/>
      <c r="D8" s="161"/>
      <c r="E8" s="161"/>
      <c r="F8" s="192"/>
      <c r="G8" s="118"/>
      <c r="H8" s="161"/>
      <c r="I8" s="118"/>
      <c r="J8" s="118"/>
      <c r="K8" s="118"/>
      <c r="L8" s="118"/>
      <c r="M8" s="118">
        <f>'[3]Misc Cargo'!$FY$8</f>
        <v>0</v>
      </c>
      <c r="N8" s="204">
        <f>SUM(B8:M8)</f>
        <v>0</v>
      </c>
    </row>
    <row r="9" spans="1:21" ht="15" x14ac:dyDescent="0.25">
      <c r="A9" s="53" t="s">
        <v>57</v>
      </c>
      <c r="B9" s="198"/>
      <c r="C9" s="198"/>
      <c r="D9" s="198"/>
      <c r="E9" s="198"/>
      <c r="F9" s="192"/>
      <c r="G9" s="120"/>
      <c r="H9" s="198"/>
      <c r="I9" s="120"/>
      <c r="J9" s="120"/>
      <c r="K9" s="120"/>
      <c r="L9" s="120"/>
      <c r="M9" s="120">
        <f>'[3]Misc Cargo'!$FY$9</f>
        <v>0</v>
      </c>
      <c r="N9" s="208">
        <f>SUM(B9:M9)</f>
        <v>0</v>
      </c>
      <c r="Q9" s="15"/>
      <c r="R9" s="327"/>
      <c r="S9" s="327"/>
      <c r="T9" s="327"/>
      <c r="U9" s="327"/>
    </row>
    <row r="10" spans="1:21" s="189" customFormat="1" x14ac:dyDescent="0.2">
      <c r="A10" s="205" t="s">
        <v>58</v>
      </c>
      <c r="B10" s="206">
        <f>SUM(B8:B9)</f>
        <v>0</v>
      </c>
      <c r="C10" s="206">
        <f>SUM(C8:C9)</f>
        <v>0</v>
      </c>
      <c r="D10" s="206">
        <f>SUM(D8:D9)</f>
        <v>0</v>
      </c>
      <c r="E10" s="206">
        <f>SUM(E8:E9)</f>
        <v>0</v>
      </c>
      <c r="F10" s="193"/>
      <c r="G10" s="188">
        <f t="shared" ref="G10:M10" si="1">SUM(G8:G9)</f>
        <v>0</v>
      </c>
      <c r="H10" s="206">
        <f>SUM(H8:H9)</f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0</v>
      </c>
      <c r="M10" s="188">
        <f t="shared" si="1"/>
        <v>0</v>
      </c>
      <c r="N10" s="207">
        <f>SUM(B10:M10)</f>
        <v>0</v>
      </c>
    </row>
    <row r="11" spans="1:21" x14ac:dyDescent="0.2">
      <c r="A11" s="53"/>
      <c r="B11" s="161"/>
      <c r="C11" s="161"/>
      <c r="D11" s="161"/>
      <c r="E11" s="161"/>
      <c r="F11" s="192"/>
      <c r="G11" s="118"/>
      <c r="H11" s="161"/>
      <c r="I11" s="118"/>
      <c r="J11" s="118"/>
      <c r="K11" s="118"/>
      <c r="L11" s="118"/>
      <c r="M11" s="118"/>
      <c r="N11" s="170"/>
    </row>
    <row r="12" spans="1:21" ht="18" customHeight="1" thickBot="1" x14ac:dyDescent="0.25">
      <c r="A12" s="209" t="s">
        <v>28</v>
      </c>
      <c r="B12" s="210">
        <f>B6+B10</f>
        <v>48</v>
      </c>
      <c r="C12" s="210">
        <f>C6+C10</f>
        <v>60</v>
      </c>
      <c r="D12" s="210">
        <f>D6+D10</f>
        <v>340</v>
      </c>
      <c r="E12" s="210">
        <f>E6+E10</f>
        <v>352</v>
      </c>
      <c r="F12" s="211"/>
      <c r="G12" s="212">
        <f t="shared" ref="G12:M12" si="2">G6+G10</f>
        <v>0</v>
      </c>
      <c r="H12" s="210">
        <f>H6+H10</f>
        <v>22</v>
      </c>
      <c r="I12" s="212">
        <f t="shared" si="2"/>
        <v>0</v>
      </c>
      <c r="J12" s="212">
        <f t="shared" si="2"/>
        <v>442</v>
      </c>
      <c r="K12" s="212">
        <f t="shared" si="2"/>
        <v>11</v>
      </c>
      <c r="L12" s="212">
        <f t="shared" si="2"/>
        <v>36</v>
      </c>
      <c r="M12" s="212">
        <f t="shared" si="2"/>
        <v>78</v>
      </c>
      <c r="N12" s="213">
        <f>SUM(B12:M12)</f>
        <v>1389</v>
      </c>
    </row>
    <row r="13" spans="1:21" ht="18" customHeight="1" thickBot="1" x14ac:dyDescent="0.25">
      <c r="A13" s="177"/>
      <c r="B13" s="194"/>
      <c r="C13" s="194"/>
      <c r="D13" s="194"/>
      <c r="E13" s="194"/>
      <c r="F13" s="195"/>
      <c r="G13" s="196"/>
      <c r="H13" s="194"/>
      <c r="I13" s="196"/>
      <c r="J13" s="178"/>
      <c r="K13" s="178"/>
      <c r="L13" s="178"/>
      <c r="M13" s="178"/>
      <c r="N13" s="5"/>
    </row>
    <row r="14" spans="1:21" ht="15" x14ac:dyDescent="0.25">
      <c r="A14" s="214" t="s">
        <v>95</v>
      </c>
      <c r="B14" s="215"/>
      <c r="C14" s="215"/>
      <c r="D14" s="215"/>
      <c r="E14" s="215"/>
      <c r="F14" s="216"/>
      <c r="G14" s="175"/>
      <c r="H14" s="215"/>
      <c r="I14" s="175"/>
      <c r="J14" s="81"/>
      <c r="K14" s="81"/>
      <c r="L14" s="81"/>
      <c r="M14" s="81"/>
      <c r="N14" s="217"/>
    </row>
    <row r="15" spans="1:21" x14ac:dyDescent="0.2">
      <c r="A15" s="218" t="s">
        <v>96</v>
      </c>
      <c r="B15" s="161"/>
      <c r="C15" s="161"/>
      <c r="D15" s="161"/>
      <c r="E15" s="161"/>
      <c r="F15" s="192"/>
      <c r="G15" s="118"/>
      <c r="H15" s="161"/>
      <c r="I15" s="118"/>
      <c r="J15" s="5"/>
      <c r="K15" s="5"/>
      <c r="L15" s="5"/>
      <c r="M15" s="5"/>
      <c r="N15" s="179"/>
    </row>
    <row r="16" spans="1:21" x14ac:dyDescent="0.2">
      <c r="A16" s="53" t="s">
        <v>37</v>
      </c>
      <c r="B16" s="161">
        <f>[3]DHL!$FY$47</f>
        <v>856771</v>
      </c>
      <c r="C16" s="161">
        <f>'[3]Atlas Air'!$FY$47</f>
        <v>1877340</v>
      </c>
      <c r="D16" s="161">
        <f>[3]FedEx!$FY$47</f>
        <v>8640852</v>
      </c>
      <c r="E16" s="161">
        <f>[3]UPS!$FY$47</f>
        <v>6942094</v>
      </c>
      <c r="F16" s="192"/>
      <c r="G16" s="118">
        <f>[3]ATI_BAX!$FY$47</f>
        <v>0</v>
      </c>
      <c r="H16" s="161">
        <f>[3]IFL!$FY$47</f>
        <v>9310</v>
      </c>
      <c r="I16" s="118">
        <f>'[3]Suburban Air Freight'!$FY$47</f>
        <v>0</v>
      </c>
      <c r="J16" s="534" t="s">
        <v>88</v>
      </c>
      <c r="K16" s="118">
        <f>'[3]CSA Air'!$FY$47</f>
        <v>0</v>
      </c>
      <c r="L16" s="118">
        <f>'[3]Mountain Cargo'!$FY$47</f>
        <v>185171</v>
      </c>
      <c r="M16" s="118">
        <f>'[3]Misc Cargo'!$FY$47</f>
        <v>58064</v>
      </c>
      <c r="N16" s="204">
        <f>SUM(B16:I16)+SUM(K16:M16)</f>
        <v>18569602</v>
      </c>
    </row>
    <row r="17" spans="1:15" x14ac:dyDescent="0.2">
      <c r="A17" s="53" t="s">
        <v>38</v>
      </c>
      <c r="B17" s="161">
        <f>[3]DHL!$FY$48</f>
        <v>0</v>
      </c>
      <c r="C17" s="161">
        <f>'[3]Atlas Air'!$FY$48</f>
        <v>0</v>
      </c>
      <c r="D17" s="161">
        <f>[3]FedEx!$FY$48</f>
        <v>0</v>
      </c>
      <c r="E17" s="161">
        <f>[3]UPS!$FY$48</f>
        <v>803</v>
      </c>
      <c r="F17" s="192"/>
      <c r="G17" s="118">
        <f>[3]ATI_BAX!$FY$48</f>
        <v>0</v>
      </c>
      <c r="H17" s="161">
        <f>[3]IFL!$FY$48</f>
        <v>0</v>
      </c>
      <c r="I17" s="118">
        <f>'[3]Suburban Air Freight'!$FY$48</f>
        <v>0</v>
      </c>
      <c r="J17" s="535"/>
      <c r="K17" s="118">
        <f>'[3]CSA Air'!$FY$48</f>
        <v>0</v>
      </c>
      <c r="L17" s="118">
        <f>'[3]Mountain Cargo'!$FY$48</f>
        <v>0</v>
      </c>
      <c r="M17" s="118">
        <f>'[3]Misc Cargo'!$FY$48</f>
        <v>0</v>
      </c>
      <c r="N17" s="204">
        <f>SUM(B17:I17)+SUM(K17:M17)</f>
        <v>803</v>
      </c>
    </row>
    <row r="18" spans="1:15" ht="18" customHeight="1" x14ac:dyDescent="0.2">
      <c r="A18" s="219" t="s">
        <v>39</v>
      </c>
      <c r="B18" s="302">
        <f>SUM(B16:B17)</f>
        <v>856771</v>
      </c>
      <c r="C18" s="302">
        <f>SUM(C16:C17)</f>
        <v>1877340</v>
      </c>
      <c r="D18" s="302">
        <f>SUM(D16:D17)</f>
        <v>8640852</v>
      </c>
      <c r="E18" s="302">
        <f>SUM(E16:E17)</f>
        <v>6942897</v>
      </c>
      <c r="F18" s="197"/>
      <c r="G18" s="303">
        <f>SUM(G16:G17)</f>
        <v>0</v>
      </c>
      <c r="H18" s="302">
        <f>SUM(H16:H17)</f>
        <v>9310</v>
      </c>
      <c r="I18" s="303">
        <f>SUM(I16:I17)</f>
        <v>0</v>
      </c>
      <c r="J18" s="535"/>
      <c r="K18" s="303">
        <f>SUM(K16:K17)</f>
        <v>0</v>
      </c>
      <c r="L18" s="303">
        <f>SUM(L16:L17)</f>
        <v>185171</v>
      </c>
      <c r="M18" s="303">
        <f>SUM(M16:M17)</f>
        <v>58064</v>
      </c>
      <c r="N18" s="220">
        <f>SUM(B18:I18)+SUM(K18:M18)</f>
        <v>18570405</v>
      </c>
      <c r="O18" s="7"/>
    </row>
    <row r="19" spans="1:15" x14ac:dyDescent="0.2">
      <c r="A19" s="53"/>
      <c r="B19" s="161"/>
      <c r="C19" s="161"/>
      <c r="D19" s="161"/>
      <c r="E19" s="161"/>
      <c r="F19" s="192"/>
      <c r="G19" s="118"/>
      <c r="H19" s="161"/>
      <c r="I19" s="118"/>
      <c r="J19" s="535"/>
      <c r="K19" s="118"/>
      <c r="L19" s="118"/>
      <c r="M19" s="118"/>
      <c r="N19" s="204"/>
    </row>
    <row r="20" spans="1:15" x14ac:dyDescent="0.2">
      <c r="A20" s="221" t="s">
        <v>89</v>
      </c>
      <c r="B20" s="161"/>
      <c r="C20" s="161"/>
      <c r="D20" s="161"/>
      <c r="E20" s="161"/>
      <c r="F20" s="192"/>
      <c r="G20" s="118"/>
      <c r="H20" s="161"/>
      <c r="I20" s="118"/>
      <c r="J20" s="535"/>
      <c r="K20" s="118"/>
      <c r="L20" s="118"/>
      <c r="M20" s="118"/>
      <c r="N20" s="204"/>
    </row>
    <row r="21" spans="1:15" x14ac:dyDescent="0.2">
      <c r="A21" s="53" t="s">
        <v>59</v>
      </c>
      <c r="B21" s="161">
        <f>[3]DHL!$FY$52</f>
        <v>507032</v>
      </c>
      <c r="C21" s="161">
        <f>'[3]Atlas Air'!$FY$52</f>
        <v>661754</v>
      </c>
      <c r="D21" s="161">
        <f>[3]FedEx!$FY$52</f>
        <v>8131590</v>
      </c>
      <c r="E21" s="161">
        <f>[3]UPS!$FY$52</f>
        <v>5644821</v>
      </c>
      <c r="F21" s="192"/>
      <c r="G21" s="118">
        <f>[3]ATI_BAX!$FY$52</f>
        <v>0</v>
      </c>
      <c r="H21" s="161">
        <f>[3]IFL!$FY$52</f>
        <v>0</v>
      </c>
      <c r="I21" s="118">
        <f>'[3]Suburban Air Freight'!$FY$52</f>
        <v>0</v>
      </c>
      <c r="J21" s="535"/>
      <c r="K21" s="118">
        <f>'[3]CSA Air'!$FY$52</f>
        <v>19270</v>
      </c>
      <c r="L21" s="118">
        <f>'[3]Mountain Cargo'!$FY$52</f>
        <v>102506</v>
      </c>
      <c r="M21" s="118">
        <f>'[3]Misc Cargo'!$FY$52</f>
        <v>37321</v>
      </c>
      <c r="N21" s="204">
        <f>SUM(B21:I21)+SUM(K21:M21)</f>
        <v>15104294</v>
      </c>
    </row>
    <row r="22" spans="1:15" x14ac:dyDescent="0.2">
      <c r="A22" s="53" t="s">
        <v>60</v>
      </c>
      <c r="B22" s="161">
        <f>[3]DHL!$FY$53</f>
        <v>0</v>
      </c>
      <c r="C22" s="161">
        <f>'[3]Atlas Air'!$FY$53</f>
        <v>0</v>
      </c>
      <c r="D22" s="161">
        <f>[3]FedEx!$FY$53</f>
        <v>0</v>
      </c>
      <c r="E22" s="161">
        <f>[3]UPS!$FY$53</f>
        <v>77598</v>
      </c>
      <c r="F22" s="192"/>
      <c r="G22" s="118">
        <f>[3]ATI_BAX!$FY$53</f>
        <v>0</v>
      </c>
      <c r="H22" s="161">
        <f>[3]IFL!$FY$53</f>
        <v>0</v>
      </c>
      <c r="I22" s="118">
        <f>'[3]Suburban Air Freight'!$FY$53</f>
        <v>0</v>
      </c>
      <c r="J22" s="535"/>
      <c r="K22" s="118">
        <f>'[3]CSA Air'!$FY$53</f>
        <v>0</v>
      </c>
      <c r="L22" s="118">
        <f>'[3]Mountain Cargo'!$FY$53</f>
        <v>0</v>
      </c>
      <c r="M22" s="118">
        <f>'[3]Misc Cargo'!$FY$53</f>
        <v>0</v>
      </c>
      <c r="N22" s="204">
        <f>SUM(B22:I22)+SUM(K22:M22)</f>
        <v>77598</v>
      </c>
    </row>
    <row r="23" spans="1:15" ht="18" customHeight="1" x14ac:dyDescent="0.2">
      <c r="A23" s="219" t="s">
        <v>41</v>
      </c>
      <c r="B23" s="302">
        <f>SUM(B21:B22)</f>
        <v>507032</v>
      </c>
      <c r="C23" s="302">
        <f>SUM(C21:C22)</f>
        <v>661754</v>
      </c>
      <c r="D23" s="302">
        <f>SUM(D21:D22)</f>
        <v>8131590</v>
      </c>
      <c r="E23" s="302">
        <f>SUM(E21:E22)</f>
        <v>5722419</v>
      </c>
      <c r="F23" s="197"/>
      <c r="G23" s="303">
        <f>SUM(G21:G22)</f>
        <v>0</v>
      </c>
      <c r="H23" s="302">
        <f>SUM(H21:H22)</f>
        <v>0</v>
      </c>
      <c r="I23" s="303">
        <f>SUM(I21:I22)</f>
        <v>0</v>
      </c>
      <c r="J23" s="535"/>
      <c r="K23" s="303">
        <f>SUM(K21:K22)</f>
        <v>19270</v>
      </c>
      <c r="L23" s="303">
        <f>SUM(L21:L22)</f>
        <v>102506</v>
      </c>
      <c r="M23" s="303">
        <f>SUM(M21:M22)</f>
        <v>37321</v>
      </c>
      <c r="N23" s="220">
        <f>SUM(B23:I23)+SUM(K23:M23)</f>
        <v>15181892</v>
      </c>
    </row>
    <row r="24" spans="1:15" x14ac:dyDescent="0.2">
      <c r="A24" s="53"/>
      <c r="B24" s="161"/>
      <c r="C24" s="161"/>
      <c r="D24" s="161"/>
      <c r="E24" s="161"/>
      <c r="F24" s="192"/>
      <c r="G24" s="118"/>
      <c r="H24" s="161"/>
      <c r="I24" s="118"/>
      <c r="J24" s="535"/>
      <c r="K24" s="118"/>
      <c r="L24" s="118"/>
      <c r="M24" s="118"/>
      <c r="N24" s="204"/>
    </row>
    <row r="25" spans="1:15" x14ac:dyDescent="0.2">
      <c r="A25" s="221" t="s">
        <v>97</v>
      </c>
      <c r="B25" s="161"/>
      <c r="C25" s="161"/>
      <c r="D25" s="161"/>
      <c r="E25" s="161"/>
      <c r="F25" s="192"/>
      <c r="G25" s="118"/>
      <c r="H25" s="161"/>
      <c r="I25" s="118"/>
      <c r="J25" s="535"/>
      <c r="K25" s="118"/>
      <c r="L25" s="118"/>
      <c r="M25" s="118"/>
      <c r="N25" s="204"/>
    </row>
    <row r="26" spans="1:15" x14ac:dyDescent="0.2">
      <c r="A26" s="53" t="s">
        <v>59</v>
      </c>
      <c r="B26" s="161">
        <f>[3]DHL!$FY$57</f>
        <v>0</v>
      </c>
      <c r="C26" s="161">
        <f>'[3]Atlas Air'!$FY$57</f>
        <v>0</v>
      </c>
      <c r="D26" s="161">
        <f>[3]FedEx!$FY$57</f>
        <v>0</v>
      </c>
      <c r="E26" s="161">
        <f>[3]UPS!$FY$57</f>
        <v>0</v>
      </c>
      <c r="F26" s="192"/>
      <c r="G26" s="118">
        <f>[3]ATI_BAX!$FY$57</f>
        <v>0</v>
      </c>
      <c r="H26" s="161">
        <f>[3]IFL!$FY$57</f>
        <v>0</v>
      </c>
      <c r="I26" s="118">
        <f>'[3]Suburban Air Freight'!$FY$57</f>
        <v>0</v>
      </c>
      <c r="J26" s="535"/>
      <c r="K26" s="118">
        <f>'[3]CSA Air'!$FY$57</f>
        <v>0</v>
      </c>
      <c r="L26" s="118">
        <f>'[3]Mountain Cargo'!$FY$57</f>
        <v>0</v>
      </c>
      <c r="M26" s="118">
        <f>'[3]Misc Cargo'!$FY$57</f>
        <v>0</v>
      </c>
      <c r="N26" s="204">
        <f>SUM(B26:I26)+SUM(K26:M26)</f>
        <v>0</v>
      </c>
    </row>
    <row r="27" spans="1:15" x14ac:dyDescent="0.2">
      <c r="A27" s="53" t="s">
        <v>60</v>
      </c>
      <c r="B27" s="161">
        <f>[3]DHL!$FY$58</f>
        <v>0</v>
      </c>
      <c r="C27" s="161">
        <f>'[3]Atlas Air'!$FY$58</f>
        <v>0</v>
      </c>
      <c r="D27" s="161">
        <f>[3]FedEx!$FY$58</f>
        <v>0</v>
      </c>
      <c r="E27" s="161">
        <f>[3]UPS!$FY$58</f>
        <v>0</v>
      </c>
      <c r="F27" s="192"/>
      <c r="G27" s="118">
        <f>[3]ATI_BAX!$FY$58</f>
        <v>0</v>
      </c>
      <c r="H27" s="161">
        <f>[3]IFL!$FY$58</f>
        <v>0</v>
      </c>
      <c r="I27" s="118">
        <f>'[3]Suburban Air Freight'!$FY$58</f>
        <v>0</v>
      </c>
      <c r="J27" s="535"/>
      <c r="K27" s="118">
        <f>'[3]CSA Air'!$FY$58</f>
        <v>0</v>
      </c>
      <c r="L27" s="118">
        <f>'[3]Mountain Cargo'!$FY$58</f>
        <v>0</v>
      </c>
      <c r="M27" s="118">
        <f>'[3]Misc Cargo'!$FY$58</f>
        <v>0</v>
      </c>
      <c r="N27" s="204">
        <f>SUM(B27:I27)+SUM(K27:M27)</f>
        <v>0</v>
      </c>
    </row>
    <row r="28" spans="1:15" ht="18" customHeight="1" x14ac:dyDescent="0.2">
      <c r="A28" s="219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302">
        <f>SUM(E26:E27)</f>
        <v>0</v>
      </c>
      <c r="F28" s="197"/>
      <c r="G28" s="303">
        <f>SUM(G26:G27)</f>
        <v>0</v>
      </c>
      <c r="H28" s="302">
        <f>SUM(H26:H27)</f>
        <v>0</v>
      </c>
      <c r="I28" s="303">
        <f>SUM(I26:I27)</f>
        <v>0</v>
      </c>
      <c r="J28" s="535"/>
      <c r="K28" s="303">
        <f>SUM(K26:K27)</f>
        <v>0</v>
      </c>
      <c r="L28" s="303">
        <f>SUM(L26:L27)</f>
        <v>0</v>
      </c>
      <c r="M28" s="303">
        <f>SUM(M26:M27)</f>
        <v>0</v>
      </c>
      <c r="N28" s="220">
        <f>SUM(B28:I28)+SUM(K28:M28)</f>
        <v>0</v>
      </c>
    </row>
    <row r="29" spans="1:15" x14ac:dyDescent="0.2">
      <c r="A29" s="53"/>
      <c r="B29" s="161"/>
      <c r="C29" s="161"/>
      <c r="D29" s="161"/>
      <c r="E29" s="161"/>
      <c r="F29" s="192"/>
      <c r="G29" s="118"/>
      <c r="H29" s="161"/>
      <c r="I29" s="118"/>
      <c r="J29" s="535"/>
      <c r="K29" s="118"/>
      <c r="L29" s="118"/>
      <c r="M29" s="118"/>
      <c r="N29" s="204"/>
    </row>
    <row r="30" spans="1:15" x14ac:dyDescent="0.2">
      <c r="A30" s="222" t="s">
        <v>44</v>
      </c>
      <c r="B30" s="161"/>
      <c r="C30" s="161"/>
      <c r="D30" s="161"/>
      <c r="E30" s="161"/>
      <c r="F30" s="192"/>
      <c r="G30" s="118"/>
      <c r="H30" s="161"/>
      <c r="I30" s="118"/>
      <c r="J30" s="535"/>
      <c r="K30" s="118"/>
      <c r="L30" s="118"/>
      <c r="M30" s="118"/>
      <c r="N30" s="204"/>
    </row>
    <row r="31" spans="1:15" x14ac:dyDescent="0.2">
      <c r="A31" s="53" t="s">
        <v>90</v>
      </c>
      <c r="B31" s="161">
        <f t="shared" ref="B31:E33" si="3">B26+B21+B16</f>
        <v>1363803</v>
      </c>
      <c r="C31" s="161">
        <f t="shared" ref="C31" si="4">C26+C21+C16</f>
        <v>2539094</v>
      </c>
      <c r="D31" s="161">
        <f t="shared" si="3"/>
        <v>16772442</v>
      </c>
      <c r="E31" s="161">
        <f t="shared" si="3"/>
        <v>12586915</v>
      </c>
      <c r="F31" s="192"/>
      <c r="G31" s="118">
        <f t="shared" ref="G31:I33" si="5">G26+G21+G16</f>
        <v>0</v>
      </c>
      <c r="H31" s="161">
        <f t="shared" si="5"/>
        <v>9310</v>
      </c>
      <c r="I31" s="118">
        <f t="shared" si="5"/>
        <v>0</v>
      </c>
      <c r="J31" s="535"/>
      <c r="K31" s="118">
        <f t="shared" ref="K31:M33" si="6">K26+K21+K16</f>
        <v>19270</v>
      </c>
      <c r="L31" s="118">
        <f t="shared" si="6"/>
        <v>287677</v>
      </c>
      <c r="M31" s="118">
        <f>M26+M21+M16</f>
        <v>95385</v>
      </c>
      <c r="N31" s="204">
        <f>SUM(B31:I31)+SUM(K31:M31)</f>
        <v>33673896</v>
      </c>
    </row>
    <row r="32" spans="1:15" x14ac:dyDescent="0.2">
      <c r="A32" s="53" t="s">
        <v>60</v>
      </c>
      <c r="B32" s="161">
        <f t="shared" si="3"/>
        <v>0</v>
      </c>
      <c r="C32" s="161">
        <f t="shared" ref="C32" si="7">C27+C22+C17</f>
        <v>0</v>
      </c>
      <c r="D32" s="161">
        <f t="shared" si="3"/>
        <v>0</v>
      </c>
      <c r="E32" s="161">
        <f t="shared" si="3"/>
        <v>78401</v>
      </c>
      <c r="F32" s="192"/>
      <c r="G32" s="118">
        <f t="shared" si="5"/>
        <v>0</v>
      </c>
      <c r="H32" s="161">
        <f t="shared" si="5"/>
        <v>0</v>
      </c>
      <c r="I32" s="118">
        <f t="shared" si="5"/>
        <v>0</v>
      </c>
      <c r="J32" s="536"/>
      <c r="K32" s="118">
        <f t="shared" si="6"/>
        <v>0</v>
      </c>
      <c r="L32" s="118">
        <f t="shared" si="6"/>
        <v>0</v>
      </c>
      <c r="M32" s="118">
        <f>M27+M22+M17</f>
        <v>0</v>
      </c>
      <c r="N32" s="208">
        <f>SUM(B32:I32)+SUM(K32:M32)</f>
        <v>78401</v>
      </c>
    </row>
    <row r="33" spans="1:14" ht="18" customHeight="1" thickBot="1" x14ac:dyDescent="0.25">
      <c r="A33" s="209" t="s">
        <v>46</v>
      </c>
      <c r="B33" s="210">
        <f t="shared" si="3"/>
        <v>1363803</v>
      </c>
      <c r="C33" s="210">
        <f t="shared" ref="C33" si="8">C28+C23+C18</f>
        <v>2539094</v>
      </c>
      <c r="D33" s="210">
        <f t="shared" si="3"/>
        <v>16772442</v>
      </c>
      <c r="E33" s="210">
        <f t="shared" si="3"/>
        <v>12665316</v>
      </c>
      <c r="F33" s="223"/>
      <c r="G33" s="212">
        <f t="shared" si="5"/>
        <v>0</v>
      </c>
      <c r="H33" s="210">
        <f t="shared" si="5"/>
        <v>9310</v>
      </c>
      <c r="I33" s="212">
        <f t="shared" si="5"/>
        <v>0</v>
      </c>
      <c r="J33" s="304">
        <f>J28+J23+J18</f>
        <v>0</v>
      </c>
      <c r="K33" s="212">
        <f t="shared" si="6"/>
        <v>19270</v>
      </c>
      <c r="L33" s="212">
        <f t="shared" si="6"/>
        <v>287677</v>
      </c>
      <c r="M33" s="212">
        <f t="shared" si="6"/>
        <v>95385</v>
      </c>
      <c r="N33" s="213">
        <f>SUM(B33:I33)+SUM(K33:M33)</f>
        <v>33752297</v>
      </c>
    </row>
    <row r="34" spans="1:14" x14ac:dyDescent="0.2">
      <c r="B34" s="2"/>
      <c r="C34" s="2"/>
      <c r="D34" s="2"/>
      <c r="E34" s="2"/>
      <c r="F34" s="2"/>
      <c r="G34" s="2"/>
      <c r="H34" s="2"/>
      <c r="I34" s="2"/>
      <c r="J34" s="2"/>
      <c r="L34" s="2"/>
      <c r="M34" s="2"/>
      <c r="N34" s="2"/>
    </row>
    <row r="35" spans="1:14" x14ac:dyDescent="0.2">
      <c r="A35" t="s">
        <v>91</v>
      </c>
      <c r="B35" s="2"/>
      <c r="C35" s="2"/>
      <c r="D35" s="2"/>
      <c r="E35" s="2"/>
      <c r="F35" s="2"/>
    </row>
    <row r="36" spans="1:14" x14ac:dyDescent="0.2">
      <c r="A36" t="s">
        <v>92</v>
      </c>
    </row>
    <row r="37" spans="1:14" x14ac:dyDescent="0.2">
      <c r="A37" t="s">
        <v>93</v>
      </c>
    </row>
    <row r="43" spans="1:14" ht="15" x14ac:dyDescent="0.25">
      <c r="J43" s="190"/>
    </row>
  </sheetData>
  <mergeCells count="3">
    <mergeCell ref="J16:J32"/>
    <mergeCell ref="B1:E1"/>
    <mergeCell ref="G1:M1"/>
  </mergeCells>
  <phoneticPr fontId="6" type="noConversion"/>
  <pageMargins left="0.75" right="0.75" top="1" bottom="1" header="0.5" footer="0.5"/>
  <pageSetup scale="78" orientation="landscape" r:id="rId1"/>
  <headerFooter alignWithMargins="0">
    <oddHeader>&amp;L
Schedule 7
&amp;CMinneapolis-St. Paul International Airport
&amp;"Arial,Bold"Cargo
December 2018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J5" sqref="J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78">
        <v>43435</v>
      </c>
      <c r="B2" s="77" t="s">
        <v>63</v>
      </c>
      <c r="C2" s="77" t="s">
        <v>64</v>
      </c>
      <c r="D2" s="77" t="s">
        <v>65</v>
      </c>
      <c r="E2" s="316" t="s">
        <v>75</v>
      </c>
      <c r="F2" s="78" t="s">
        <v>225</v>
      </c>
      <c r="G2" s="78" t="s">
        <v>191</v>
      </c>
      <c r="H2" s="79" t="s">
        <v>66</v>
      </c>
      <c r="I2" s="80" t="s">
        <v>212</v>
      </c>
      <c r="J2" s="80" t="s">
        <v>189</v>
      </c>
      <c r="K2" s="90" t="s">
        <v>2</v>
      </c>
    </row>
    <row r="3" spans="1:18" ht="20.25" customHeight="1" x14ac:dyDescent="0.2">
      <c r="A3" s="87" t="s">
        <v>67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69</v>
      </c>
      <c r="B5" s="169">
        <f>'Major Airline Stats'!K28</f>
        <v>4348666</v>
      </c>
      <c r="C5" s="118">
        <f>'Regional Major'!M25</f>
        <v>3398</v>
      </c>
      <c r="D5" s="118">
        <f>Cargo!N16</f>
        <v>18569602</v>
      </c>
      <c r="E5" s="118">
        <f>SUM(B5:D5)</f>
        <v>22921666</v>
      </c>
      <c r="F5" s="118">
        <f>E5*0.00045359237</f>
        <v>10397.092805288419</v>
      </c>
      <c r="G5" s="146">
        <f>'[1]Cargo Summary'!F5</f>
        <v>10158.32631764412</v>
      </c>
      <c r="H5" s="98">
        <f>(F5-G5)/G5</f>
        <v>2.3504510504804631E-2</v>
      </c>
      <c r="I5" s="146">
        <f>+F5+'[2]Cargo Summary'!I5</f>
        <v>120192.30927504107</v>
      </c>
      <c r="J5" s="146">
        <f>'[1]Cargo Summary'!I5</f>
        <v>110337.88213422667</v>
      </c>
      <c r="K5" s="85">
        <f>(I5-J5)/J5</f>
        <v>8.9311367503197403E-2</v>
      </c>
      <c r="M5" s="35"/>
    </row>
    <row r="6" spans="1:18" x14ac:dyDescent="0.2">
      <c r="A6" s="62" t="s">
        <v>16</v>
      </c>
      <c r="B6" s="169">
        <f>'Major Airline Stats'!K29</f>
        <v>1996564</v>
      </c>
      <c r="C6" s="118">
        <f>'Regional Major'!M26</f>
        <v>0</v>
      </c>
      <c r="D6" s="118">
        <f>Cargo!N17</f>
        <v>803</v>
      </c>
      <c r="E6" s="118">
        <f>SUM(B6:D6)</f>
        <v>1997367</v>
      </c>
      <c r="F6" s="118">
        <f>E6*0.00045359237</f>
        <v>905.99043128978997</v>
      </c>
      <c r="G6" s="146">
        <f>'[1]Cargo Summary'!F6</f>
        <v>1247.91198853475</v>
      </c>
      <c r="H6" s="37">
        <f>(F6-G6)/G6</f>
        <v>-0.27399492943923959</v>
      </c>
      <c r="I6" s="146">
        <f>+F6+'[2]Cargo Summary'!I6</f>
        <v>10382.277117707112</v>
      </c>
      <c r="J6" s="146">
        <f>'[1]Cargo Summary'!I6</f>
        <v>11228.730375287809</v>
      </c>
      <c r="K6" s="85">
        <f>(I6-J6)/J6</f>
        <v>-7.5382810815688608E-2</v>
      </c>
      <c r="M6" s="35"/>
    </row>
    <row r="7" spans="1:18" ht="18" customHeight="1" thickBot="1" x14ac:dyDescent="0.25">
      <c r="A7" s="73" t="s">
        <v>72</v>
      </c>
      <c r="B7" s="171">
        <f>SUM(B5:B6)</f>
        <v>6345230</v>
      </c>
      <c r="C7" s="133">
        <f t="shared" ref="C7:J7" si="0">SUM(C5:C6)</f>
        <v>3398</v>
      </c>
      <c r="D7" s="133">
        <f t="shared" si="0"/>
        <v>18570405</v>
      </c>
      <c r="E7" s="133">
        <f t="shared" si="0"/>
        <v>24919033</v>
      </c>
      <c r="F7" s="133">
        <f t="shared" si="0"/>
        <v>11303.08323657821</v>
      </c>
      <c r="G7" s="133">
        <f t="shared" si="0"/>
        <v>11406.23830617887</v>
      </c>
      <c r="H7" s="44">
        <f>(F7-G7)/G7</f>
        <v>-9.0437414011225476E-3</v>
      </c>
      <c r="I7" s="133">
        <f t="shared" si="0"/>
        <v>130574.58639274818</v>
      </c>
      <c r="J7" s="133">
        <f t="shared" si="0"/>
        <v>121566.61250951448</v>
      </c>
      <c r="K7" s="318">
        <f>(I7-J7)/J7</f>
        <v>7.409907784120158E-2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70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69</v>
      </c>
      <c r="B10" s="169">
        <f>'Major Airline Stats'!K33</f>
        <v>2465687</v>
      </c>
      <c r="C10" s="118">
        <f>'Regional Major'!M30</f>
        <v>517</v>
      </c>
      <c r="D10" s="118">
        <f>Cargo!N21</f>
        <v>15104294</v>
      </c>
      <c r="E10" s="118">
        <f>SUM(B10:D10)</f>
        <v>17570498</v>
      </c>
      <c r="F10" s="118">
        <f>E10*0.00045359237</f>
        <v>7969.8438299002601</v>
      </c>
      <c r="G10" s="146">
        <f>'[1]Cargo Summary'!F10</f>
        <v>8640.4152852363495</v>
      </c>
      <c r="H10" s="37">
        <f>(F10-G10)/G10</f>
        <v>-7.7608706665046212E-2</v>
      </c>
      <c r="I10" s="146">
        <f>+F10+'[2]Cargo Summary'!I10</f>
        <v>93991.19012315647</v>
      </c>
      <c r="J10" s="146">
        <f>'[1]Cargo Summary'!I10</f>
        <v>93518.841708656968</v>
      </c>
      <c r="K10" s="85">
        <f>(I10-J10)/J10</f>
        <v>5.0508368781023612E-3</v>
      </c>
      <c r="M10" s="35"/>
    </row>
    <row r="11" spans="1:18" x14ac:dyDescent="0.2">
      <c r="A11" s="62" t="s">
        <v>16</v>
      </c>
      <c r="B11" s="169">
        <f>'Major Airline Stats'!K34</f>
        <v>2627691</v>
      </c>
      <c r="C11" s="118">
        <f>'Regional Major'!M31</f>
        <v>5288</v>
      </c>
      <c r="D11" s="118">
        <f>Cargo!N22</f>
        <v>77598</v>
      </c>
      <c r="E11" s="118">
        <f>SUM(B11:D11)</f>
        <v>2710577</v>
      </c>
      <c r="F11" s="118">
        <f>E11*0.00045359237</f>
        <v>1229.49704549749</v>
      </c>
      <c r="G11" s="146">
        <f>'[1]Cargo Summary'!F11</f>
        <v>1397.17109380695</v>
      </c>
      <c r="H11" s="35">
        <f>(F11-G11)/G11</f>
        <v>-0.12000967458651692</v>
      </c>
      <c r="I11" s="146">
        <f>+F11+'[2]Cargo Summary'!I11</f>
        <v>14980.088053485169</v>
      </c>
      <c r="J11" s="146">
        <f>'[1]Cargo Summary'!I11</f>
        <v>14354.899421952319</v>
      </c>
      <c r="K11" s="85">
        <f>(I11-J11)/J11</f>
        <v>4.3552282266553298E-2</v>
      </c>
      <c r="M11" s="35"/>
    </row>
    <row r="12" spans="1:18" ht="18" customHeight="1" thickBot="1" x14ac:dyDescent="0.25">
      <c r="A12" s="73" t="s">
        <v>73</v>
      </c>
      <c r="B12" s="171">
        <f>SUM(B10:B11)</f>
        <v>5093378</v>
      </c>
      <c r="C12" s="133">
        <f t="shared" ref="C12:J12" si="1">SUM(C10:C11)</f>
        <v>5805</v>
      </c>
      <c r="D12" s="133">
        <f t="shared" si="1"/>
        <v>15181892</v>
      </c>
      <c r="E12" s="133">
        <f t="shared" si="1"/>
        <v>20281075</v>
      </c>
      <c r="F12" s="133">
        <f t="shared" si="1"/>
        <v>9199.3408753977492</v>
      </c>
      <c r="G12" s="133">
        <f t="shared" si="1"/>
        <v>10037.5863790433</v>
      </c>
      <c r="H12" s="44">
        <f>(F12-G12)/G12</f>
        <v>-8.3510664017363609E-2</v>
      </c>
      <c r="I12" s="133">
        <f t="shared" si="1"/>
        <v>108971.27817664164</v>
      </c>
      <c r="J12" s="133">
        <f t="shared" si="1"/>
        <v>107873.74113060928</v>
      </c>
      <c r="K12" s="318">
        <f>(I12-J12)/J12</f>
        <v>1.0174274429803138E-2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71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69</v>
      </c>
      <c r="B15" s="169">
        <f>'Major Airline Stats'!K38</f>
        <v>0</v>
      </c>
      <c r="C15" s="118">
        <f>'Regional Major'!M35</f>
        <v>0</v>
      </c>
      <c r="D15" s="118">
        <f>Cargo!N26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22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16</v>
      </c>
      <c r="B16" s="169">
        <f>'Major Airline Stats'!K39</f>
        <v>0</v>
      </c>
      <c r="C16" s="118">
        <f>'Regional Major'!M36</f>
        <v>0</v>
      </c>
      <c r="D16" s="118">
        <f>Cargo!N27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14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69</v>
      </c>
      <c r="B20" s="169">
        <f t="shared" ref="B20:D21" si="3">B15+B10+B5</f>
        <v>6814353</v>
      </c>
      <c r="C20" s="118">
        <f t="shared" si="3"/>
        <v>3915</v>
      </c>
      <c r="D20" s="118">
        <f t="shared" si="3"/>
        <v>33673896</v>
      </c>
      <c r="E20" s="118">
        <f>SUM(B20:D20)</f>
        <v>40492164</v>
      </c>
      <c r="F20" s="118">
        <f>E20*0.00045359237</f>
        <v>18366.936635188678</v>
      </c>
      <c r="G20" s="146">
        <f>'[1]Cargo Summary'!F20</f>
        <v>18798.741602880469</v>
      </c>
      <c r="H20" s="37">
        <f>(F20-G20)/G20</f>
        <v>-2.2969886858045154E-2</v>
      </c>
      <c r="I20" s="146">
        <f>+F20+'[2]Cargo Summary'!I20</f>
        <v>214183.49939819757</v>
      </c>
      <c r="J20" s="146">
        <f>+J5+J10+J15</f>
        <v>203856.72384288366</v>
      </c>
      <c r="K20" s="85">
        <f>(I20-J20)/J20</f>
        <v>5.0657026958173632E-2</v>
      </c>
      <c r="M20" s="35"/>
    </row>
    <row r="21" spans="1:13" x14ac:dyDescent="0.2">
      <c r="A21" s="62" t="s">
        <v>16</v>
      </c>
      <c r="B21" s="169">
        <f t="shared" si="3"/>
        <v>4624255</v>
      </c>
      <c r="C21" s="120">
        <f t="shared" si="3"/>
        <v>5288</v>
      </c>
      <c r="D21" s="120">
        <f t="shared" si="3"/>
        <v>78401</v>
      </c>
      <c r="E21" s="118">
        <f>SUM(B21:D21)</f>
        <v>4707944</v>
      </c>
      <c r="F21" s="118">
        <f>E21*0.00045359237</f>
        <v>2135.4874767872798</v>
      </c>
      <c r="G21" s="146">
        <f>'[1]Cargo Summary'!F21</f>
        <v>2645.0830823417</v>
      </c>
      <c r="H21" s="37">
        <f>(F21-G21)/G21</f>
        <v>-0.19265769342234562</v>
      </c>
      <c r="I21" s="146">
        <f>+F21+'[2]Cargo Summary'!I21</f>
        <v>25362.365171192276</v>
      </c>
      <c r="J21" s="146">
        <f>+J6+J11+J16</f>
        <v>25583.62979724013</v>
      </c>
      <c r="K21" s="85">
        <f>(I21-J21)/J21</f>
        <v>-8.6486799489149634E-3</v>
      </c>
      <c r="M21" s="35"/>
    </row>
    <row r="22" spans="1:13" ht="18" customHeight="1" thickBot="1" x14ac:dyDescent="0.25">
      <c r="A22" s="88" t="s">
        <v>62</v>
      </c>
      <c r="B22" s="172">
        <f>SUM(B20:B21)</f>
        <v>11438608</v>
      </c>
      <c r="C22" s="173">
        <f t="shared" ref="C22:J22" si="4">SUM(C20:C21)</f>
        <v>9203</v>
      </c>
      <c r="D22" s="173">
        <f t="shared" si="4"/>
        <v>33752297</v>
      </c>
      <c r="E22" s="173">
        <f t="shared" si="4"/>
        <v>45200108</v>
      </c>
      <c r="F22" s="173">
        <f t="shared" si="4"/>
        <v>20502.424111975957</v>
      </c>
      <c r="G22" s="173">
        <f t="shared" si="4"/>
        <v>21443.824685222171</v>
      </c>
      <c r="H22" s="324">
        <f>(F22-G22)/G22</f>
        <v>-4.3900777359692368E-2</v>
      </c>
      <c r="I22" s="173">
        <f t="shared" si="4"/>
        <v>239545.86456938984</v>
      </c>
      <c r="J22" s="173">
        <f t="shared" si="4"/>
        <v>229440.35364012379</v>
      </c>
      <c r="K22" s="325">
        <f>(I22-J22)/J22</f>
        <v>4.4044174309095165E-2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December 2018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3"/>
  <sheetViews>
    <sheetView zoomScaleNormal="100" workbookViewId="0">
      <selection activeCell="F23" sqref="F23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5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2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1"/>
      <c r="K1" s="11"/>
    </row>
    <row r="2" spans="1:19" s="224" customFormat="1" ht="26.25" thickBot="1" x14ac:dyDescent="0.25">
      <c r="A2" s="547" t="s">
        <v>206</v>
      </c>
      <c r="B2" s="548"/>
      <c r="C2" s="459" t="s">
        <v>217</v>
      </c>
      <c r="D2" s="461" t="s">
        <v>192</v>
      </c>
      <c r="E2" s="462" t="s">
        <v>98</v>
      </c>
      <c r="F2" s="463" t="s">
        <v>218</v>
      </c>
      <c r="G2" s="461" t="s">
        <v>193</v>
      </c>
      <c r="H2" s="460" t="s">
        <v>99</v>
      </c>
      <c r="I2" s="462" t="s">
        <v>140</v>
      </c>
      <c r="J2" s="547" t="s">
        <v>201</v>
      </c>
      <c r="K2" s="548"/>
      <c r="L2" s="459" t="s">
        <v>219</v>
      </c>
      <c r="M2" s="461" t="s">
        <v>194</v>
      </c>
      <c r="N2" s="464" t="s">
        <v>99</v>
      </c>
      <c r="O2" s="465" t="s">
        <v>220</v>
      </c>
      <c r="P2" s="465" t="s">
        <v>195</v>
      </c>
      <c r="Q2" s="498" t="s">
        <v>99</v>
      </c>
      <c r="R2" s="462" t="s">
        <v>224</v>
      </c>
    </row>
    <row r="3" spans="1:19" s="224" customFormat="1" ht="13.5" customHeight="1" thickBot="1" x14ac:dyDescent="0.25">
      <c r="A3" s="549">
        <v>43435</v>
      </c>
      <c r="B3" s="550"/>
      <c r="C3" s="551" t="s">
        <v>9</v>
      </c>
      <c r="D3" s="552"/>
      <c r="E3" s="552"/>
      <c r="F3" s="552"/>
      <c r="G3" s="552"/>
      <c r="H3" s="553"/>
      <c r="I3" s="466"/>
      <c r="J3" s="549">
        <f>+A3</f>
        <v>43435</v>
      </c>
      <c r="K3" s="550"/>
      <c r="L3" s="541" t="s">
        <v>202</v>
      </c>
      <c r="M3" s="542"/>
      <c r="N3" s="542"/>
      <c r="O3" s="542"/>
      <c r="P3" s="542"/>
      <c r="Q3" s="542"/>
      <c r="R3" s="543"/>
    </row>
    <row r="4" spans="1:19" x14ac:dyDescent="0.2">
      <c r="A4" s="342"/>
      <c r="B4" s="343"/>
      <c r="C4" s="344"/>
      <c r="D4" s="345"/>
      <c r="E4" s="346"/>
      <c r="F4" s="467"/>
      <c r="G4" s="412"/>
      <c r="H4" s="484"/>
      <c r="I4" s="346"/>
      <c r="J4" s="347"/>
      <c r="K4" s="343"/>
      <c r="L4" s="493"/>
      <c r="M4" s="5"/>
      <c r="N4" s="85"/>
      <c r="O4" s="53"/>
      <c r="P4" s="11"/>
      <c r="Q4" s="11"/>
      <c r="R4" s="55"/>
    </row>
    <row r="5" spans="1:19" ht="14.1" customHeight="1" x14ac:dyDescent="0.2">
      <c r="A5" s="349" t="s">
        <v>203</v>
      </c>
      <c r="B5" s="55"/>
      <c r="C5" s="350">
        <f>+[3]DHL!$FY$12</f>
        <v>48</v>
      </c>
      <c r="D5" s="352">
        <f>+[3]DHL!$FK$12</f>
        <v>48</v>
      </c>
      <c r="E5" s="353">
        <f>(C5-D5)/D5</f>
        <v>0</v>
      </c>
      <c r="F5" s="350">
        <f>+SUM([3]DHL!$FN$19:$FY$19)</f>
        <v>508</v>
      </c>
      <c r="G5" s="352">
        <f>+SUM([3]DHL!$EZ$12:$FK$12)</f>
        <v>530</v>
      </c>
      <c r="H5" s="351">
        <f>(F5-G5)/G5</f>
        <v>-4.1509433962264149E-2</v>
      </c>
      <c r="I5" s="353">
        <f>+F5/$F$26</f>
        <v>3.2869621481721123E-2</v>
      </c>
      <c r="J5" s="349" t="s">
        <v>203</v>
      </c>
      <c r="K5" s="55"/>
      <c r="L5" s="350">
        <f>+[3]DHL!$FY$64</f>
        <v>1363803</v>
      </c>
      <c r="M5" s="352">
        <f>+[3]DHL!$FK$64</f>
        <v>1293211</v>
      </c>
      <c r="N5" s="353">
        <f>(L5-M5)/M5</f>
        <v>5.4586606516647325E-2</v>
      </c>
      <c r="O5" s="350">
        <f>+SUM([3]DHL!$FN$64:$FY$64)</f>
        <v>15514125</v>
      </c>
      <c r="P5" s="352">
        <f>+SUM([3]DHL!$EZ$64:$FK$64)</f>
        <v>15301913</v>
      </c>
      <c r="Q5" s="351">
        <f>(O5-P5)/P5</f>
        <v>1.3868331364843075E-2</v>
      </c>
      <c r="R5" s="353">
        <f>O5/$O$26</f>
        <v>4.1089137936862093E-2</v>
      </c>
      <c r="S5" s="20"/>
    </row>
    <row r="6" spans="1:19" ht="14.1" customHeight="1" x14ac:dyDescent="0.2">
      <c r="A6" s="349"/>
      <c r="B6" s="362"/>
      <c r="C6" s="350"/>
      <c r="D6" s="352"/>
      <c r="E6" s="353"/>
      <c r="F6" s="350"/>
      <c r="G6" s="352"/>
      <c r="H6" s="351"/>
      <c r="I6" s="353"/>
      <c r="J6" s="349"/>
      <c r="K6" s="55"/>
      <c r="L6" s="354"/>
      <c r="M6" s="9"/>
      <c r="N6" s="86"/>
      <c r="O6" s="354"/>
      <c r="P6" s="352"/>
      <c r="Q6" s="39"/>
      <c r="R6" s="86"/>
      <c r="S6" s="20"/>
    </row>
    <row r="7" spans="1:19" ht="14.1" customHeight="1" x14ac:dyDescent="0.2">
      <c r="A7" s="349" t="s">
        <v>232</v>
      </c>
      <c r="B7" s="362"/>
      <c r="C7" s="350">
        <f>+'[3]Atlas Air'!$FY$12</f>
        <v>60</v>
      </c>
      <c r="D7" s="352">
        <f>+'[3]Atlas Air'!$FK$12</f>
        <v>0</v>
      </c>
      <c r="E7" s="353" t="e">
        <f>(C7-D7)/D7</f>
        <v>#DIV/0!</v>
      </c>
      <c r="F7" s="350">
        <f>+SUM('[3]Atlas Air'!$FN$19:$FY$19)</f>
        <v>430</v>
      </c>
      <c r="G7" s="352">
        <f>+SUM('[3]Atlas Air'!$EZ$12:$FK$12)</f>
        <v>0</v>
      </c>
      <c r="H7" s="351" t="e">
        <f>(F7-G7)/G7</f>
        <v>#DIV/0!</v>
      </c>
      <c r="I7" s="353">
        <f>+F7/$F$26</f>
        <v>2.7822711096732448E-2</v>
      </c>
      <c r="J7" s="349" t="s">
        <v>232</v>
      </c>
      <c r="K7" s="55"/>
      <c r="L7" s="350">
        <f>+'[3]Atlas Air'!$FY$64</f>
        <v>2539094</v>
      </c>
      <c r="M7" s="352">
        <f>+'[3]Atlas Air'!$FK$64</f>
        <v>0</v>
      </c>
      <c r="N7" s="353" t="e">
        <f>(L7-M7)/M7</f>
        <v>#DIV/0!</v>
      </c>
      <c r="O7" s="350">
        <f>+SUM('[3]Atlas Air'!$FN$64:$FY$64)</f>
        <v>15002638</v>
      </c>
      <c r="P7" s="352">
        <f>+SUM('[3]Atlas Air'!$EZ$64:$FK$64)</f>
        <v>0</v>
      </c>
      <c r="Q7" s="351" t="e">
        <f>(O7-P7)/P7</f>
        <v>#DIV/0!</v>
      </c>
      <c r="R7" s="353">
        <f>O7/$O$26</f>
        <v>3.9734465346824836E-2</v>
      </c>
      <c r="S7" s="20"/>
    </row>
    <row r="8" spans="1:19" ht="14.1" customHeight="1" x14ac:dyDescent="0.2">
      <c r="A8" s="349"/>
      <c r="B8" s="362"/>
      <c r="C8" s="350"/>
      <c r="D8" s="352"/>
      <c r="E8" s="353"/>
      <c r="F8" s="350"/>
      <c r="G8" s="352"/>
      <c r="H8" s="351"/>
      <c r="I8" s="353"/>
      <c r="J8" s="349"/>
      <c r="K8" s="55"/>
      <c r="L8" s="354"/>
      <c r="M8" s="9"/>
      <c r="N8" s="86"/>
      <c r="O8" s="354"/>
      <c r="P8" s="352"/>
      <c r="Q8" s="39"/>
      <c r="R8" s="86"/>
      <c r="S8" s="20"/>
    </row>
    <row r="9" spans="1:19" ht="14.1" customHeight="1" x14ac:dyDescent="0.2">
      <c r="A9" s="349" t="s">
        <v>204</v>
      </c>
      <c r="B9" s="362"/>
      <c r="C9" s="350">
        <f>+[3]FedEx!$FY$12</f>
        <v>340</v>
      </c>
      <c r="D9" s="352">
        <f>+[3]FedEx!$FK$12</f>
        <v>302</v>
      </c>
      <c r="E9" s="353">
        <f>(C9-D9)/D9</f>
        <v>0.12582781456953643</v>
      </c>
      <c r="F9" s="350">
        <f>+SUM([3]FedEx!$FN$19:$FY$19)</f>
        <v>3078</v>
      </c>
      <c r="G9" s="352">
        <f>+SUM([3]FedEx!$EZ$12:$FK$12)</f>
        <v>2545</v>
      </c>
      <c r="H9" s="351">
        <f t="shared" ref="H9" si="0">(F9-G9)/G9</f>
        <v>0.20943025540275048</v>
      </c>
      <c r="I9" s="353">
        <f>+F9/$F$26</f>
        <v>0.19915884826916855</v>
      </c>
      <c r="J9" s="349" t="s">
        <v>204</v>
      </c>
      <c r="K9" s="55"/>
      <c r="L9" s="350">
        <f>+[3]FedEx!$FY$64</f>
        <v>16772442</v>
      </c>
      <c r="M9" s="352">
        <f>+[3]FedEx!$FK$64</f>
        <v>18016210</v>
      </c>
      <c r="N9" s="353">
        <f>(L9-M9)/M9</f>
        <v>-6.903605142258E-2</v>
      </c>
      <c r="O9" s="350">
        <f>+SUM([3]FedEx!$FN$64:$FY$64)</f>
        <v>203798706</v>
      </c>
      <c r="P9" s="352">
        <f>+SUM([3]FedEx!$EZ$64:$FK$64)</f>
        <v>203736450</v>
      </c>
      <c r="Q9" s="351">
        <f t="shared" ref="Q9" si="1">(O9-P9)/P9</f>
        <v>3.0557124167030495E-4</v>
      </c>
      <c r="R9" s="353">
        <f>O9/$O$26</f>
        <v>0.53976058219126144</v>
      </c>
      <c r="S9" s="20"/>
    </row>
    <row r="10" spans="1:19" ht="14.1" customHeight="1" x14ac:dyDescent="0.2">
      <c r="A10" s="349"/>
      <c r="B10" s="362"/>
      <c r="C10" s="350"/>
      <c r="D10" s="352"/>
      <c r="E10" s="353"/>
      <c r="F10" s="350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83</v>
      </c>
      <c r="B11" s="362"/>
      <c r="C11" s="350">
        <f>+[3]UPS!$FY$12</f>
        <v>336</v>
      </c>
      <c r="D11" s="352">
        <f>+[3]UPS!$FK$12</f>
        <v>334</v>
      </c>
      <c r="E11" s="353">
        <f>(C11-D11)/D11</f>
        <v>5.9880239520958087E-3</v>
      </c>
      <c r="F11" s="350">
        <f>+SUM([3]UPS!$FN$19:$FY$19)</f>
        <v>3070</v>
      </c>
      <c r="G11" s="352">
        <f>+SUM([3]UPS!$EZ$12:$FK$12)</f>
        <v>2436</v>
      </c>
      <c r="H11" s="351">
        <f>(F11-G11)/G11</f>
        <v>0.26026272577996717</v>
      </c>
      <c r="I11" s="353">
        <f>+F11/$F$26</f>
        <v>0.19864121643481075</v>
      </c>
      <c r="J11" s="349" t="s">
        <v>83</v>
      </c>
      <c r="K11" s="55"/>
      <c r="L11" s="350">
        <f>+[3]UPS!$FY$64</f>
        <v>12665316</v>
      </c>
      <c r="M11" s="352">
        <f>+[3]UPS!$FK$64</f>
        <v>13762116</v>
      </c>
      <c r="N11" s="353">
        <f>(L11-M11)/M11</f>
        <v>-7.9697046587893894E-2</v>
      </c>
      <c r="O11" s="350">
        <f>+SUM([3]UPS!$FN$64:$FY$64)</f>
        <v>139610302</v>
      </c>
      <c r="P11" s="352">
        <f>+SUM([3]UPS!$EZ$64:$FK$64)</f>
        <v>127719864</v>
      </c>
      <c r="Q11" s="351">
        <f>(O11-P11)/P11</f>
        <v>9.3097797222834497E-2</v>
      </c>
      <c r="R11" s="353">
        <f>O11/$O$26</f>
        <v>0.36975768574025114</v>
      </c>
      <c r="S11" s="20"/>
    </row>
    <row r="12" spans="1:19" ht="14.1" customHeight="1" x14ac:dyDescent="0.2">
      <c r="A12" s="349"/>
      <c r="B12" s="362"/>
      <c r="C12" s="350"/>
      <c r="D12" s="352"/>
      <c r="E12" s="353"/>
      <c r="F12" s="350"/>
      <c r="G12" s="352"/>
      <c r="H12" s="351"/>
      <c r="I12" s="353"/>
      <c r="J12" s="349"/>
      <c r="K12" s="55"/>
      <c r="L12" s="354"/>
      <c r="M12" s="9"/>
      <c r="N12" s="86"/>
      <c r="O12" s="354"/>
      <c r="P12" s="9"/>
      <c r="Q12" s="39"/>
      <c r="R12" s="86"/>
      <c r="S12" s="20"/>
    </row>
    <row r="13" spans="1:19" ht="14.1" customHeight="1" x14ac:dyDescent="0.2">
      <c r="A13" s="349" t="s">
        <v>187</v>
      </c>
      <c r="B13" s="362"/>
      <c r="C13" s="350">
        <f>+[3]IFL!$FY$12</f>
        <v>22</v>
      </c>
      <c r="D13" s="352">
        <f>+[3]IFL!$FK$12</f>
        <v>36</v>
      </c>
      <c r="E13" s="353">
        <f>(C13-D13)/D13</f>
        <v>-0.3888888888888889</v>
      </c>
      <c r="F13" s="350">
        <f>+SUM([3]IFL!$FN$12:$FY$12)</f>
        <v>486</v>
      </c>
      <c r="G13" s="352">
        <f>+SUM([3]IFL!$EZ$12:$FK$12)</f>
        <v>578</v>
      </c>
      <c r="H13" s="351">
        <f>(F13-G13)/G13</f>
        <v>-0.15916955017301038</v>
      </c>
      <c r="I13" s="353">
        <f>+F13/$F$26</f>
        <v>3.1446133937237143E-2</v>
      </c>
      <c r="J13" s="349" t="s">
        <v>187</v>
      </c>
      <c r="K13" s="55"/>
      <c r="L13" s="350">
        <f>+[3]IFL!$FY$64</f>
        <v>9310</v>
      </c>
      <c r="M13" s="352">
        <f>+[3]IFL!$FK$64</f>
        <v>22516</v>
      </c>
      <c r="N13" s="353">
        <f>(L13-M13)/M13</f>
        <v>-0.58651625510747918</v>
      </c>
      <c r="O13" s="350">
        <f>+SUM([3]IFL!$FN$64:$FY$64)</f>
        <v>246306</v>
      </c>
      <c r="P13" s="352">
        <f>+SUM([3]IFL!$EZ$64:$FK$64)</f>
        <v>582814</v>
      </c>
      <c r="Q13" s="351">
        <f>(O13-P13)/P13</f>
        <v>-0.57738489466622289</v>
      </c>
      <c r="R13" s="353">
        <f>O13/$O$26</f>
        <v>6.523410897280224E-4</v>
      </c>
      <c r="S13" s="20"/>
    </row>
    <row r="14" spans="1:19" ht="14.1" customHeight="1" x14ac:dyDescent="0.2">
      <c r="A14" s="349"/>
      <c r="B14" s="362"/>
      <c r="C14" s="350"/>
      <c r="D14" s="355"/>
      <c r="E14" s="353"/>
      <c r="F14" s="468"/>
      <c r="G14" s="355"/>
      <c r="H14" s="351"/>
      <c r="I14" s="353"/>
      <c r="J14" s="349"/>
      <c r="K14" s="55"/>
      <c r="L14" s="356"/>
      <c r="M14" s="146"/>
      <c r="N14" s="86"/>
      <c r="O14" s="356"/>
      <c r="P14" s="146"/>
      <c r="Q14" s="39"/>
      <c r="R14" s="86"/>
      <c r="S14" s="20"/>
    </row>
    <row r="15" spans="1:19" ht="14.1" customHeight="1" x14ac:dyDescent="0.2">
      <c r="A15" s="349" t="s">
        <v>167</v>
      </c>
      <c r="B15" s="361"/>
      <c r="C15" s="350">
        <f>+'[3]Suburban Air Freight'!$FY$12</f>
        <v>0</v>
      </c>
      <c r="D15" s="352">
        <f>+'[3]Suburban Air Freight'!$FK$12</f>
        <v>0</v>
      </c>
      <c r="E15" s="353" t="e">
        <f>(C15-D15)/D15</f>
        <v>#DIV/0!</v>
      </c>
      <c r="F15" s="350">
        <f>+SUM('[3]Suburban Air Freight'!$FN$12:$FY$12)</f>
        <v>0</v>
      </c>
      <c r="G15" s="352">
        <f>+SUM('[3]Suburban Air Freight'!$EZ$12:$FK$12)</f>
        <v>0</v>
      </c>
      <c r="H15" s="351" t="e">
        <f t="shared" ref="H15" si="2">(F15-G15)/G15</f>
        <v>#DIV/0!</v>
      </c>
      <c r="I15" s="353">
        <f>+F15/$F$26</f>
        <v>0</v>
      </c>
      <c r="J15" s="349" t="s">
        <v>167</v>
      </c>
      <c r="K15" s="357"/>
      <c r="L15" s="350">
        <f>+'[3]Suburban Air Freight'!$FY$64</f>
        <v>0</v>
      </c>
      <c r="M15" s="352">
        <f>+'[3]Suburban Air Freight'!$FK$64</f>
        <v>0</v>
      </c>
      <c r="N15" s="353" t="e">
        <f>(L15-M15)/M15</f>
        <v>#DIV/0!</v>
      </c>
      <c r="O15" s="350">
        <f>+SUM('[3]Suburban Air Freight'!$FN$64:$FY$64)</f>
        <v>0</v>
      </c>
      <c r="P15" s="352">
        <f>+SUM('[3]Suburban Air Freight'!$EZ$64:$FK$64)</f>
        <v>779480</v>
      </c>
      <c r="Q15" s="351">
        <f t="shared" ref="Q15" si="3">(O15-P15)/P15</f>
        <v>-1</v>
      </c>
      <c r="R15" s="353">
        <f>O15/$O$26</f>
        <v>0</v>
      </c>
      <c r="S15" s="20"/>
    </row>
    <row r="16" spans="1:19" ht="14.1" customHeight="1" x14ac:dyDescent="0.2">
      <c r="A16" s="53"/>
      <c r="B16" s="359"/>
      <c r="C16" s="350"/>
      <c r="D16" s="9"/>
      <c r="E16" s="86"/>
      <c r="F16" s="354"/>
      <c r="G16" s="9"/>
      <c r="H16" s="39"/>
      <c r="I16" s="86"/>
      <c r="J16" s="53"/>
      <c r="K16" s="359"/>
      <c r="L16" s="354"/>
      <c r="M16" s="9"/>
      <c r="N16" s="86"/>
      <c r="O16" s="354"/>
      <c r="P16" s="9"/>
      <c r="Q16" s="39"/>
      <c r="R16" s="86"/>
      <c r="S16" s="20"/>
    </row>
    <row r="17" spans="1:19" ht="14.1" customHeight="1" x14ac:dyDescent="0.2">
      <c r="A17" s="349" t="s">
        <v>85</v>
      </c>
      <c r="B17" s="359"/>
      <c r="C17" s="350">
        <f>+[3]Bemidji!$FY$12</f>
        <v>442</v>
      </c>
      <c r="D17" s="352">
        <f>+[3]Bemidji!$FK$12</f>
        <v>640</v>
      </c>
      <c r="E17" s="353">
        <f>(C17-D17)/D17</f>
        <v>-0.30937500000000001</v>
      </c>
      <c r="F17" s="350">
        <f>+SUM([3]Bemidji!$FN$12:$FY$12)</f>
        <v>6448</v>
      </c>
      <c r="G17" s="352">
        <f>+SUM([3]Bemidji!$EZ$12:$FK$12)</f>
        <v>6676</v>
      </c>
      <c r="H17" s="351">
        <f t="shared" ref="H17" si="4">(F17-G17)/G17</f>
        <v>-3.4152186938286401E-2</v>
      </c>
      <c r="I17" s="353">
        <f>+F17/$F$26</f>
        <v>0.41721125849239726</v>
      </c>
      <c r="J17" s="349" t="s">
        <v>85</v>
      </c>
      <c r="K17" s="359"/>
      <c r="L17" s="544" t="s">
        <v>207</v>
      </c>
      <c r="M17" s="545"/>
      <c r="N17" s="545"/>
      <c r="O17" s="545"/>
      <c r="P17" s="545"/>
      <c r="Q17" s="545"/>
      <c r="R17" s="546"/>
      <c r="S17" s="20"/>
    </row>
    <row r="18" spans="1:19" ht="14.1" customHeight="1" x14ac:dyDescent="0.2">
      <c r="A18" s="53"/>
      <c r="B18" s="359"/>
      <c r="C18" s="350"/>
      <c r="D18" s="9"/>
      <c r="E18" s="86"/>
      <c r="F18" s="354"/>
      <c r="G18" s="9"/>
      <c r="H18" s="39"/>
      <c r="I18" s="86"/>
      <c r="J18" s="53"/>
      <c r="K18" s="359"/>
      <c r="L18" s="354"/>
      <c r="M18" s="9"/>
      <c r="N18" s="86"/>
      <c r="O18" s="354"/>
      <c r="P18" s="9"/>
      <c r="Q18" s="39"/>
      <c r="R18" s="86"/>
      <c r="S18" s="20"/>
    </row>
    <row r="19" spans="1:19" ht="14.1" customHeight="1" x14ac:dyDescent="0.2">
      <c r="A19" s="349" t="s">
        <v>86</v>
      </c>
      <c r="B19" s="359"/>
      <c r="C19" s="350">
        <f>+'[3]CSA Air'!$FY$12</f>
        <v>11</v>
      </c>
      <c r="D19" s="352">
        <f>+'[3]CSA Air'!$FK$12</f>
        <v>5</v>
      </c>
      <c r="E19" s="353">
        <f>(C19-D19)/D19</f>
        <v>1.2</v>
      </c>
      <c r="F19" s="350">
        <f>+SUM('[3]CSA Air'!$FN$12:$FY$12)</f>
        <v>26</v>
      </c>
      <c r="G19" s="352">
        <f>+SUM('[3]CSA Air'!$EZ$12:$FK$12)</f>
        <v>233</v>
      </c>
      <c r="H19" s="351">
        <f t="shared" ref="H19" si="5">(F19-G19)/G19</f>
        <v>-0.88841201716738194</v>
      </c>
      <c r="I19" s="353">
        <f>+F19/$F$26</f>
        <v>1.6823034616628922E-3</v>
      </c>
      <c r="J19" s="349" t="s">
        <v>86</v>
      </c>
      <c r="K19" s="359"/>
      <c r="L19" s="350">
        <f>+'[3]CSA Air'!$FY$64</f>
        <v>19270</v>
      </c>
      <c r="M19" s="352">
        <f>+'[3]CSA Air'!$FK$64</f>
        <v>9344</v>
      </c>
      <c r="N19" s="353">
        <f>(L19-M19)/M19</f>
        <v>1.0622859589041096</v>
      </c>
      <c r="O19" s="350">
        <f>+SUM('[3]CSA Air'!$FN$64:$FY$64)</f>
        <v>36077</v>
      </c>
      <c r="P19" s="352">
        <f>+SUM('[3]CSA Air'!$EZ$64:$FK$64)</f>
        <v>334628</v>
      </c>
      <c r="Q19" s="351">
        <f t="shared" ref="Q19" si="6">(O19-P19)/P19</f>
        <v>-0.8921877428069378</v>
      </c>
      <c r="R19" s="353">
        <f>O19/$O$26</f>
        <v>9.5549883048394528E-5</v>
      </c>
      <c r="S19" s="20"/>
    </row>
    <row r="20" spans="1:19" ht="14.1" customHeight="1" x14ac:dyDescent="0.2">
      <c r="A20" s="53"/>
      <c r="B20" s="359"/>
      <c r="C20" s="350"/>
      <c r="D20" s="9"/>
      <c r="E20" s="86"/>
      <c r="F20" s="354"/>
      <c r="G20" s="9"/>
      <c r="H20" s="39"/>
      <c r="I20" s="86"/>
      <c r="J20" s="53"/>
      <c r="K20" s="359"/>
      <c r="L20" s="354"/>
      <c r="M20" s="9"/>
      <c r="N20" s="86"/>
      <c r="O20" s="354"/>
      <c r="P20" s="9"/>
      <c r="Q20" s="39"/>
      <c r="R20" s="86"/>
      <c r="S20" s="20"/>
    </row>
    <row r="21" spans="1:19" ht="14.1" customHeight="1" x14ac:dyDescent="0.2">
      <c r="A21" s="349" t="s">
        <v>87</v>
      </c>
      <c r="B21" s="361"/>
      <c r="C21" s="350">
        <f>+'[3]Mountain Cargo'!$FY$12</f>
        <v>36</v>
      </c>
      <c r="D21" s="352">
        <f>+'[3]Mountain Cargo'!$FK$12</f>
        <v>40</v>
      </c>
      <c r="E21" s="353">
        <f>(C21-D21)/D21</f>
        <v>-0.1</v>
      </c>
      <c r="F21" s="350">
        <f>+SUM('[3]Mountain Cargo'!$FN$12:$FY$12)</f>
        <v>488</v>
      </c>
      <c r="G21" s="352">
        <f>+SUM('[3]Mountain Cargo'!$EZ$12:$FK$12)</f>
        <v>498</v>
      </c>
      <c r="H21" s="351">
        <f>(F21-G21)/G21</f>
        <v>-2.0080321285140562E-2</v>
      </c>
      <c r="I21" s="353">
        <f>+F21/$F$26</f>
        <v>3.1575541895826592E-2</v>
      </c>
      <c r="J21" s="349" t="s">
        <v>87</v>
      </c>
      <c r="K21" s="361"/>
      <c r="L21" s="350">
        <f>+'[3]Mountain Cargo'!$FY$64</f>
        <v>287677</v>
      </c>
      <c r="M21" s="352">
        <f>+'[3]Mountain Cargo'!$FK$64</f>
        <v>192493</v>
      </c>
      <c r="N21" s="353">
        <f>(L21-M21)/M21</f>
        <v>0.49448031876483822</v>
      </c>
      <c r="O21" s="350">
        <f>+SUM('[3]Mountain Cargo'!$FN$64:$FY$64)</f>
        <v>2104555</v>
      </c>
      <c r="P21" s="352">
        <f>+SUM('[3]Mountain Cargo'!$EZ$64:$FK$64)</f>
        <v>2190605</v>
      </c>
      <c r="Q21" s="351">
        <f t="shared" ref="Q21" si="7">(O21-P21)/P21</f>
        <v>-3.9281385735904006E-2</v>
      </c>
      <c r="R21" s="353">
        <f>O21/$O$26</f>
        <v>5.5739109160660239E-3</v>
      </c>
      <c r="S21" s="414"/>
    </row>
    <row r="22" spans="1:19" ht="14.1" customHeight="1" x14ac:dyDescent="0.2">
      <c r="A22" s="53"/>
      <c r="B22" s="426"/>
      <c r="C22" s="350"/>
      <c r="D22" s="9"/>
      <c r="E22" s="86"/>
      <c r="F22" s="354"/>
      <c r="G22" s="9"/>
      <c r="H22" s="39"/>
      <c r="I22" s="86"/>
      <c r="J22" s="53"/>
      <c r="K22" s="426"/>
      <c r="L22" s="354"/>
      <c r="M22" s="9"/>
      <c r="N22" s="86"/>
      <c r="O22" s="354"/>
      <c r="P22" s="9"/>
      <c r="Q22" s="39"/>
      <c r="R22" s="86"/>
      <c r="S22" s="328"/>
    </row>
    <row r="23" spans="1:19" s="7" customFormat="1" ht="14.1" customHeight="1" x14ac:dyDescent="0.2">
      <c r="A23" s="349" t="s">
        <v>130</v>
      </c>
      <c r="B23" s="362"/>
      <c r="C23" s="350">
        <f>+'[3]Misc Cargo'!$FY$12</f>
        <v>78</v>
      </c>
      <c r="D23" s="352">
        <f>+'[3]Misc Cargo'!$FK$12</f>
        <v>82</v>
      </c>
      <c r="E23" s="353">
        <f>(C23-D23)/D23</f>
        <v>-4.878048780487805E-2</v>
      </c>
      <c r="F23" s="350">
        <f>+SUM('[3]Misc Cargo'!$FN$12:$FY$12)</f>
        <v>921</v>
      </c>
      <c r="G23" s="352">
        <f>+SUM('[3]Misc Cargo'!$EZ$12:$FK$12)</f>
        <v>590</v>
      </c>
      <c r="H23" s="351">
        <f>(F23-G23)/G23</f>
        <v>0.56101694915254241</v>
      </c>
      <c r="I23" s="353">
        <f>+F23/$F$26</f>
        <v>5.9592364930443224E-2</v>
      </c>
      <c r="J23" s="349" t="s">
        <v>130</v>
      </c>
      <c r="K23" s="362"/>
      <c r="L23" s="350">
        <f>+'[3]Misc Cargo'!$FY$64</f>
        <v>95385</v>
      </c>
      <c r="M23" s="352">
        <f>+'[3]Misc Cargo'!$FK$64</f>
        <v>93789</v>
      </c>
      <c r="N23" s="353">
        <f>(L23-M23)/M23</f>
        <v>1.7016920960880273E-2</v>
      </c>
      <c r="O23" s="350">
        <f>+SUM('[3]Misc Cargo'!$FN$64:$FY$64)</f>
        <v>1259705</v>
      </c>
      <c r="P23" s="352">
        <f>+SUM('[3]Misc Cargo'!$EZ$64:$FK$64)</f>
        <v>1090782</v>
      </c>
      <c r="Q23" s="351">
        <f>(O23-P23)/P23</f>
        <v>0.15486412500389629</v>
      </c>
      <c r="R23" s="353">
        <f>O23/$O$26</f>
        <v>3.3363268959580293E-3</v>
      </c>
      <c r="S23" s="469"/>
    </row>
    <row r="24" spans="1:19" s="7" customFormat="1" ht="14.1" customHeight="1" thickBot="1" x14ac:dyDescent="0.25">
      <c r="A24" s="470"/>
      <c r="B24" s="471"/>
      <c r="C24" s="472"/>
      <c r="D24" s="474"/>
      <c r="E24" s="475"/>
      <c r="F24" s="472"/>
      <c r="G24" s="474"/>
      <c r="H24" s="473"/>
      <c r="I24" s="475"/>
      <c r="J24" s="349"/>
      <c r="K24" s="362"/>
      <c r="L24" s="364"/>
      <c r="M24" s="368"/>
      <c r="N24" s="367"/>
      <c r="O24" s="364"/>
      <c r="P24" s="368"/>
      <c r="Q24" s="365"/>
      <c r="R24" s="471"/>
      <c r="S24" s="469"/>
    </row>
    <row r="25" spans="1:19" ht="13.5" thickBot="1" x14ac:dyDescent="0.25">
      <c r="B25" s="7"/>
      <c r="D25" s="227"/>
      <c r="E25" s="227"/>
      <c r="F25" s="4"/>
      <c r="G25" s="7"/>
      <c r="H25"/>
      <c r="I25"/>
      <c r="J25"/>
      <c r="K25"/>
      <c r="M25"/>
      <c r="N25"/>
    </row>
    <row r="26" spans="1:19" s="476" customFormat="1" ht="15.75" thickBot="1" x14ac:dyDescent="0.3">
      <c r="B26" s="477" t="s">
        <v>205</v>
      </c>
      <c r="C26" s="478">
        <f>+SUM(C5:C23)</f>
        <v>1373</v>
      </c>
      <c r="D26" s="479">
        <f>SUM(D5:D24)</f>
        <v>1487</v>
      </c>
      <c r="E26" s="480">
        <f>(C26-D26)/D26</f>
        <v>-7.6664425016812379E-2</v>
      </c>
      <c r="F26" s="478">
        <f>+SUM(F5:F23)</f>
        <v>15455</v>
      </c>
      <c r="G26" s="478">
        <f>+SUM(G5:G23)</f>
        <v>14086</v>
      </c>
      <c r="H26" s="481">
        <f>(F26-G26)/G26</f>
        <v>9.7188697998012205E-2</v>
      </c>
      <c r="I26" s="497"/>
      <c r="K26" s="477" t="s">
        <v>205</v>
      </c>
      <c r="L26" s="478">
        <f>+SUM(L5:L23)</f>
        <v>33752297</v>
      </c>
      <c r="M26" s="482">
        <f>SUM(M5:M24)</f>
        <v>33389679</v>
      </c>
      <c r="N26" s="483">
        <f>(L26-M26)/M26</f>
        <v>1.0860182273690023E-2</v>
      </c>
      <c r="O26" s="478">
        <f>+SUM(O5:O23)</f>
        <v>377572414</v>
      </c>
      <c r="P26" s="478">
        <f>+SUM(P5:P23)</f>
        <v>351736536</v>
      </c>
      <c r="Q26" s="481">
        <f t="shared" ref="Q26" si="8">(O26-P26)/P26</f>
        <v>7.3452358102486112E-2</v>
      </c>
      <c r="R26" s="497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B71" s="7"/>
      <c r="D71" s="3"/>
      <c r="F71"/>
      <c r="G71"/>
      <c r="H71"/>
      <c r="I71"/>
      <c r="J71"/>
      <c r="K71"/>
      <c r="L71"/>
      <c r="M71"/>
      <c r="N71"/>
    </row>
    <row r="72" spans="2:14" x14ac:dyDescent="0.2">
      <c r="B72" s="7"/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E96" s="37"/>
      <c r="F96" s="231"/>
      <c r="G96" s="5"/>
      <c r="H96" s="37"/>
      <c r="I96" s="37"/>
      <c r="K96" s="11"/>
    </row>
    <row r="97" spans="5:11" x14ac:dyDescent="0.2">
      <c r="E97" s="37"/>
      <c r="F97" s="231"/>
      <c r="G97" s="5"/>
      <c r="H97" s="37"/>
      <c r="I97" s="37"/>
      <c r="K97" s="11"/>
    </row>
    <row r="98" spans="5:11" x14ac:dyDescent="0.2">
      <c r="E98" s="37"/>
      <c r="F98" s="231"/>
      <c r="G98" s="5"/>
      <c r="H98" s="37"/>
      <c r="I98" s="37"/>
      <c r="K98" s="11"/>
    </row>
    <row r="99" spans="5:11" x14ac:dyDescent="0.2">
      <c r="E99" s="37"/>
      <c r="F99" s="231"/>
      <c r="G99" s="5"/>
      <c r="H99" s="37"/>
      <c r="I99" s="37"/>
      <c r="K99" s="11"/>
    </row>
    <row r="100" spans="5:11" x14ac:dyDescent="0.2">
      <c r="E100" s="37"/>
      <c r="F100" s="231"/>
      <c r="G100" s="5"/>
      <c r="H100" s="37"/>
      <c r="I100" s="37"/>
      <c r="K100" s="11"/>
    </row>
    <row r="101" spans="5:11" x14ac:dyDescent="0.2">
      <c r="E101" s="37"/>
      <c r="F101" s="231"/>
      <c r="G101" s="5"/>
      <c r="H101" s="37"/>
      <c r="I101" s="37"/>
      <c r="K101" s="11"/>
    </row>
    <row r="102" spans="5:11" x14ac:dyDescent="0.2">
      <c r="E102" s="37"/>
      <c r="F102" s="231"/>
      <c r="G102" s="5"/>
      <c r="H102" s="37"/>
      <c r="I102" s="37"/>
      <c r="K102" s="11"/>
    </row>
    <row r="103" spans="5:11" x14ac:dyDescent="0.2">
      <c r="E103" s="37"/>
      <c r="F103" s="231"/>
      <c r="G103" s="5"/>
      <c r="H103" s="37"/>
      <c r="I103" s="37"/>
      <c r="K103" s="11"/>
    </row>
    <row r="104" spans="5:11" x14ac:dyDescent="0.2">
      <c r="E104" s="37"/>
      <c r="F104" s="231"/>
      <c r="G104" s="5"/>
      <c r="H104" s="37"/>
      <c r="I104" s="37"/>
      <c r="K104" s="11"/>
    </row>
    <row r="105" spans="5:11" x14ac:dyDescent="0.2">
      <c r="E105" s="37"/>
      <c r="F105" s="231"/>
      <c r="G105" s="5"/>
      <c r="H105" s="37"/>
      <c r="I105" s="37"/>
      <c r="K105" s="11"/>
    </row>
    <row r="106" spans="5:11" x14ac:dyDescent="0.2">
      <c r="E106" s="37"/>
      <c r="F106" s="231"/>
      <c r="G106" s="5"/>
      <c r="H106" s="37"/>
      <c r="I106" s="37"/>
      <c r="K106" s="11"/>
    </row>
    <row r="107" spans="5:11" x14ac:dyDescent="0.2">
      <c r="E107" s="37"/>
      <c r="F107" s="231"/>
      <c r="G107" s="5"/>
      <c r="H107" s="37"/>
      <c r="I107" s="37"/>
      <c r="K107" s="11"/>
    </row>
    <row r="108" spans="5:11" x14ac:dyDescent="0.2">
      <c r="E108" s="37"/>
      <c r="F108" s="231"/>
      <c r="G108" s="5"/>
      <c r="H108" s="37"/>
      <c r="I108" s="37"/>
      <c r="K108" s="11"/>
    </row>
    <row r="109" spans="5:11" x14ac:dyDescent="0.2">
      <c r="E109" s="37"/>
      <c r="F109" s="231"/>
      <c r="G109" s="5"/>
      <c r="H109" s="37"/>
      <c r="I109" s="37"/>
      <c r="K109" s="11"/>
    </row>
    <row r="110" spans="5:11" x14ac:dyDescent="0.2">
      <c r="E110" s="37"/>
      <c r="F110" s="231"/>
      <c r="G110" s="5"/>
      <c r="H110" s="37"/>
      <c r="I110" s="37"/>
      <c r="K110" s="11"/>
    </row>
    <row r="111" spans="5:11" x14ac:dyDescent="0.2">
      <c r="E111" s="37"/>
      <c r="F111" s="231"/>
      <c r="G111" s="5"/>
      <c r="H111" s="37"/>
      <c r="I111" s="37"/>
      <c r="K111" s="11"/>
    </row>
    <row r="112" spans="5:11" x14ac:dyDescent="0.2">
      <c r="E112" s="37"/>
      <c r="F112" s="231"/>
      <c r="G112" s="5"/>
      <c r="H112" s="37"/>
      <c r="I112" s="37"/>
      <c r="K112" s="11"/>
    </row>
    <row r="113" spans="5:11" x14ac:dyDescent="0.2">
      <c r="E113" s="37"/>
      <c r="F113" s="231"/>
      <c r="G113" s="5"/>
      <c r="H113" s="37"/>
      <c r="I113" s="37"/>
      <c r="K113" s="11"/>
    </row>
    <row r="114" spans="5:11" x14ac:dyDescent="0.2">
      <c r="E114" s="37"/>
      <c r="F114" s="231"/>
      <c r="G114" s="5"/>
      <c r="H114" s="37"/>
      <c r="I114" s="37"/>
      <c r="K114" s="11"/>
    </row>
    <row r="115" spans="5:11" x14ac:dyDescent="0.2">
      <c r="E115" s="37"/>
      <c r="F115" s="231"/>
      <c r="G115" s="5"/>
      <c r="H115" s="37"/>
      <c r="I115" s="37"/>
      <c r="K115" s="11"/>
    </row>
    <row r="116" spans="5:11" x14ac:dyDescent="0.2">
      <c r="E116" s="37"/>
      <c r="F116" s="231"/>
      <c r="G116" s="5"/>
      <c r="H116" s="37"/>
      <c r="I116" s="37"/>
      <c r="K116" s="11"/>
    </row>
    <row r="117" spans="5:11" x14ac:dyDescent="0.2">
      <c r="E117" s="37"/>
      <c r="F117" s="231"/>
      <c r="G117" s="5"/>
      <c r="H117" s="37"/>
      <c r="I117" s="37"/>
      <c r="K117" s="11"/>
    </row>
    <row r="118" spans="5:11" x14ac:dyDescent="0.2">
      <c r="E118" s="37"/>
      <c r="F118" s="231"/>
      <c r="G118" s="5"/>
      <c r="H118" s="37"/>
      <c r="I118" s="37"/>
      <c r="K118" s="11"/>
    </row>
    <row r="119" spans="5:11" x14ac:dyDescent="0.2">
      <c r="E119" s="37"/>
      <c r="F119" s="231"/>
      <c r="G119" s="5"/>
      <c r="H119" s="37"/>
      <c r="I119" s="37"/>
      <c r="K119" s="11"/>
    </row>
    <row r="120" spans="5:11" x14ac:dyDescent="0.2">
      <c r="E120" s="37"/>
      <c r="F120" s="231"/>
      <c r="G120" s="5"/>
      <c r="H120" s="37"/>
      <c r="I120" s="37"/>
      <c r="K120" s="11"/>
    </row>
    <row r="121" spans="5:11" x14ac:dyDescent="0.2">
      <c r="E121" s="37"/>
      <c r="F121" s="231"/>
      <c r="G121" s="5"/>
      <c r="H121" s="37"/>
      <c r="I121" s="37"/>
      <c r="K121" s="11"/>
    </row>
    <row r="122" spans="5:11" x14ac:dyDescent="0.2">
      <c r="E122" s="37"/>
      <c r="F122" s="231"/>
      <c r="G122" s="5"/>
      <c r="H122" s="37"/>
      <c r="I122" s="37"/>
      <c r="K122" s="11"/>
    </row>
    <row r="123" spans="5:11" x14ac:dyDescent="0.2">
      <c r="E123" s="37"/>
      <c r="F123" s="231"/>
      <c r="G123" s="5"/>
      <c r="H123" s="37"/>
      <c r="I123" s="37"/>
      <c r="K123" s="11"/>
    </row>
    <row r="124" spans="5:11" x14ac:dyDescent="0.2">
      <c r="E124" s="37"/>
      <c r="F124" s="231"/>
      <c r="G124" s="5"/>
      <c r="H124" s="37"/>
      <c r="I124" s="37"/>
      <c r="K124" s="11"/>
    </row>
    <row r="125" spans="5:11" x14ac:dyDescent="0.2">
      <c r="E125" s="37"/>
      <c r="F125" s="231"/>
      <c r="G125" s="5"/>
      <c r="H125" s="37"/>
      <c r="I125" s="37"/>
      <c r="K125" s="11"/>
    </row>
    <row r="126" spans="5:11" x14ac:dyDescent="0.2">
      <c r="E126" s="37"/>
      <c r="F126" s="231"/>
      <c r="G126" s="5"/>
      <c r="H126" s="37"/>
      <c r="I126" s="37"/>
      <c r="K126" s="11"/>
    </row>
    <row r="127" spans="5:11" x14ac:dyDescent="0.2">
      <c r="E127" s="37"/>
      <c r="F127" s="231"/>
      <c r="G127" s="5"/>
      <c r="H127" s="37"/>
      <c r="I127" s="37"/>
      <c r="K127" s="11"/>
    </row>
    <row r="128" spans="5:11" x14ac:dyDescent="0.2">
      <c r="E128" s="37"/>
      <c r="F128" s="231"/>
      <c r="G128" s="5"/>
      <c r="H128" s="37"/>
      <c r="I128" s="37"/>
      <c r="K128" s="11"/>
    </row>
    <row r="129" spans="5:11" x14ac:dyDescent="0.2">
      <c r="E129" s="37"/>
      <c r="F129" s="231"/>
      <c r="G129" s="5"/>
      <c r="H129" s="37"/>
      <c r="I129" s="37"/>
      <c r="K129" s="11"/>
    </row>
    <row r="130" spans="5:11" x14ac:dyDescent="0.2">
      <c r="E130" s="37"/>
      <c r="F130" s="231"/>
      <c r="G130" s="5"/>
      <c r="H130" s="37"/>
      <c r="I130" s="37"/>
      <c r="K130" s="11"/>
    </row>
    <row r="131" spans="5:11" x14ac:dyDescent="0.2">
      <c r="E131" s="37"/>
      <c r="F131" s="231"/>
      <c r="G131" s="5"/>
      <c r="H131" s="37"/>
      <c r="I131" s="37"/>
      <c r="K131" s="11"/>
    </row>
    <row r="132" spans="5:11" x14ac:dyDescent="0.2">
      <c r="E132" s="37"/>
      <c r="F132" s="231"/>
      <c r="G132" s="5"/>
      <c r="H132" s="37"/>
      <c r="I132" s="37"/>
      <c r="K132" s="11"/>
    </row>
    <row r="133" spans="5:11" x14ac:dyDescent="0.2">
      <c r="E133" s="37"/>
      <c r="F133" s="231"/>
      <c r="G133" s="5"/>
      <c r="H133" s="37"/>
      <c r="I133" s="37"/>
      <c r="K133" s="11"/>
    </row>
    <row r="134" spans="5:11" x14ac:dyDescent="0.2">
      <c r="E134" s="37"/>
      <c r="F134" s="231"/>
      <c r="G134" s="5"/>
      <c r="H134" s="37"/>
      <c r="I134" s="37"/>
      <c r="K134" s="11"/>
    </row>
    <row r="135" spans="5:11" x14ac:dyDescent="0.2">
      <c r="E135" s="37"/>
      <c r="F135" s="231"/>
      <c r="G135" s="5"/>
      <c r="H135" s="37"/>
      <c r="I135" s="37"/>
      <c r="K135" s="11"/>
    </row>
    <row r="136" spans="5:11" x14ac:dyDescent="0.2">
      <c r="E136" s="37"/>
      <c r="F136" s="231"/>
      <c r="G136" s="5"/>
      <c r="H136" s="37"/>
      <c r="I136" s="37"/>
      <c r="K136" s="11"/>
    </row>
    <row r="137" spans="5:11" x14ac:dyDescent="0.2">
      <c r="E137" s="37"/>
      <c r="F137" s="231"/>
      <c r="G137" s="5"/>
      <c r="H137" s="37"/>
      <c r="I137" s="37"/>
      <c r="K137" s="11"/>
    </row>
    <row r="138" spans="5:11" x14ac:dyDescent="0.2">
      <c r="E138" s="37"/>
      <c r="F138" s="231"/>
      <c r="G138" s="5"/>
      <c r="H138" s="37"/>
      <c r="I138" s="37"/>
      <c r="K138" s="11"/>
    </row>
    <row r="139" spans="5:11" x14ac:dyDescent="0.2">
      <c r="E139" s="37"/>
      <c r="F139" s="231"/>
      <c r="G139" s="5"/>
      <c r="H139" s="37"/>
      <c r="I139" s="37"/>
      <c r="K139" s="11"/>
    </row>
    <row r="140" spans="5:11" x14ac:dyDescent="0.2">
      <c r="E140" s="37"/>
      <c r="F140" s="231"/>
      <c r="G140" s="5"/>
      <c r="H140" s="37"/>
      <c r="I140" s="37"/>
      <c r="K140" s="11"/>
    </row>
    <row r="141" spans="5:11" x14ac:dyDescent="0.2">
      <c r="E141" s="37"/>
      <c r="F141" s="231"/>
      <c r="G141" s="5"/>
      <c r="H141" s="37"/>
      <c r="I141" s="37"/>
      <c r="K141" s="11"/>
    </row>
    <row r="142" spans="5:11" x14ac:dyDescent="0.2">
      <c r="E142" s="37"/>
      <c r="F142" s="231"/>
      <c r="G142" s="5"/>
      <c r="H142" s="37"/>
      <c r="I142" s="37"/>
      <c r="K142" s="11"/>
    </row>
    <row r="143" spans="5:11" x14ac:dyDescent="0.2">
      <c r="E143" s="37"/>
      <c r="F143" s="231"/>
      <c r="G143" s="5"/>
      <c r="H143" s="37"/>
      <c r="I143" s="37"/>
      <c r="K143" s="11"/>
    </row>
    <row r="144" spans="5:11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F1149" s="231"/>
      <c r="G1149" s="5"/>
      <c r="H1149" s="37"/>
      <c r="I1149" s="37"/>
      <c r="K1149" s="11"/>
    </row>
    <row r="1150" spans="5:11" x14ac:dyDescent="0.2">
      <c r="F1150" s="231"/>
      <c r="G1150" s="5"/>
      <c r="H1150" s="37"/>
      <c r="I1150" s="37"/>
      <c r="K1150" s="11"/>
    </row>
    <row r="1151" spans="5:11" x14ac:dyDescent="0.2">
      <c r="F1151" s="231"/>
      <c r="G1151" s="5"/>
      <c r="H1151" s="37"/>
      <c r="I1151" s="37"/>
      <c r="K1151" s="11"/>
    </row>
    <row r="1152" spans="5:11" x14ac:dyDescent="0.2">
      <c r="F1152" s="231"/>
      <c r="G1152" s="5"/>
      <c r="H1152" s="37"/>
      <c r="I1152" s="37"/>
      <c r="K1152" s="11"/>
    </row>
    <row r="1153" spans="6:11" x14ac:dyDescent="0.2">
      <c r="F1153" s="231"/>
      <c r="G1153" s="5"/>
      <c r="H1153" s="37"/>
      <c r="I1153" s="37"/>
      <c r="K1153" s="11"/>
    </row>
    <row r="1154" spans="6:11" x14ac:dyDescent="0.2">
      <c r="F1154" s="231"/>
      <c r="G1154" s="5"/>
      <c r="H1154" s="37"/>
      <c r="I1154" s="37"/>
      <c r="K1154" s="11"/>
    </row>
    <row r="1155" spans="6:11" x14ac:dyDescent="0.2">
      <c r="F1155" s="231"/>
      <c r="G1155" s="5"/>
      <c r="H1155" s="37"/>
      <c r="I1155" s="37"/>
      <c r="K1155" s="11"/>
    </row>
    <row r="1156" spans="6:11" x14ac:dyDescent="0.2">
      <c r="F1156" s="231"/>
      <c r="G1156" s="5"/>
      <c r="H1156" s="37"/>
      <c r="I1156" s="37"/>
      <c r="K1156" s="11"/>
    </row>
    <row r="1157" spans="6:11" x14ac:dyDescent="0.2">
      <c r="F1157" s="231"/>
      <c r="G1157" s="5"/>
      <c r="H1157" s="37"/>
      <c r="I1157" s="37"/>
      <c r="K1157" s="11"/>
    </row>
    <row r="1158" spans="6:11" x14ac:dyDescent="0.2">
      <c r="F1158" s="231"/>
      <c r="G1158" s="5"/>
      <c r="H1158" s="37"/>
      <c r="I1158" s="37"/>
      <c r="K1158" s="11"/>
    </row>
    <row r="1159" spans="6:11" x14ac:dyDescent="0.2">
      <c r="F1159" s="231"/>
      <c r="G1159" s="5"/>
      <c r="H1159" s="37"/>
      <c r="I1159" s="37"/>
      <c r="K1159" s="11"/>
    </row>
    <row r="1160" spans="6:11" x14ac:dyDescent="0.2">
      <c r="F1160" s="231"/>
      <c r="G1160" s="5"/>
      <c r="H1160" s="37"/>
      <c r="I1160" s="37"/>
      <c r="K1160" s="11"/>
    </row>
    <row r="1161" spans="6:11" x14ac:dyDescent="0.2">
      <c r="F1161" s="231"/>
      <c r="G1161" s="5"/>
      <c r="H1161" s="37"/>
      <c r="I1161" s="37"/>
      <c r="K1161" s="11"/>
    </row>
    <row r="1162" spans="6:11" x14ac:dyDescent="0.2">
      <c r="F1162" s="231"/>
      <c r="G1162" s="5"/>
      <c r="H1162" s="37"/>
      <c r="I1162" s="37"/>
      <c r="K1162" s="11"/>
    </row>
    <row r="1163" spans="6:11" x14ac:dyDescent="0.2">
      <c r="F1163" s="231"/>
      <c r="G1163" s="5"/>
      <c r="H1163" s="37"/>
      <c r="I1163" s="37"/>
      <c r="K1163" s="11"/>
    </row>
    <row r="1164" spans="6:11" x14ac:dyDescent="0.2">
      <c r="F1164" s="231"/>
      <c r="G1164" s="5"/>
      <c r="H1164" s="37"/>
      <c r="I1164" s="37"/>
      <c r="K1164" s="11"/>
    </row>
    <row r="1165" spans="6:11" x14ac:dyDescent="0.2">
      <c r="F1165" s="231"/>
      <c r="G1165" s="5"/>
      <c r="H1165" s="37"/>
      <c r="I1165" s="37"/>
      <c r="K1165" s="11"/>
    </row>
    <row r="1166" spans="6:11" x14ac:dyDescent="0.2">
      <c r="F1166" s="231"/>
      <c r="G1166" s="5"/>
      <c r="H1166" s="37"/>
      <c r="I1166" s="37"/>
      <c r="K1166" s="11"/>
    </row>
    <row r="1167" spans="6:11" x14ac:dyDescent="0.2">
      <c r="F1167" s="231"/>
      <c r="G1167" s="5"/>
      <c r="H1167" s="37"/>
      <c r="I1167" s="37"/>
      <c r="K1167" s="11"/>
    </row>
    <row r="1168" spans="6:11" x14ac:dyDescent="0.2">
      <c r="F1168" s="231"/>
      <c r="G1168" s="5"/>
      <c r="H1168" s="37"/>
      <c r="I1168" s="37"/>
      <c r="K1168" s="11"/>
    </row>
    <row r="1169" spans="6:11" x14ac:dyDescent="0.2">
      <c r="F1169" s="231"/>
      <c r="G1169" s="5"/>
      <c r="H1169" s="37"/>
      <c r="I1169" s="37"/>
      <c r="K1169" s="11"/>
    </row>
    <row r="1170" spans="6:11" x14ac:dyDescent="0.2">
      <c r="F1170" s="231"/>
      <c r="G1170" s="5"/>
      <c r="H1170" s="37"/>
      <c r="I1170" s="37"/>
      <c r="K1170" s="11"/>
    </row>
    <row r="1171" spans="6:11" x14ac:dyDescent="0.2">
      <c r="F1171" s="231"/>
      <c r="G1171" s="5"/>
      <c r="H1171" s="37"/>
      <c r="I1171" s="37"/>
      <c r="K1171" s="11"/>
    </row>
    <row r="1172" spans="6:11" x14ac:dyDescent="0.2">
      <c r="F1172" s="231"/>
      <c r="G1172" s="5"/>
      <c r="H1172" s="37"/>
      <c r="I1172" s="37"/>
      <c r="K1172" s="11"/>
    </row>
    <row r="1173" spans="6:11" x14ac:dyDescent="0.2">
      <c r="F1173" s="231"/>
      <c r="G1173" s="5"/>
      <c r="H1173" s="37"/>
      <c r="I1173" s="37"/>
      <c r="K1173" s="11"/>
    </row>
    <row r="1174" spans="6:11" x14ac:dyDescent="0.2">
      <c r="F1174" s="231"/>
      <c r="G1174" s="5"/>
      <c r="H1174" s="37"/>
      <c r="I1174" s="37"/>
      <c r="K1174" s="11"/>
    </row>
    <row r="1175" spans="6:11" x14ac:dyDescent="0.2">
      <c r="F1175" s="231"/>
      <c r="G1175" s="5"/>
      <c r="H1175" s="37"/>
      <c r="I1175" s="37"/>
      <c r="K1175" s="11"/>
    </row>
    <row r="1176" spans="6:11" x14ac:dyDescent="0.2">
      <c r="F1176" s="231"/>
      <c r="G1176" s="5"/>
      <c r="H1176" s="37"/>
      <c r="I1176" s="37"/>
      <c r="K1176" s="11"/>
    </row>
    <row r="1177" spans="6:11" x14ac:dyDescent="0.2">
      <c r="F1177" s="231"/>
      <c r="G1177" s="5"/>
      <c r="H1177" s="37"/>
      <c r="I1177" s="37"/>
      <c r="K1177" s="11"/>
    </row>
    <row r="1178" spans="6:11" x14ac:dyDescent="0.2">
      <c r="F1178" s="231"/>
      <c r="G1178" s="5"/>
      <c r="H1178" s="37"/>
      <c r="I1178" s="37"/>
      <c r="K1178" s="11"/>
    </row>
    <row r="1179" spans="6:11" x14ac:dyDescent="0.2">
      <c r="F1179" s="231"/>
      <c r="G1179" s="5"/>
      <c r="H1179" s="37"/>
      <c r="I1179" s="37"/>
      <c r="K1179" s="11"/>
    </row>
    <row r="1180" spans="6:11" x14ac:dyDescent="0.2">
      <c r="F1180" s="231"/>
      <c r="G1180" s="5"/>
      <c r="H1180" s="37"/>
      <c r="I1180" s="37"/>
      <c r="K1180" s="11"/>
    </row>
    <row r="1181" spans="6:11" x14ac:dyDescent="0.2">
      <c r="F1181" s="231"/>
      <c r="G1181" s="5"/>
      <c r="H1181" s="37"/>
      <c r="I1181" s="37"/>
      <c r="K1181" s="11"/>
    </row>
    <row r="1182" spans="6:11" x14ac:dyDescent="0.2">
      <c r="F1182" s="231"/>
      <c r="G1182" s="5"/>
      <c r="H1182" s="37"/>
      <c r="I1182" s="37"/>
      <c r="K1182" s="11"/>
    </row>
    <row r="1183" spans="6:11" x14ac:dyDescent="0.2">
      <c r="F1183" s="231"/>
      <c r="G1183" s="5"/>
      <c r="H1183" s="37"/>
      <c r="I1183" s="37"/>
      <c r="K1183" s="11"/>
    </row>
    <row r="1184" spans="6:11" x14ac:dyDescent="0.2">
      <c r="F1184" s="231"/>
      <c r="G1184" s="5"/>
      <c r="H1184" s="37"/>
      <c r="I1184" s="37"/>
      <c r="K1184" s="11"/>
    </row>
    <row r="1185" spans="6:11" x14ac:dyDescent="0.2">
      <c r="F1185" s="231"/>
      <c r="G1185" s="5"/>
      <c r="H1185" s="37"/>
      <c r="I1185" s="37"/>
      <c r="K1185" s="11"/>
    </row>
    <row r="1186" spans="6:11" x14ac:dyDescent="0.2">
      <c r="F1186" s="231"/>
      <c r="G1186" s="5"/>
      <c r="H1186" s="37"/>
      <c r="I1186" s="37"/>
      <c r="K1186" s="11"/>
    </row>
    <row r="1187" spans="6:11" x14ac:dyDescent="0.2">
      <c r="F1187" s="231"/>
      <c r="G1187" s="5"/>
      <c r="H1187" s="37"/>
      <c r="I1187" s="37"/>
      <c r="K1187" s="11"/>
    </row>
    <row r="1188" spans="6:11" x14ac:dyDescent="0.2">
      <c r="F1188" s="231"/>
      <c r="G1188" s="5"/>
      <c r="H1188" s="37"/>
      <c r="I1188" s="37"/>
      <c r="K1188" s="11"/>
    </row>
    <row r="1189" spans="6:11" x14ac:dyDescent="0.2">
      <c r="F1189" s="231"/>
      <c r="G1189" s="5"/>
      <c r="H1189" s="37"/>
      <c r="I1189" s="37"/>
      <c r="K1189" s="11"/>
    </row>
    <row r="1190" spans="6:11" x14ac:dyDescent="0.2">
      <c r="F1190" s="231"/>
      <c r="G1190" s="5"/>
      <c r="H1190" s="37"/>
      <c r="I1190" s="37"/>
      <c r="K1190" s="11"/>
    </row>
    <row r="1191" spans="6:11" x14ac:dyDescent="0.2">
      <c r="F1191" s="231"/>
      <c r="G1191" s="5"/>
      <c r="H1191" s="37"/>
      <c r="I1191" s="37"/>
      <c r="K1191" s="11"/>
    </row>
    <row r="1192" spans="6:11" x14ac:dyDescent="0.2">
      <c r="F1192" s="231"/>
      <c r="G1192" s="5"/>
      <c r="H1192" s="37"/>
      <c r="I1192" s="37"/>
      <c r="K1192" s="11"/>
    </row>
    <row r="1193" spans="6:11" x14ac:dyDescent="0.2">
      <c r="F1193" s="231"/>
      <c r="G1193" s="5"/>
      <c r="H1193" s="37"/>
      <c r="I1193" s="37"/>
      <c r="K1193" s="11"/>
    </row>
    <row r="1194" spans="6:11" x14ac:dyDescent="0.2">
      <c r="F1194" s="231"/>
      <c r="G1194" s="5"/>
      <c r="H1194" s="37"/>
      <c r="I1194" s="37"/>
      <c r="K1194" s="11"/>
    </row>
    <row r="1195" spans="6:11" x14ac:dyDescent="0.2">
      <c r="F1195" s="231"/>
      <c r="G1195" s="5"/>
      <c r="H1195" s="37"/>
      <c r="I1195" s="37"/>
      <c r="K1195" s="11"/>
    </row>
    <row r="1196" spans="6:11" x14ac:dyDescent="0.2">
      <c r="F1196" s="231"/>
      <c r="G1196" s="5"/>
      <c r="H1196" s="37"/>
      <c r="I1196" s="37"/>
      <c r="K1196" s="11"/>
    </row>
    <row r="1197" spans="6:11" x14ac:dyDescent="0.2">
      <c r="F1197" s="231"/>
      <c r="G1197" s="5"/>
      <c r="H1197" s="37"/>
      <c r="I1197" s="37"/>
      <c r="K1197" s="11"/>
    </row>
    <row r="1198" spans="6:11" x14ac:dyDescent="0.2">
      <c r="F1198" s="231"/>
      <c r="G1198" s="5"/>
      <c r="H1198" s="37"/>
      <c r="I1198" s="37"/>
      <c r="K1198" s="11"/>
    </row>
    <row r="1199" spans="6:11" x14ac:dyDescent="0.2">
      <c r="F1199" s="231"/>
      <c r="G1199" s="5"/>
      <c r="H1199" s="37"/>
      <c r="I1199" s="37"/>
      <c r="K1199" s="11"/>
    </row>
    <row r="1200" spans="6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</sheetData>
  <mergeCells count="7">
    <mergeCell ref="L3:R3"/>
    <mergeCell ref="L17:R17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December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2019-01-23T19:09:27Z</cp:lastPrinted>
  <dcterms:created xsi:type="dcterms:W3CDTF">2007-09-24T12:26:24Z</dcterms:created>
  <dcterms:modified xsi:type="dcterms:W3CDTF">2019-09-26T20:28:17Z</dcterms:modified>
</cp:coreProperties>
</file>