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Stats'!$A$1:$H$52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Regional'!$A$1:$K$47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G49" i="3" l="1"/>
  <c r="G48" i="3"/>
  <c r="H5" i="8" l="1"/>
  <c r="H4" i="8"/>
  <c r="H27" i="8"/>
  <c r="H26" i="8"/>
  <c r="H22" i="8"/>
  <c r="H21" i="8"/>
  <c r="H17" i="8"/>
  <c r="H16" i="8"/>
  <c r="H10" i="8"/>
  <c r="M21" i="7"/>
  <c r="L21" i="7"/>
  <c r="H21" i="7"/>
  <c r="G21" i="7"/>
  <c r="C21" i="7"/>
  <c r="B21" i="7"/>
  <c r="H18" i="8" l="1"/>
  <c r="H23" i="8"/>
  <c r="H32" i="8"/>
  <c r="H28" i="8"/>
  <c r="H6" i="8"/>
  <c r="H12" i="8" s="1"/>
  <c r="H31" i="8"/>
  <c r="D37" i="1"/>
  <c r="D36" i="1"/>
  <c r="B10" i="2"/>
  <c r="C10" i="2"/>
  <c r="D10" i="2"/>
  <c r="E10" i="2"/>
  <c r="F10" i="2"/>
  <c r="B11" i="3"/>
  <c r="C11" i="3"/>
  <c r="D11" i="3"/>
  <c r="E11" i="3"/>
  <c r="F11" i="3"/>
  <c r="G11" i="3"/>
  <c r="H11" i="3"/>
  <c r="B11" i="4"/>
  <c r="C11" i="4"/>
  <c r="D11" i="4"/>
  <c r="E11" i="4"/>
  <c r="F11" i="4"/>
  <c r="G11" i="4"/>
  <c r="H11" i="4"/>
  <c r="I11" i="4"/>
  <c r="J11" i="4"/>
  <c r="B11" i="15"/>
  <c r="C11" i="15"/>
  <c r="D11" i="15"/>
  <c r="E11" i="15"/>
  <c r="F11" i="15"/>
  <c r="G11" i="15"/>
  <c r="H11" i="15"/>
  <c r="I11" i="15"/>
  <c r="J11" i="15"/>
  <c r="B5" i="2"/>
  <c r="C5" i="2"/>
  <c r="D5" i="2"/>
  <c r="E5" i="2"/>
  <c r="F5" i="2"/>
  <c r="B6" i="3"/>
  <c r="C6" i="3"/>
  <c r="D6" i="3"/>
  <c r="E6" i="3"/>
  <c r="F6" i="3"/>
  <c r="G6" i="3"/>
  <c r="H6" i="3"/>
  <c r="B6" i="4"/>
  <c r="C6" i="4"/>
  <c r="D6" i="4"/>
  <c r="E6" i="4"/>
  <c r="F6" i="4"/>
  <c r="G6" i="4"/>
  <c r="H6" i="4"/>
  <c r="I6" i="4"/>
  <c r="J6" i="4"/>
  <c r="B6" i="15"/>
  <c r="C6" i="15"/>
  <c r="D6" i="15"/>
  <c r="E6" i="15"/>
  <c r="F6" i="15"/>
  <c r="G6" i="15"/>
  <c r="H6" i="15"/>
  <c r="I6" i="15"/>
  <c r="J6" i="15"/>
  <c r="B6" i="7"/>
  <c r="C6" i="7"/>
  <c r="D6" i="7"/>
  <c r="E6" i="7"/>
  <c r="F6" i="7"/>
  <c r="B9" i="2"/>
  <c r="C9" i="2"/>
  <c r="D9" i="2"/>
  <c r="E9" i="2"/>
  <c r="F9" i="2"/>
  <c r="B10" i="3"/>
  <c r="C10" i="3"/>
  <c r="D10" i="3"/>
  <c r="E10" i="3"/>
  <c r="F10" i="3"/>
  <c r="G10" i="3"/>
  <c r="H10" i="3"/>
  <c r="B10" i="4"/>
  <c r="C10" i="4"/>
  <c r="D10" i="4"/>
  <c r="D12" i="4" s="1"/>
  <c r="E10" i="4"/>
  <c r="F10" i="4"/>
  <c r="G10" i="4"/>
  <c r="H10" i="4"/>
  <c r="I10" i="4"/>
  <c r="J10" i="4"/>
  <c r="B10" i="15"/>
  <c r="C10" i="15"/>
  <c r="D10" i="15"/>
  <c r="E10" i="15"/>
  <c r="F10" i="15"/>
  <c r="G10" i="15"/>
  <c r="H10" i="15"/>
  <c r="I10" i="15"/>
  <c r="J10" i="15"/>
  <c r="B4" i="2"/>
  <c r="C4" i="2"/>
  <c r="D4" i="2"/>
  <c r="E4" i="2"/>
  <c r="F4" i="2"/>
  <c r="B5" i="3"/>
  <c r="C5" i="3"/>
  <c r="D5" i="3"/>
  <c r="E5" i="3"/>
  <c r="F5" i="3"/>
  <c r="G5" i="3"/>
  <c r="H5" i="3"/>
  <c r="B5" i="4"/>
  <c r="C5" i="4"/>
  <c r="D5" i="4"/>
  <c r="E5" i="4"/>
  <c r="F5" i="4"/>
  <c r="G5" i="4"/>
  <c r="H5" i="4"/>
  <c r="I5" i="4"/>
  <c r="J5" i="4"/>
  <c r="B5" i="15"/>
  <c r="C5" i="15"/>
  <c r="D5" i="15"/>
  <c r="E5" i="15"/>
  <c r="F5" i="15"/>
  <c r="G5" i="15"/>
  <c r="H5" i="15"/>
  <c r="I5" i="15"/>
  <c r="J5" i="15"/>
  <c r="B5" i="7"/>
  <c r="C5" i="7"/>
  <c r="D5" i="7"/>
  <c r="E5" i="7"/>
  <c r="F5" i="7"/>
  <c r="B5" i="16"/>
  <c r="C5" i="16"/>
  <c r="D5" i="16"/>
  <c r="E5" i="16"/>
  <c r="F5" i="16"/>
  <c r="G5" i="16"/>
  <c r="H5" i="16"/>
  <c r="I5" i="16"/>
  <c r="J5" i="16"/>
  <c r="K5" i="16"/>
  <c r="L5" i="16"/>
  <c r="B10" i="16"/>
  <c r="C10" i="16"/>
  <c r="D10" i="16"/>
  <c r="E10" i="16"/>
  <c r="F10" i="16"/>
  <c r="G10" i="16"/>
  <c r="H10" i="16"/>
  <c r="I10" i="16"/>
  <c r="J10" i="16"/>
  <c r="K10" i="16"/>
  <c r="L10" i="16"/>
  <c r="B4" i="16"/>
  <c r="C4" i="16"/>
  <c r="D4" i="16"/>
  <c r="E4" i="16"/>
  <c r="F4" i="16"/>
  <c r="G4" i="16"/>
  <c r="H4" i="16"/>
  <c r="I4" i="16"/>
  <c r="J4" i="16"/>
  <c r="K4" i="16"/>
  <c r="L4" i="16"/>
  <c r="B9" i="16"/>
  <c r="C9" i="16"/>
  <c r="D9" i="16"/>
  <c r="E9" i="16"/>
  <c r="F9" i="16"/>
  <c r="G9" i="16"/>
  <c r="H9" i="16"/>
  <c r="I9" i="16"/>
  <c r="J9" i="16"/>
  <c r="K9" i="16"/>
  <c r="L9" i="16"/>
  <c r="B20" i="1"/>
  <c r="C20" i="1"/>
  <c r="D20" i="1" s="1"/>
  <c r="G20" i="1" s="1"/>
  <c r="B21" i="1"/>
  <c r="C21" i="1"/>
  <c r="C51" i="2"/>
  <c r="F49" i="3"/>
  <c r="I49" i="3" s="1"/>
  <c r="G51" i="2" s="1"/>
  <c r="H51" i="2" s="1"/>
  <c r="B45" i="4"/>
  <c r="F45" i="4"/>
  <c r="G45" i="4"/>
  <c r="H45" i="4"/>
  <c r="C47" i="15"/>
  <c r="E47" i="15"/>
  <c r="F47" i="15"/>
  <c r="H47" i="15"/>
  <c r="B10" i="7"/>
  <c r="C10" i="7"/>
  <c r="D10" i="7"/>
  <c r="E10" i="7"/>
  <c r="F10" i="7"/>
  <c r="B11" i="7"/>
  <c r="C11" i="7"/>
  <c r="D11" i="7"/>
  <c r="E11" i="7"/>
  <c r="F11" i="7"/>
  <c r="B4" i="8"/>
  <c r="C4" i="8"/>
  <c r="D4" i="8"/>
  <c r="E4" i="8"/>
  <c r="G4" i="8"/>
  <c r="I4" i="8"/>
  <c r="J4" i="8"/>
  <c r="K4" i="8"/>
  <c r="L4" i="8"/>
  <c r="B5" i="8"/>
  <c r="C5" i="8"/>
  <c r="D5" i="8"/>
  <c r="E5" i="8"/>
  <c r="G5" i="8"/>
  <c r="I5" i="8"/>
  <c r="J5" i="8"/>
  <c r="K5" i="8"/>
  <c r="L5" i="8"/>
  <c r="B34" i="2"/>
  <c r="C34" i="2"/>
  <c r="D34" i="2"/>
  <c r="E34" i="2"/>
  <c r="F34" i="2"/>
  <c r="B34" i="3"/>
  <c r="C34" i="3"/>
  <c r="D34" i="3"/>
  <c r="E34" i="3"/>
  <c r="F34" i="3"/>
  <c r="G34" i="3"/>
  <c r="H34" i="3"/>
  <c r="B31" i="4"/>
  <c r="C31" i="4"/>
  <c r="D31" i="4"/>
  <c r="E31" i="4"/>
  <c r="F31" i="4"/>
  <c r="G31" i="4"/>
  <c r="H31" i="4"/>
  <c r="I31" i="4"/>
  <c r="J31" i="4"/>
  <c r="B31" i="15"/>
  <c r="C31" i="15"/>
  <c r="D31" i="15"/>
  <c r="E31" i="15"/>
  <c r="F31" i="15"/>
  <c r="G31" i="15"/>
  <c r="H31" i="15"/>
  <c r="I31" i="15"/>
  <c r="J31" i="15"/>
  <c r="B22" i="8"/>
  <c r="C22" i="8"/>
  <c r="D22" i="8"/>
  <c r="E22" i="8"/>
  <c r="G22" i="8"/>
  <c r="J22" i="8"/>
  <c r="K22" i="8"/>
  <c r="L22" i="8"/>
  <c r="B15" i="2"/>
  <c r="C15" i="2"/>
  <c r="D15" i="2"/>
  <c r="E15" i="2"/>
  <c r="F15" i="2"/>
  <c r="B16" i="3"/>
  <c r="C16" i="3"/>
  <c r="D16" i="3"/>
  <c r="E16" i="3"/>
  <c r="F16" i="3"/>
  <c r="G16" i="3"/>
  <c r="H16" i="3"/>
  <c r="B19" i="2"/>
  <c r="C19" i="2"/>
  <c r="D19" i="2"/>
  <c r="E19" i="2"/>
  <c r="F19" i="2"/>
  <c r="B20" i="3"/>
  <c r="C20" i="3"/>
  <c r="D20" i="3"/>
  <c r="E20" i="3"/>
  <c r="F20" i="3"/>
  <c r="G20" i="3"/>
  <c r="H20" i="3"/>
  <c r="B16" i="2"/>
  <c r="C16" i="2"/>
  <c r="D16" i="2"/>
  <c r="E16" i="2"/>
  <c r="E17" i="2" s="1"/>
  <c r="F16" i="2"/>
  <c r="B17" i="3"/>
  <c r="C17" i="3"/>
  <c r="D17" i="3"/>
  <c r="E17" i="3"/>
  <c r="F17" i="3"/>
  <c r="G17" i="3"/>
  <c r="H17" i="3"/>
  <c r="B20" i="2"/>
  <c r="B21" i="2" s="1"/>
  <c r="C20" i="2"/>
  <c r="D20" i="2"/>
  <c r="D21" i="2" s="1"/>
  <c r="E20" i="2"/>
  <c r="F20" i="2"/>
  <c r="B21" i="3"/>
  <c r="C21" i="3"/>
  <c r="C22" i="3" s="1"/>
  <c r="D21" i="3"/>
  <c r="E21" i="3"/>
  <c r="F21" i="3"/>
  <c r="G21" i="3"/>
  <c r="H21" i="3"/>
  <c r="B39" i="2"/>
  <c r="C39" i="2"/>
  <c r="D39" i="2"/>
  <c r="E39" i="2"/>
  <c r="F39" i="2"/>
  <c r="B39" i="3"/>
  <c r="C39" i="3"/>
  <c r="D39" i="3"/>
  <c r="E39" i="3"/>
  <c r="F39" i="3"/>
  <c r="G39" i="3"/>
  <c r="B36" i="4"/>
  <c r="C36" i="4"/>
  <c r="D36" i="4"/>
  <c r="E36" i="4"/>
  <c r="F36" i="4"/>
  <c r="G36" i="4"/>
  <c r="H36" i="4"/>
  <c r="I36" i="4"/>
  <c r="J36" i="4"/>
  <c r="B36" i="15"/>
  <c r="C36" i="15"/>
  <c r="D36" i="15"/>
  <c r="E36" i="15"/>
  <c r="F36" i="15"/>
  <c r="G36" i="15"/>
  <c r="H36" i="15"/>
  <c r="I36" i="15"/>
  <c r="J36" i="15"/>
  <c r="B27" i="8"/>
  <c r="C27" i="8"/>
  <c r="D27" i="8"/>
  <c r="E27" i="8"/>
  <c r="G27" i="8"/>
  <c r="J27" i="8"/>
  <c r="K27" i="8"/>
  <c r="L27" i="8"/>
  <c r="B29" i="2"/>
  <c r="C29" i="2"/>
  <c r="D29" i="2"/>
  <c r="E29" i="2"/>
  <c r="F29" i="2"/>
  <c r="B29" i="3"/>
  <c r="C29" i="3"/>
  <c r="D29" i="3"/>
  <c r="E29" i="3"/>
  <c r="F29" i="3"/>
  <c r="G29" i="3"/>
  <c r="H29" i="3"/>
  <c r="B26" i="4"/>
  <c r="C26" i="4"/>
  <c r="D26" i="4"/>
  <c r="E26" i="4"/>
  <c r="F26" i="4"/>
  <c r="G26" i="4"/>
  <c r="H26" i="4"/>
  <c r="I26" i="4"/>
  <c r="J26" i="4"/>
  <c r="B26" i="15"/>
  <c r="C26" i="15"/>
  <c r="D26" i="15"/>
  <c r="E26" i="15"/>
  <c r="F26" i="15"/>
  <c r="G26" i="15"/>
  <c r="H26" i="15"/>
  <c r="I26" i="15"/>
  <c r="J26" i="15"/>
  <c r="B17" i="8"/>
  <c r="C17" i="8"/>
  <c r="D17" i="8"/>
  <c r="E17" i="8"/>
  <c r="G17" i="8"/>
  <c r="J17" i="8"/>
  <c r="K17" i="8"/>
  <c r="L17" i="8"/>
  <c r="B33" i="2"/>
  <c r="C33" i="2"/>
  <c r="D33" i="2"/>
  <c r="D35" i="2" s="1"/>
  <c r="E33" i="2"/>
  <c r="F33" i="2"/>
  <c r="B33" i="3"/>
  <c r="C33" i="3"/>
  <c r="D33" i="3"/>
  <c r="E33" i="3"/>
  <c r="F33" i="3"/>
  <c r="G33" i="3"/>
  <c r="H33" i="3"/>
  <c r="B30" i="4"/>
  <c r="C30" i="4"/>
  <c r="D30" i="4"/>
  <c r="E30" i="4"/>
  <c r="F30" i="4"/>
  <c r="G30" i="4"/>
  <c r="H30" i="4"/>
  <c r="I30" i="4"/>
  <c r="J30" i="4"/>
  <c r="B30" i="15"/>
  <c r="C30" i="15"/>
  <c r="D30" i="15"/>
  <c r="E30" i="15"/>
  <c r="F30" i="15"/>
  <c r="G30" i="15"/>
  <c r="G32" i="15" s="1"/>
  <c r="H30" i="15"/>
  <c r="I30" i="15"/>
  <c r="J30" i="15"/>
  <c r="B21" i="8"/>
  <c r="B23" i="8" s="1"/>
  <c r="C21" i="8"/>
  <c r="D21" i="8"/>
  <c r="E21" i="8"/>
  <c r="G21" i="8"/>
  <c r="G23" i="8" s="1"/>
  <c r="J21" i="8"/>
  <c r="K21" i="8"/>
  <c r="L21" i="8"/>
  <c r="B15" i="4"/>
  <c r="C15" i="4"/>
  <c r="D15" i="4"/>
  <c r="E15" i="4"/>
  <c r="F15" i="4"/>
  <c r="G15" i="4"/>
  <c r="H15" i="4"/>
  <c r="I15" i="4"/>
  <c r="J15" i="4"/>
  <c r="B15" i="15"/>
  <c r="C15" i="15"/>
  <c r="D15" i="15"/>
  <c r="E15" i="15"/>
  <c r="F15" i="15"/>
  <c r="G15" i="15"/>
  <c r="H15" i="15"/>
  <c r="I15" i="15"/>
  <c r="J15" i="15"/>
  <c r="B18" i="4"/>
  <c r="C18" i="4"/>
  <c r="D18" i="4"/>
  <c r="E18" i="4"/>
  <c r="F18" i="4"/>
  <c r="G18" i="4"/>
  <c r="H18" i="4"/>
  <c r="I18" i="4"/>
  <c r="J18" i="4"/>
  <c r="B18" i="15"/>
  <c r="C18" i="15"/>
  <c r="D18" i="15"/>
  <c r="E18" i="15"/>
  <c r="F18" i="15"/>
  <c r="G18" i="15"/>
  <c r="H18" i="15"/>
  <c r="I18" i="15"/>
  <c r="J18" i="15"/>
  <c r="B16" i="4"/>
  <c r="C16" i="4"/>
  <c r="D16" i="4"/>
  <c r="D17" i="4" s="1"/>
  <c r="E16" i="4"/>
  <c r="F16" i="4"/>
  <c r="F17" i="4" s="1"/>
  <c r="G16" i="4"/>
  <c r="H16" i="4"/>
  <c r="I16" i="4"/>
  <c r="J16" i="4"/>
  <c r="B16" i="15"/>
  <c r="C16" i="15"/>
  <c r="D16" i="15"/>
  <c r="E16" i="15"/>
  <c r="F16" i="15"/>
  <c r="F17" i="15" s="1"/>
  <c r="G16" i="15"/>
  <c r="H16" i="15"/>
  <c r="H17" i="15" s="1"/>
  <c r="I16" i="15"/>
  <c r="I17" i="15" s="1"/>
  <c r="J16" i="15"/>
  <c r="B19" i="4"/>
  <c r="C19" i="4"/>
  <c r="D19" i="4"/>
  <c r="E19" i="4"/>
  <c r="F19" i="4"/>
  <c r="G19" i="4"/>
  <c r="H19" i="4"/>
  <c r="I19" i="4"/>
  <c r="J19" i="4"/>
  <c r="B19" i="15"/>
  <c r="C19" i="15"/>
  <c r="C20" i="15" s="1"/>
  <c r="D19" i="15"/>
  <c r="E19" i="15"/>
  <c r="F19" i="15"/>
  <c r="G19" i="15"/>
  <c r="H19" i="15"/>
  <c r="I19" i="15"/>
  <c r="J19" i="15"/>
  <c r="B38" i="2"/>
  <c r="C38" i="2"/>
  <c r="D38" i="2"/>
  <c r="E38" i="2"/>
  <c r="F38" i="2"/>
  <c r="B38" i="3"/>
  <c r="C38" i="3"/>
  <c r="D38" i="3"/>
  <c r="E38" i="3"/>
  <c r="F38" i="3"/>
  <c r="G38" i="3"/>
  <c r="B35" i="4"/>
  <c r="C35" i="4"/>
  <c r="D35" i="4"/>
  <c r="E35" i="4"/>
  <c r="F35" i="4"/>
  <c r="G35" i="4"/>
  <c r="H35" i="4"/>
  <c r="I35" i="4"/>
  <c r="J35" i="4"/>
  <c r="B35" i="15"/>
  <c r="C35" i="15"/>
  <c r="D35" i="15"/>
  <c r="E35" i="15"/>
  <c r="F35" i="15"/>
  <c r="G35" i="15"/>
  <c r="H35" i="15"/>
  <c r="I35" i="15"/>
  <c r="J35" i="15"/>
  <c r="B26" i="8"/>
  <c r="C26" i="8"/>
  <c r="D26" i="8"/>
  <c r="E26" i="8"/>
  <c r="G26" i="8"/>
  <c r="J26" i="8"/>
  <c r="K26" i="8"/>
  <c r="L26" i="8"/>
  <c r="B28" i="2"/>
  <c r="C28" i="2"/>
  <c r="D28" i="2"/>
  <c r="E28" i="2"/>
  <c r="F28" i="2"/>
  <c r="B28" i="3"/>
  <c r="C28" i="3"/>
  <c r="D28" i="3"/>
  <c r="E28" i="3"/>
  <c r="F28" i="3"/>
  <c r="G28" i="3"/>
  <c r="H28" i="3"/>
  <c r="B25" i="4"/>
  <c r="C25" i="4"/>
  <c r="D25" i="4"/>
  <c r="E25" i="4"/>
  <c r="F25" i="4"/>
  <c r="G25" i="4"/>
  <c r="H25" i="4"/>
  <c r="I25" i="4"/>
  <c r="J25" i="4"/>
  <c r="B25" i="15"/>
  <c r="C25" i="15"/>
  <c r="D25" i="15"/>
  <c r="E25" i="15"/>
  <c r="F25" i="15"/>
  <c r="G25" i="15"/>
  <c r="H25" i="15"/>
  <c r="H27" i="15" s="1"/>
  <c r="I25" i="15"/>
  <c r="J25" i="15"/>
  <c r="B16" i="8"/>
  <c r="C16" i="8"/>
  <c r="D16" i="8"/>
  <c r="E16" i="8"/>
  <c r="G16" i="8"/>
  <c r="J16" i="8"/>
  <c r="K16" i="8"/>
  <c r="L16" i="8"/>
  <c r="P50" i="9"/>
  <c r="P49" i="9"/>
  <c r="P48" i="9"/>
  <c r="P44" i="9"/>
  <c r="P21" i="9"/>
  <c r="P19" i="9"/>
  <c r="P17" i="9"/>
  <c r="P16" i="9"/>
  <c r="P4" i="9"/>
  <c r="P20" i="9"/>
  <c r="P12" i="9"/>
  <c r="P43" i="9"/>
  <c r="P18" i="9"/>
  <c r="P42" i="9"/>
  <c r="P39" i="9"/>
  <c r="P40" i="9"/>
  <c r="P41" i="9"/>
  <c r="P47" i="9"/>
  <c r="P38" i="9"/>
  <c r="P35" i="9"/>
  <c r="P30" i="9"/>
  <c r="P31" i="9"/>
  <c r="P27" i="9"/>
  <c r="P23" i="9"/>
  <c r="P15" i="9"/>
  <c r="P11" i="9"/>
  <c r="P8" i="9"/>
  <c r="P25" i="9"/>
  <c r="P33" i="9"/>
  <c r="P6" i="9"/>
  <c r="Q50" i="9"/>
  <c r="Q49" i="9"/>
  <c r="Q48" i="9"/>
  <c r="Q44" i="9"/>
  <c r="Q21" i="9"/>
  <c r="Q19" i="9"/>
  <c r="Q17" i="9"/>
  <c r="Q16" i="9"/>
  <c r="Q4" i="9"/>
  <c r="Q20" i="9"/>
  <c r="Q12" i="9"/>
  <c r="Q43" i="9"/>
  <c r="Q18" i="9"/>
  <c r="Q42" i="9"/>
  <c r="Q39" i="9"/>
  <c r="Q40" i="9"/>
  <c r="Q41" i="9"/>
  <c r="N50" i="9"/>
  <c r="N49" i="9"/>
  <c r="N48" i="9"/>
  <c r="N44" i="9"/>
  <c r="N21" i="9"/>
  <c r="N19" i="9"/>
  <c r="N17" i="9"/>
  <c r="N16" i="9"/>
  <c r="N4" i="9"/>
  <c r="N20" i="9"/>
  <c r="N12" i="9"/>
  <c r="N43" i="9"/>
  <c r="N18" i="9"/>
  <c r="N42" i="9"/>
  <c r="N39" i="9"/>
  <c r="N40" i="9"/>
  <c r="N41" i="9"/>
  <c r="L50" i="9"/>
  <c r="L49" i="9"/>
  <c r="O49" i="9" s="1"/>
  <c r="L48" i="9"/>
  <c r="L44" i="9"/>
  <c r="L21" i="9"/>
  <c r="L19" i="9"/>
  <c r="O19" i="9" s="1"/>
  <c r="L17" i="9"/>
  <c r="L16" i="9"/>
  <c r="L4" i="9"/>
  <c r="L20" i="9"/>
  <c r="L12" i="9"/>
  <c r="L43" i="9"/>
  <c r="L18" i="9"/>
  <c r="L42" i="9"/>
  <c r="L39" i="9"/>
  <c r="L40" i="9"/>
  <c r="L41" i="9"/>
  <c r="L47" i="9"/>
  <c r="L38" i="9"/>
  <c r="L35" i="9"/>
  <c r="L30" i="9"/>
  <c r="L31" i="9"/>
  <c r="L27" i="9"/>
  <c r="L23" i="9"/>
  <c r="L15" i="9"/>
  <c r="L11" i="9"/>
  <c r="L8" i="9"/>
  <c r="L25" i="9"/>
  <c r="L33" i="9"/>
  <c r="H50" i="9"/>
  <c r="H49" i="9"/>
  <c r="H48" i="9"/>
  <c r="H44" i="9"/>
  <c r="H21" i="9"/>
  <c r="H19" i="9"/>
  <c r="H17" i="9"/>
  <c r="H16" i="9"/>
  <c r="H4" i="9"/>
  <c r="H20" i="9"/>
  <c r="H12" i="9"/>
  <c r="H43" i="9"/>
  <c r="H18" i="9"/>
  <c r="H42" i="9"/>
  <c r="H39" i="9"/>
  <c r="H40" i="9"/>
  <c r="H41" i="9"/>
  <c r="G50" i="9"/>
  <c r="G49" i="9"/>
  <c r="G48" i="9"/>
  <c r="G44" i="9"/>
  <c r="I44" i="9" s="1"/>
  <c r="G21" i="9"/>
  <c r="G19" i="9"/>
  <c r="G17" i="9"/>
  <c r="G16" i="9"/>
  <c r="I16" i="9" s="1"/>
  <c r="G4" i="9"/>
  <c r="G20" i="9"/>
  <c r="G12" i="9"/>
  <c r="G43" i="9"/>
  <c r="I43" i="9" s="1"/>
  <c r="G18" i="9"/>
  <c r="G42" i="9"/>
  <c r="G39" i="9"/>
  <c r="G40" i="9"/>
  <c r="I40" i="9" s="1"/>
  <c r="G41" i="9"/>
  <c r="E50" i="9"/>
  <c r="E49" i="9"/>
  <c r="E48" i="9"/>
  <c r="E44" i="9"/>
  <c r="E21" i="9"/>
  <c r="E19" i="9"/>
  <c r="E17" i="9"/>
  <c r="E16" i="9"/>
  <c r="E4" i="9"/>
  <c r="E20" i="9"/>
  <c r="E12" i="9"/>
  <c r="E43" i="9"/>
  <c r="E18" i="9"/>
  <c r="E42" i="9"/>
  <c r="E39" i="9"/>
  <c r="E40" i="9"/>
  <c r="E41" i="9"/>
  <c r="C50" i="9"/>
  <c r="C49" i="9"/>
  <c r="C48" i="9"/>
  <c r="C44" i="9"/>
  <c r="C21" i="9"/>
  <c r="C19" i="9"/>
  <c r="F19" i="9" s="1"/>
  <c r="C17" i="9"/>
  <c r="C16" i="9"/>
  <c r="C4" i="9"/>
  <c r="C20" i="9"/>
  <c r="F20" i="9" s="1"/>
  <c r="C12" i="9"/>
  <c r="C43" i="9"/>
  <c r="C18" i="9"/>
  <c r="C42" i="9"/>
  <c r="F42" i="9" s="1"/>
  <c r="C39" i="9"/>
  <c r="C40" i="9"/>
  <c r="C41" i="9"/>
  <c r="C38" i="9"/>
  <c r="C47" i="9"/>
  <c r="C35" i="9"/>
  <c r="C30" i="9"/>
  <c r="C31" i="9"/>
  <c r="C27" i="9"/>
  <c r="C23" i="9"/>
  <c r="C15" i="9"/>
  <c r="C11" i="9"/>
  <c r="C8" i="9"/>
  <c r="C25" i="9"/>
  <c r="C33" i="9"/>
  <c r="E28" i="1"/>
  <c r="H28" i="1" s="1"/>
  <c r="E27" i="1"/>
  <c r="H27" i="1" s="1"/>
  <c r="E17" i="1"/>
  <c r="H17" i="1" s="1"/>
  <c r="E18" i="1"/>
  <c r="H18" i="1" s="1"/>
  <c r="E19" i="1"/>
  <c r="H19" i="1" s="1"/>
  <c r="E20" i="1"/>
  <c r="H20" i="1" s="1"/>
  <c r="E21" i="1"/>
  <c r="H21" i="1" s="1"/>
  <c r="E16" i="1"/>
  <c r="H16" i="1" s="1"/>
  <c r="E10" i="1"/>
  <c r="H10" i="1" s="1"/>
  <c r="E7" i="1"/>
  <c r="H7" i="1" s="1"/>
  <c r="E6" i="1"/>
  <c r="H6" i="1" s="1"/>
  <c r="E5" i="1"/>
  <c r="H5" i="1" s="1"/>
  <c r="B37" i="1"/>
  <c r="B36" i="1"/>
  <c r="O22" i="7"/>
  <c r="J22" i="7"/>
  <c r="J21" i="7"/>
  <c r="E22" i="7"/>
  <c r="G21" i="5"/>
  <c r="G20" i="5"/>
  <c r="G16" i="5"/>
  <c r="G15" i="5"/>
  <c r="G11" i="5"/>
  <c r="G10" i="5"/>
  <c r="G6" i="5"/>
  <c r="G5" i="5"/>
  <c r="J16" i="5"/>
  <c r="J15" i="5"/>
  <c r="J11" i="5"/>
  <c r="J10" i="5"/>
  <c r="J6" i="5"/>
  <c r="J5" i="5"/>
  <c r="L35" i="16"/>
  <c r="K35" i="16"/>
  <c r="J35" i="16"/>
  <c r="I35" i="16"/>
  <c r="H35" i="16"/>
  <c r="G35" i="16"/>
  <c r="F35" i="16"/>
  <c r="E35" i="16"/>
  <c r="D35" i="16"/>
  <c r="C35" i="16"/>
  <c r="L34" i="16"/>
  <c r="K34" i="16"/>
  <c r="J34" i="16"/>
  <c r="I34" i="16"/>
  <c r="H34" i="16"/>
  <c r="G34" i="16"/>
  <c r="F34" i="16"/>
  <c r="E34" i="16"/>
  <c r="D34" i="16"/>
  <c r="C34" i="16"/>
  <c r="B35" i="16"/>
  <c r="B34" i="16"/>
  <c r="L22" i="16"/>
  <c r="L21" i="16"/>
  <c r="L17" i="16"/>
  <c r="L16" i="16"/>
  <c r="K22" i="16"/>
  <c r="K21" i="16"/>
  <c r="K17" i="16"/>
  <c r="K16" i="16"/>
  <c r="J22" i="16"/>
  <c r="J21" i="16"/>
  <c r="J17" i="16"/>
  <c r="J16" i="16"/>
  <c r="I22" i="16"/>
  <c r="I21" i="16"/>
  <c r="I17" i="16"/>
  <c r="I16" i="16"/>
  <c r="H22" i="16"/>
  <c r="H21" i="16"/>
  <c r="H17" i="16"/>
  <c r="H16" i="16"/>
  <c r="G22" i="16"/>
  <c r="G21" i="16"/>
  <c r="G17" i="16"/>
  <c r="G16" i="16"/>
  <c r="F22" i="16"/>
  <c r="F21" i="16"/>
  <c r="F17" i="16"/>
  <c r="F16" i="16"/>
  <c r="E22" i="16"/>
  <c r="E21" i="16"/>
  <c r="E17" i="16"/>
  <c r="E16" i="16"/>
  <c r="D22" i="16"/>
  <c r="D21" i="16"/>
  <c r="D17" i="16"/>
  <c r="D16" i="16"/>
  <c r="C22" i="16"/>
  <c r="C21" i="16"/>
  <c r="C17" i="16"/>
  <c r="C16" i="16"/>
  <c r="B22" i="16"/>
  <c r="B21" i="16"/>
  <c r="B17" i="16"/>
  <c r="B16" i="16"/>
  <c r="Q47" i="9"/>
  <c r="Q38" i="9"/>
  <c r="Q35" i="9"/>
  <c r="Q33" i="9"/>
  <c r="Q31" i="9"/>
  <c r="Q30" i="9"/>
  <c r="Q27" i="9"/>
  <c r="Q25" i="9"/>
  <c r="Q23" i="9"/>
  <c r="R23" i="9" s="1"/>
  <c r="Q15" i="9"/>
  <c r="Q11" i="9"/>
  <c r="Q8" i="9"/>
  <c r="Q6" i="9"/>
  <c r="H47" i="9"/>
  <c r="H38" i="9"/>
  <c r="H35" i="9"/>
  <c r="H33" i="9"/>
  <c r="H31" i="9"/>
  <c r="H30" i="9"/>
  <c r="H29" i="9" s="1"/>
  <c r="H27" i="9"/>
  <c r="H25" i="9"/>
  <c r="H23" i="9"/>
  <c r="H15" i="9"/>
  <c r="H11" i="9"/>
  <c r="H8" i="9"/>
  <c r="H6" i="9"/>
  <c r="G47" i="9"/>
  <c r="I47" i="9" s="1"/>
  <c r="G38" i="9"/>
  <c r="G35" i="9"/>
  <c r="G33" i="9"/>
  <c r="G31" i="9"/>
  <c r="I31" i="9" s="1"/>
  <c r="G30" i="9"/>
  <c r="G27" i="9"/>
  <c r="G25" i="9"/>
  <c r="G23" i="9"/>
  <c r="I23" i="9" s="1"/>
  <c r="G15" i="9"/>
  <c r="G11" i="9"/>
  <c r="G8" i="9"/>
  <c r="G6" i="9"/>
  <c r="I6" i="9" s="1"/>
  <c r="N47" i="9"/>
  <c r="E47" i="9"/>
  <c r="N38" i="9"/>
  <c r="E38" i="9"/>
  <c r="N35" i="9"/>
  <c r="E35" i="9"/>
  <c r="N33" i="9"/>
  <c r="E33" i="9"/>
  <c r="F33" i="9" s="1"/>
  <c r="N31" i="9"/>
  <c r="E31" i="9"/>
  <c r="N30" i="9"/>
  <c r="E30" i="9"/>
  <c r="F30" i="9" s="1"/>
  <c r="N27" i="9"/>
  <c r="O27" i="9" s="1"/>
  <c r="E27" i="9"/>
  <c r="N25" i="9"/>
  <c r="E25" i="9"/>
  <c r="N23" i="9"/>
  <c r="E23" i="9"/>
  <c r="N15" i="9"/>
  <c r="E15" i="9"/>
  <c r="F15" i="9" s="1"/>
  <c r="N11" i="9"/>
  <c r="E11" i="9"/>
  <c r="N8" i="9"/>
  <c r="E8" i="9"/>
  <c r="N6" i="9"/>
  <c r="E6" i="9"/>
  <c r="L6" i="9"/>
  <c r="C6" i="9"/>
  <c r="L28" i="16"/>
  <c r="K28" i="16"/>
  <c r="J28" i="16"/>
  <c r="I28" i="16"/>
  <c r="H28" i="16"/>
  <c r="G28" i="16"/>
  <c r="F28" i="16"/>
  <c r="E28" i="16"/>
  <c r="D28" i="16"/>
  <c r="C28" i="16"/>
  <c r="B28" i="16"/>
  <c r="L27" i="16"/>
  <c r="K27" i="16"/>
  <c r="J27" i="16"/>
  <c r="I27" i="16"/>
  <c r="H27" i="16"/>
  <c r="G27" i="16"/>
  <c r="F27" i="16"/>
  <c r="E27" i="16"/>
  <c r="D27" i="16"/>
  <c r="C27" i="16"/>
  <c r="B27" i="16"/>
  <c r="L9" i="8"/>
  <c r="B9" i="8"/>
  <c r="L8" i="8"/>
  <c r="B8" i="8"/>
  <c r="H46" i="15"/>
  <c r="F46" i="15"/>
  <c r="E46" i="15"/>
  <c r="C46" i="15"/>
  <c r="H44" i="4"/>
  <c r="G44" i="4"/>
  <c r="F44" i="4"/>
  <c r="B44" i="4"/>
  <c r="F48" i="3"/>
  <c r="I48" i="3" s="1"/>
  <c r="G50" i="2" s="1"/>
  <c r="H39" i="3"/>
  <c r="H38" i="3"/>
  <c r="C50" i="2"/>
  <c r="C48" i="2"/>
  <c r="H48" i="2" s="1"/>
  <c r="C47" i="2"/>
  <c r="H47" i="2" s="1"/>
  <c r="O21" i="7"/>
  <c r="E21" i="7"/>
  <c r="N30" i="7"/>
  <c r="N31" i="7"/>
  <c r="P31" i="7"/>
  <c r="D30" i="7"/>
  <c r="F30" i="7"/>
  <c r="D31" i="7"/>
  <c r="N29" i="7"/>
  <c r="D29" i="7"/>
  <c r="N27" i="7"/>
  <c r="P27" i="7"/>
  <c r="N28" i="7"/>
  <c r="D27" i="7"/>
  <c r="F27" i="7"/>
  <c r="D28" i="7"/>
  <c r="N24" i="7"/>
  <c r="N25" i="7"/>
  <c r="P25" i="7"/>
  <c r="D24" i="7"/>
  <c r="F24" i="7"/>
  <c r="D25" i="7"/>
  <c r="F25" i="7"/>
  <c r="N23" i="7"/>
  <c r="P23" i="7"/>
  <c r="D23" i="7"/>
  <c r="N32" i="7"/>
  <c r="P32" i="7"/>
  <c r="I32" i="7"/>
  <c r="K32" i="7"/>
  <c r="D32" i="7"/>
  <c r="F32" i="7"/>
  <c r="I31" i="7"/>
  <c r="K31" i="7"/>
  <c r="F31" i="7"/>
  <c r="P30" i="7"/>
  <c r="I30" i="7"/>
  <c r="K30" i="7"/>
  <c r="P29" i="7"/>
  <c r="I29" i="7"/>
  <c r="K29" i="7"/>
  <c r="F29" i="7"/>
  <c r="P28" i="7"/>
  <c r="I28" i="7"/>
  <c r="K28" i="7"/>
  <c r="F28" i="7"/>
  <c r="I27" i="7"/>
  <c r="K27" i="7"/>
  <c r="N26" i="7"/>
  <c r="P26" i="7"/>
  <c r="I26" i="7"/>
  <c r="K26" i="7"/>
  <c r="D26" i="7"/>
  <c r="F26" i="7"/>
  <c r="I25" i="7"/>
  <c r="K25" i="7"/>
  <c r="P24" i="7"/>
  <c r="I24" i="7"/>
  <c r="K24" i="7"/>
  <c r="I23" i="7"/>
  <c r="K23" i="7"/>
  <c r="F23" i="7"/>
  <c r="E45" i="15"/>
  <c r="K45" i="15" s="1"/>
  <c r="E44" i="15"/>
  <c r="K44" i="15" s="1"/>
  <c r="M20" i="16"/>
  <c r="M8" i="16"/>
  <c r="H42" i="2"/>
  <c r="H37" i="2"/>
  <c r="H36" i="2"/>
  <c r="H32" i="2"/>
  <c r="B17" i="2"/>
  <c r="H8" i="2"/>
  <c r="L34" i="4"/>
  <c r="L33" i="4"/>
  <c r="L14" i="4"/>
  <c r="C10" i="8"/>
  <c r="D10" i="8"/>
  <c r="E10" i="8"/>
  <c r="G10" i="8"/>
  <c r="I10" i="8"/>
  <c r="J10" i="8"/>
  <c r="K10" i="8"/>
  <c r="I33" i="8"/>
  <c r="N21" i="7"/>
  <c r="D21" i="7"/>
  <c r="I21" i="7"/>
  <c r="J27" i="15" l="1"/>
  <c r="F7" i="7"/>
  <c r="C7" i="15"/>
  <c r="D7" i="4"/>
  <c r="F11" i="2"/>
  <c r="F21" i="2"/>
  <c r="E17" i="4"/>
  <c r="D20" i="4"/>
  <c r="D21" i="4" s="1"/>
  <c r="B18" i="3"/>
  <c r="G27" i="15"/>
  <c r="L31" i="8"/>
  <c r="B17" i="4"/>
  <c r="C43" i="3"/>
  <c r="C21" i="2"/>
  <c r="O33" i="9"/>
  <c r="O41" i="9"/>
  <c r="R30" i="9"/>
  <c r="C30" i="3"/>
  <c r="E22" i="3"/>
  <c r="E18" i="3"/>
  <c r="F17" i="2"/>
  <c r="F23" i="2" s="1"/>
  <c r="D12" i="7"/>
  <c r="G20" i="15"/>
  <c r="F23" i="9"/>
  <c r="F18" i="9"/>
  <c r="O50" i="9"/>
  <c r="C44" i="3"/>
  <c r="G32" i="4"/>
  <c r="H43" i="3"/>
  <c r="L10" i="8"/>
  <c r="O6" i="9"/>
  <c r="N10" i="9"/>
  <c r="N29" i="9"/>
  <c r="R33" i="9"/>
  <c r="H18" i="16"/>
  <c r="E37" i="16"/>
  <c r="K37" i="16"/>
  <c r="B27" i="4"/>
  <c r="E30" i="3"/>
  <c r="J7" i="15"/>
  <c r="B7" i="3"/>
  <c r="I12" i="4"/>
  <c r="D6" i="8"/>
  <c r="D12" i="8" s="1"/>
  <c r="E43" i="2"/>
  <c r="J40" i="15"/>
  <c r="J11" i="16"/>
  <c r="F11" i="16"/>
  <c r="B11" i="16"/>
  <c r="I6" i="16"/>
  <c r="L11" i="16"/>
  <c r="B37" i="4"/>
  <c r="D40" i="3"/>
  <c r="E40" i="2"/>
  <c r="B32" i="15"/>
  <c r="H7" i="15"/>
  <c r="D7" i="15"/>
  <c r="I7" i="4"/>
  <c r="E7" i="4"/>
  <c r="H7" i="3"/>
  <c r="E6" i="2"/>
  <c r="J12" i="15"/>
  <c r="F12" i="15"/>
  <c r="G12" i="4"/>
  <c r="C12" i="4"/>
  <c r="F12" i="3"/>
  <c r="C11" i="2"/>
  <c r="R11" i="9"/>
  <c r="C23" i="16"/>
  <c r="I15" i="9"/>
  <c r="B18" i="16"/>
  <c r="C18" i="16"/>
  <c r="D18" i="16"/>
  <c r="E18" i="16"/>
  <c r="I50" i="9"/>
  <c r="O8" i="9"/>
  <c r="R17" i="9"/>
  <c r="C40" i="15"/>
  <c r="H40" i="4"/>
  <c r="E40" i="4"/>
  <c r="B27" i="15"/>
  <c r="G18" i="3"/>
  <c r="D17" i="2"/>
  <c r="D23" i="2" s="1"/>
  <c r="J41" i="4"/>
  <c r="B7" i="7"/>
  <c r="G7" i="15"/>
  <c r="G7" i="3"/>
  <c r="I12" i="15"/>
  <c r="F12" i="4"/>
  <c r="E12" i="3"/>
  <c r="B11" i="2"/>
  <c r="F30" i="2"/>
  <c r="H37" i="4"/>
  <c r="F40" i="3"/>
  <c r="I21" i="3"/>
  <c r="G20" i="2" s="1"/>
  <c r="H20" i="2" s="1"/>
  <c r="J32" i="8"/>
  <c r="C6" i="8"/>
  <c r="C12" i="8" s="1"/>
  <c r="E12" i="7"/>
  <c r="E7" i="7"/>
  <c r="B7" i="15"/>
  <c r="G7" i="4"/>
  <c r="C7" i="4"/>
  <c r="F7" i="3"/>
  <c r="H12" i="15"/>
  <c r="D12" i="15"/>
  <c r="E11" i="2"/>
  <c r="J20" i="15"/>
  <c r="B20" i="15"/>
  <c r="C20" i="4"/>
  <c r="D17" i="15"/>
  <c r="E31" i="8"/>
  <c r="E30" i="2"/>
  <c r="J41" i="15"/>
  <c r="F41" i="15"/>
  <c r="B37" i="15"/>
  <c r="G37" i="4"/>
  <c r="C41" i="4"/>
  <c r="D32" i="4"/>
  <c r="E11" i="16"/>
  <c r="B46" i="4"/>
  <c r="B47" i="4" s="1"/>
  <c r="R6" i="9"/>
  <c r="F25" i="9"/>
  <c r="F41" i="9"/>
  <c r="F50" i="9"/>
  <c r="R44" i="9"/>
  <c r="E18" i="8"/>
  <c r="F27" i="15"/>
  <c r="K25" i="15"/>
  <c r="K25" i="4" s="1"/>
  <c r="L25" i="4" s="1"/>
  <c r="C5" i="5" s="1"/>
  <c r="G27" i="4"/>
  <c r="C27" i="4"/>
  <c r="I40" i="4"/>
  <c r="E37" i="4"/>
  <c r="G43" i="3"/>
  <c r="C40" i="3"/>
  <c r="D40" i="2"/>
  <c r="D44" i="2"/>
  <c r="J37" i="4"/>
  <c r="H7" i="4"/>
  <c r="C7" i="3"/>
  <c r="D6" i="2"/>
  <c r="E12" i="15"/>
  <c r="B12" i="4"/>
  <c r="F20" i="15"/>
  <c r="F21" i="15" s="1"/>
  <c r="G40" i="4"/>
  <c r="B44" i="2"/>
  <c r="B40" i="2"/>
  <c r="C30" i="16"/>
  <c r="G30" i="16"/>
  <c r="K30" i="16"/>
  <c r="R25" i="9"/>
  <c r="F47" i="9"/>
  <c r="C37" i="9"/>
  <c r="F40" i="9"/>
  <c r="F43" i="9"/>
  <c r="I42" i="9"/>
  <c r="I20" i="9"/>
  <c r="L14" i="9"/>
  <c r="O40" i="9"/>
  <c r="O16" i="9"/>
  <c r="N53" i="9"/>
  <c r="G28" i="8"/>
  <c r="B28" i="8"/>
  <c r="G37" i="15"/>
  <c r="C37" i="15"/>
  <c r="K23" i="8"/>
  <c r="D23" i="8"/>
  <c r="F32" i="4"/>
  <c r="G32" i="8"/>
  <c r="K26" i="15"/>
  <c r="K26" i="4" s="1"/>
  <c r="L26" i="4" s="1"/>
  <c r="C6" i="5" s="1"/>
  <c r="D41" i="4"/>
  <c r="B41" i="4"/>
  <c r="F37" i="15"/>
  <c r="F6" i="9"/>
  <c r="R35" i="9"/>
  <c r="C18" i="8"/>
  <c r="D37" i="4"/>
  <c r="G22" i="3"/>
  <c r="C18" i="3"/>
  <c r="C23" i="3" s="1"/>
  <c r="F37" i="16"/>
  <c r="E46" i="9"/>
  <c r="R43" i="9"/>
  <c r="J18" i="8"/>
  <c r="D27" i="15"/>
  <c r="I27" i="4"/>
  <c r="E27" i="4"/>
  <c r="D43" i="3"/>
  <c r="B40" i="3"/>
  <c r="C40" i="2"/>
  <c r="G17" i="4"/>
  <c r="H32" i="15"/>
  <c r="I32" i="4"/>
  <c r="I11" i="16"/>
  <c r="L6" i="16"/>
  <c r="H6" i="16"/>
  <c r="D6" i="16"/>
  <c r="B6" i="16"/>
  <c r="B7" i="4"/>
  <c r="F6" i="2"/>
  <c r="G12" i="15"/>
  <c r="G12" i="3"/>
  <c r="C12" i="3"/>
  <c r="D11" i="2"/>
  <c r="D40" i="4"/>
  <c r="G23" i="16"/>
  <c r="J23" i="16"/>
  <c r="K23" i="16"/>
  <c r="L23" i="16"/>
  <c r="F4" i="9"/>
  <c r="L29" i="9"/>
  <c r="O18" i="9"/>
  <c r="O21" i="9"/>
  <c r="P29" i="9"/>
  <c r="D30" i="2"/>
  <c r="I37" i="15"/>
  <c r="E37" i="15"/>
  <c r="G35" i="3"/>
  <c r="C35" i="3"/>
  <c r="I41" i="15"/>
  <c r="C32" i="8"/>
  <c r="H41" i="15"/>
  <c r="D41" i="15"/>
  <c r="I41" i="4"/>
  <c r="D22" i="3"/>
  <c r="E21" i="2"/>
  <c r="E23" i="2" s="1"/>
  <c r="L23" i="8"/>
  <c r="J32" i="15"/>
  <c r="B44" i="3"/>
  <c r="C35" i="2"/>
  <c r="J6" i="8"/>
  <c r="J12" i="8" s="1"/>
  <c r="K6" i="8"/>
  <c r="K12" i="8" s="1"/>
  <c r="E6" i="8"/>
  <c r="E12" i="8" s="1"/>
  <c r="F12" i="7"/>
  <c r="B12" i="7"/>
  <c r="D21" i="1"/>
  <c r="G21" i="1" s="1"/>
  <c r="H11" i="16"/>
  <c r="G6" i="16"/>
  <c r="C6" i="16"/>
  <c r="E6" i="16"/>
  <c r="I19" i="9"/>
  <c r="H14" i="9"/>
  <c r="H27" i="4"/>
  <c r="H41" i="4"/>
  <c r="L32" i="8"/>
  <c r="L28" i="8"/>
  <c r="E20" i="4"/>
  <c r="E21" i="4" s="1"/>
  <c r="B17" i="15"/>
  <c r="C7" i="7"/>
  <c r="G5" i="7"/>
  <c r="B7" i="1" s="1"/>
  <c r="D7" i="3"/>
  <c r="I5" i="3"/>
  <c r="G4" i="2" s="1"/>
  <c r="H4" i="2" s="1"/>
  <c r="B5" i="1" s="1"/>
  <c r="E7" i="3"/>
  <c r="I6" i="3"/>
  <c r="G5" i="2" s="1"/>
  <c r="H5" i="2" s="1"/>
  <c r="C5" i="1" s="1"/>
  <c r="B6" i="2"/>
  <c r="K11" i="15"/>
  <c r="K11" i="4" s="1"/>
  <c r="L11" i="4" s="1"/>
  <c r="C12" i="15"/>
  <c r="P14" i="9"/>
  <c r="D27" i="4"/>
  <c r="D31" i="8"/>
  <c r="C37" i="4"/>
  <c r="E40" i="3"/>
  <c r="H18" i="3"/>
  <c r="D18" i="3"/>
  <c r="F35" i="3"/>
  <c r="F44" i="3"/>
  <c r="N46" i="9"/>
  <c r="O47" i="9"/>
  <c r="B32" i="4"/>
  <c r="B40" i="4"/>
  <c r="H37" i="9"/>
  <c r="H20" i="15"/>
  <c r="H21" i="15" s="1"/>
  <c r="I20" i="4"/>
  <c r="C17" i="4"/>
  <c r="M10" i="16"/>
  <c r="B41" i="15"/>
  <c r="F8" i="9"/>
  <c r="M35" i="16"/>
  <c r="F38" i="9"/>
  <c r="C49" i="2"/>
  <c r="H49" i="2" s="1"/>
  <c r="B30" i="16"/>
  <c r="F30" i="16"/>
  <c r="F27" i="9"/>
  <c r="I25" i="9"/>
  <c r="Q29" i="9"/>
  <c r="Q46" i="9"/>
  <c r="B23" i="16"/>
  <c r="F23" i="16"/>
  <c r="E28" i="8"/>
  <c r="J37" i="15"/>
  <c r="I20" i="15"/>
  <c r="I21" i="15" s="1"/>
  <c r="H17" i="4"/>
  <c r="B35" i="3"/>
  <c r="E44" i="3"/>
  <c r="B32" i="8"/>
  <c r="G41" i="15"/>
  <c r="K36" i="15"/>
  <c r="K36" i="4" s="1"/>
  <c r="L36" i="4" s="1"/>
  <c r="C16" i="5" s="1"/>
  <c r="H33" i="8"/>
  <c r="L46" i="9"/>
  <c r="O42" i="9"/>
  <c r="O20" i="9"/>
  <c r="N37" i="9"/>
  <c r="P10" i="9"/>
  <c r="P46" i="9"/>
  <c r="R49" i="9"/>
  <c r="F43" i="2"/>
  <c r="F40" i="2"/>
  <c r="L18" i="16"/>
  <c r="F48" i="9"/>
  <c r="C37" i="16"/>
  <c r="G37" i="16"/>
  <c r="C29" i="9"/>
  <c r="O15" i="9"/>
  <c r="R39" i="9"/>
  <c r="R12" i="9"/>
  <c r="R48" i="9"/>
  <c r="R15" i="9"/>
  <c r="R18" i="9"/>
  <c r="R4" i="9"/>
  <c r="R50" i="9"/>
  <c r="G18" i="8"/>
  <c r="B18" i="8"/>
  <c r="C27" i="15"/>
  <c r="H30" i="3"/>
  <c r="B43" i="2"/>
  <c r="E27" i="15"/>
  <c r="J27" i="4"/>
  <c r="C44" i="2"/>
  <c r="D32" i="15"/>
  <c r="E33" i="7"/>
  <c r="M22" i="16"/>
  <c r="K31" i="8"/>
  <c r="D43" i="2"/>
  <c r="I35" i="9"/>
  <c r="D32" i="8"/>
  <c r="D18" i="8"/>
  <c r="F41" i="4"/>
  <c r="F27" i="4"/>
  <c r="G40" i="3"/>
  <c r="G44" i="3"/>
  <c r="I20" i="3"/>
  <c r="G19" i="2" s="1"/>
  <c r="H19" i="2" s="1"/>
  <c r="B22" i="3"/>
  <c r="F18" i="3"/>
  <c r="C17" i="2"/>
  <c r="E20" i="15"/>
  <c r="B20" i="4"/>
  <c r="C17" i="15"/>
  <c r="C21" i="15" s="1"/>
  <c r="O11" i="9"/>
  <c r="H40" i="3"/>
  <c r="D30" i="16"/>
  <c r="H30" i="16"/>
  <c r="L30" i="16"/>
  <c r="J18" i="16"/>
  <c r="K19" i="15"/>
  <c r="K19" i="4" s="1"/>
  <c r="L19" i="4" s="1"/>
  <c r="K5" i="15"/>
  <c r="K5" i="4" s="1"/>
  <c r="B12" i="15"/>
  <c r="K10" i="15"/>
  <c r="K10" i="4" s="1"/>
  <c r="K6" i="15"/>
  <c r="K6" i="4" s="1"/>
  <c r="L6" i="4" s="1"/>
  <c r="C6" i="1" s="1"/>
  <c r="I11" i="3"/>
  <c r="G10" i="2" s="1"/>
  <c r="H10" i="2" s="1"/>
  <c r="J20" i="4"/>
  <c r="G17" i="15"/>
  <c r="O31" i="9"/>
  <c r="R31" i="9"/>
  <c r="J28" i="8"/>
  <c r="J31" i="8"/>
  <c r="C28" i="8"/>
  <c r="D40" i="15"/>
  <c r="I37" i="4"/>
  <c r="F40" i="4"/>
  <c r="F37" i="4"/>
  <c r="G11" i="16"/>
  <c r="J6" i="16"/>
  <c r="F6" i="16"/>
  <c r="D20" i="15"/>
  <c r="Q37" i="9"/>
  <c r="B43" i="3"/>
  <c r="B30" i="2"/>
  <c r="B23" i="2"/>
  <c r="M8" i="8"/>
  <c r="E10" i="9"/>
  <c r="I27" i="9"/>
  <c r="E23" i="16"/>
  <c r="K18" i="16"/>
  <c r="I37" i="16"/>
  <c r="F12" i="9"/>
  <c r="I41" i="9"/>
  <c r="I4" i="9"/>
  <c r="I21" i="9"/>
  <c r="O17" i="9"/>
  <c r="O48" i="9"/>
  <c r="R41" i="9"/>
  <c r="R21" i="9"/>
  <c r="I27" i="15"/>
  <c r="F30" i="3"/>
  <c r="B30" i="3"/>
  <c r="K11" i="16"/>
  <c r="M5" i="16"/>
  <c r="H12" i="4"/>
  <c r="H23" i="16"/>
  <c r="J23" i="8"/>
  <c r="C23" i="8"/>
  <c r="I33" i="3"/>
  <c r="G33" i="2" s="1"/>
  <c r="H33" i="2" s="1"/>
  <c r="B10" i="5" s="1"/>
  <c r="G40" i="15"/>
  <c r="O30" i="9"/>
  <c r="H50" i="2"/>
  <c r="I30" i="16"/>
  <c r="I33" i="9"/>
  <c r="G18" i="16"/>
  <c r="D37" i="16"/>
  <c r="H37" i="16"/>
  <c r="L37" i="16"/>
  <c r="L18" i="8"/>
  <c r="B40" i="15"/>
  <c r="G30" i="3"/>
  <c r="H32" i="4"/>
  <c r="F35" i="2"/>
  <c r="B35" i="2"/>
  <c r="H22" i="3"/>
  <c r="F7" i="15"/>
  <c r="E12" i="4"/>
  <c r="H12" i="3"/>
  <c r="D12" i="3"/>
  <c r="M9" i="8"/>
  <c r="E29" i="9"/>
  <c r="R47" i="9"/>
  <c r="M17" i="16"/>
  <c r="I23" i="16"/>
  <c r="O39" i="9"/>
  <c r="M16" i="8"/>
  <c r="D5" i="5" s="1"/>
  <c r="M26" i="8"/>
  <c r="D15" i="5" s="1"/>
  <c r="H20" i="4"/>
  <c r="M21" i="8"/>
  <c r="D10" i="5" s="1"/>
  <c r="G41" i="4"/>
  <c r="F22" i="3"/>
  <c r="C6" i="2"/>
  <c r="E30" i="16"/>
  <c r="F16" i="9"/>
  <c r="I39" i="9"/>
  <c r="I17" i="9"/>
  <c r="O25" i="9"/>
  <c r="R27" i="9"/>
  <c r="G20" i="4"/>
  <c r="I17" i="4"/>
  <c r="M17" i="8"/>
  <c r="D6" i="5" s="1"/>
  <c r="M27" i="8"/>
  <c r="D16" i="5" s="1"/>
  <c r="E41" i="15"/>
  <c r="I10" i="3"/>
  <c r="G9" i="2" s="1"/>
  <c r="D7" i="7"/>
  <c r="I7" i="15"/>
  <c r="E7" i="15"/>
  <c r="J7" i="4"/>
  <c r="F7" i="4"/>
  <c r="O38" i="9"/>
  <c r="I29" i="3"/>
  <c r="G29" i="2" s="1"/>
  <c r="H29" i="2" s="1"/>
  <c r="M22" i="8"/>
  <c r="H35" i="3"/>
  <c r="C11" i="16"/>
  <c r="P21" i="7"/>
  <c r="J30" i="16"/>
  <c r="I18" i="16"/>
  <c r="K21" i="7"/>
  <c r="F17" i="9"/>
  <c r="O43" i="9"/>
  <c r="O4" i="9"/>
  <c r="N14" i="9"/>
  <c r="R42" i="9"/>
  <c r="R20" i="9"/>
  <c r="R19" i="9"/>
  <c r="J17" i="15"/>
  <c r="K28" i="8"/>
  <c r="D28" i="8"/>
  <c r="I17" i="3"/>
  <c r="G16" i="2" s="1"/>
  <c r="H16" i="2" s="1"/>
  <c r="C16" i="1" s="1"/>
  <c r="E32" i="8"/>
  <c r="F32" i="15"/>
  <c r="J7" i="5"/>
  <c r="G22" i="5"/>
  <c r="O33" i="7"/>
  <c r="H29" i="1"/>
  <c r="J12" i="5"/>
  <c r="G17" i="5"/>
  <c r="D38" i="1"/>
  <c r="E36" i="1" s="1"/>
  <c r="E8" i="1"/>
  <c r="E11" i="1" s="1"/>
  <c r="H8" i="1"/>
  <c r="H11" i="1" s="1"/>
  <c r="H22" i="1"/>
  <c r="E22" i="1"/>
  <c r="F20" i="1"/>
  <c r="J21" i="5"/>
  <c r="G12" i="5"/>
  <c r="F21" i="7"/>
  <c r="G7" i="5"/>
  <c r="J33" i="7"/>
  <c r="K18" i="8"/>
  <c r="B31" i="8"/>
  <c r="G31" i="8"/>
  <c r="C31" i="8"/>
  <c r="L6" i="8"/>
  <c r="L12" i="8" s="1"/>
  <c r="B12" i="3"/>
  <c r="I32" i="15"/>
  <c r="I40" i="15"/>
  <c r="E32" i="15"/>
  <c r="E40" i="15"/>
  <c r="K30" i="15"/>
  <c r="K30" i="4" s="1"/>
  <c r="L30" i="4" s="1"/>
  <c r="C10" i="5" s="1"/>
  <c r="J40" i="4"/>
  <c r="J32" i="4"/>
  <c r="C32" i="4"/>
  <c r="C32" i="15"/>
  <c r="K31" i="15"/>
  <c r="K31" i="4" s="1"/>
  <c r="L31" i="4" s="1"/>
  <c r="C11" i="5" s="1"/>
  <c r="C41" i="15"/>
  <c r="E41" i="4"/>
  <c r="E32" i="4"/>
  <c r="D44" i="3"/>
  <c r="I34" i="3"/>
  <c r="G34" i="2" s="1"/>
  <c r="D35" i="3"/>
  <c r="E44" i="2"/>
  <c r="E35" i="2"/>
  <c r="M5" i="8"/>
  <c r="C19" i="1" s="1"/>
  <c r="B6" i="8"/>
  <c r="M4" i="8"/>
  <c r="B19" i="1" s="1"/>
  <c r="I6" i="8"/>
  <c r="I12" i="8" s="1"/>
  <c r="D11" i="16"/>
  <c r="M9" i="16"/>
  <c r="K6" i="16"/>
  <c r="M4" i="16"/>
  <c r="C40" i="4"/>
  <c r="I38" i="9"/>
  <c r="G37" i="9"/>
  <c r="D23" i="16"/>
  <c r="M21" i="16"/>
  <c r="F21" i="9"/>
  <c r="C14" i="9"/>
  <c r="F49" i="9"/>
  <c r="C46" i="9"/>
  <c r="F44" i="9"/>
  <c r="E53" i="9"/>
  <c r="I12" i="9"/>
  <c r="H10" i="9"/>
  <c r="I48" i="9"/>
  <c r="H53" i="9"/>
  <c r="O23" i="9"/>
  <c r="O44" i="9"/>
  <c r="L53" i="9"/>
  <c r="P37" i="9"/>
  <c r="R38" i="9"/>
  <c r="D30" i="3"/>
  <c r="I28" i="3"/>
  <c r="G28" i="2" s="1"/>
  <c r="K35" i="15"/>
  <c r="K35" i="4" s="1"/>
  <c r="L35" i="4" s="1"/>
  <c r="C15" i="5" s="1"/>
  <c r="D37" i="15"/>
  <c r="F20" i="4"/>
  <c r="F21" i="4" s="1"/>
  <c r="K16" i="15"/>
  <c r="K16" i="4" s="1"/>
  <c r="L16" i="4" s="1"/>
  <c r="E17" i="15"/>
  <c r="J17" i="4"/>
  <c r="B10" i="8"/>
  <c r="K15" i="15"/>
  <c r="K15" i="4" s="1"/>
  <c r="I11" i="9"/>
  <c r="G10" i="9"/>
  <c r="B37" i="16"/>
  <c r="M34" i="16"/>
  <c r="J17" i="5"/>
  <c r="J20" i="5"/>
  <c r="F35" i="9"/>
  <c r="F39" i="9"/>
  <c r="E37" i="9"/>
  <c r="I18" i="9"/>
  <c r="G14" i="9"/>
  <c r="G46" i="9"/>
  <c r="I49" i="9"/>
  <c r="O35" i="9"/>
  <c r="R16" i="9"/>
  <c r="Q53" i="9"/>
  <c r="Q14" i="9"/>
  <c r="R40" i="9"/>
  <c r="P53" i="9"/>
  <c r="H40" i="15"/>
  <c r="H37" i="15"/>
  <c r="F18" i="16"/>
  <c r="C53" i="9"/>
  <c r="L37" i="9"/>
  <c r="I20" i="1"/>
  <c r="E14" i="9"/>
  <c r="G53" i="9"/>
  <c r="K46" i="15"/>
  <c r="K44" i="4" s="1"/>
  <c r="L44" i="4" s="1"/>
  <c r="F31" i="9"/>
  <c r="M28" i="16"/>
  <c r="G6" i="7"/>
  <c r="C7" i="1" s="1"/>
  <c r="E35" i="3"/>
  <c r="E43" i="3"/>
  <c r="F44" i="2"/>
  <c r="M27" i="16"/>
  <c r="H44" i="3"/>
  <c r="O12" i="9"/>
  <c r="L10" i="9"/>
  <c r="I39" i="3"/>
  <c r="G39" i="2" s="1"/>
  <c r="H39" i="2" s="1"/>
  <c r="B16" i="5" s="1"/>
  <c r="E23" i="8"/>
  <c r="G6" i="8"/>
  <c r="G12" i="8" s="1"/>
  <c r="G29" i="9"/>
  <c r="I29" i="9" s="1"/>
  <c r="I30" i="9"/>
  <c r="Q10" i="9"/>
  <c r="J37" i="16"/>
  <c r="F11" i="9"/>
  <c r="C10" i="9"/>
  <c r="F40" i="15"/>
  <c r="K32" i="8"/>
  <c r="I16" i="3"/>
  <c r="G15" i="2" s="1"/>
  <c r="G11" i="7"/>
  <c r="C18" i="1" s="1"/>
  <c r="G10" i="7"/>
  <c r="B18" i="1" s="1"/>
  <c r="C12" i="7"/>
  <c r="K47" i="15"/>
  <c r="K45" i="4" s="1"/>
  <c r="L45" i="4" s="1"/>
  <c r="B33" i="1" s="1"/>
  <c r="M16" i="16"/>
  <c r="I8" i="9"/>
  <c r="H46" i="9"/>
  <c r="R8" i="9"/>
  <c r="C43" i="2"/>
  <c r="C30" i="2"/>
  <c r="F43" i="3"/>
  <c r="I38" i="3"/>
  <c r="G38" i="2" s="1"/>
  <c r="K18" i="15"/>
  <c r="K18" i="4" s="1"/>
  <c r="J12" i="4"/>
  <c r="E29" i="1"/>
  <c r="B38" i="1"/>
  <c r="C37" i="1" s="1"/>
  <c r="C10" i="1" l="1"/>
  <c r="J42" i="15"/>
  <c r="G23" i="3"/>
  <c r="C22" i="7"/>
  <c r="B21" i="4"/>
  <c r="B23" i="3"/>
  <c r="B33" i="8"/>
  <c r="O29" i="9"/>
  <c r="K12" i="4"/>
  <c r="K20" i="4"/>
  <c r="I14" i="9"/>
  <c r="B45" i="3"/>
  <c r="C23" i="2"/>
  <c r="B42" i="4"/>
  <c r="M10" i="8"/>
  <c r="J21" i="15"/>
  <c r="B45" i="2"/>
  <c r="E23" i="3"/>
  <c r="I42" i="4"/>
  <c r="C45" i="3"/>
  <c r="G21" i="15"/>
  <c r="H45" i="3"/>
  <c r="E45" i="2"/>
  <c r="G11" i="2"/>
  <c r="H11" i="2" s="1"/>
  <c r="I21" i="4"/>
  <c r="R14" i="9"/>
  <c r="H42" i="15"/>
  <c r="D45" i="2"/>
  <c r="R29" i="9"/>
  <c r="C21" i="4"/>
  <c r="D42" i="4"/>
  <c r="G33" i="8"/>
  <c r="G45" i="3"/>
  <c r="G42" i="4"/>
  <c r="E42" i="4"/>
  <c r="F42" i="15"/>
  <c r="L10" i="4"/>
  <c r="H9" i="2"/>
  <c r="C42" i="15"/>
  <c r="J42" i="4"/>
  <c r="O14" i="9"/>
  <c r="C7" i="5"/>
  <c r="G42" i="15"/>
  <c r="K27" i="4"/>
  <c r="L27" i="4" s="1"/>
  <c r="D21" i="15"/>
  <c r="B21" i="15"/>
  <c r="C45" i="2"/>
  <c r="P54" i="9"/>
  <c r="P52" i="9" s="1"/>
  <c r="I40" i="3"/>
  <c r="D33" i="1"/>
  <c r="F21" i="1"/>
  <c r="I42" i="15"/>
  <c r="F29" i="9"/>
  <c r="K27" i="15"/>
  <c r="R46" i="9"/>
  <c r="B42" i="15"/>
  <c r="I18" i="3"/>
  <c r="I7" i="3"/>
  <c r="F45" i="3"/>
  <c r="H21" i="4"/>
  <c r="I21" i="1"/>
  <c r="G12" i="7"/>
  <c r="G7" i="7"/>
  <c r="H42" i="4"/>
  <c r="F42" i="4"/>
  <c r="C33" i="8"/>
  <c r="K7" i="15"/>
  <c r="F45" i="2"/>
  <c r="I53" i="9"/>
  <c r="G21" i="4"/>
  <c r="O46" i="9"/>
  <c r="I30" i="3"/>
  <c r="D45" i="3"/>
  <c r="L33" i="8"/>
  <c r="D42" i="15"/>
  <c r="K12" i="15"/>
  <c r="D23" i="3"/>
  <c r="G6" i="2"/>
  <c r="H6" i="2" s="1"/>
  <c r="D5" i="1" s="1"/>
  <c r="G5" i="1" s="1"/>
  <c r="K33" i="8"/>
  <c r="D17" i="5"/>
  <c r="H23" i="3"/>
  <c r="E45" i="3"/>
  <c r="M11" i="16"/>
  <c r="M23" i="8"/>
  <c r="K41" i="4"/>
  <c r="L41" i="4" s="1"/>
  <c r="I37" i="9"/>
  <c r="C21" i="5"/>
  <c r="F23" i="3"/>
  <c r="N54" i="9"/>
  <c r="N52" i="9" s="1"/>
  <c r="D33" i="8"/>
  <c r="M30" i="16"/>
  <c r="K20" i="15"/>
  <c r="M28" i="8"/>
  <c r="H54" i="9"/>
  <c r="H52" i="9" s="1"/>
  <c r="M6" i="16"/>
  <c r="K32" i="15"/>
  <c r="I12" i="3"/>
  <c r="J33" i="8"/>
  <c r="M32" i="8"/>
  <c r="L12" i="4"/>
  <c r="C8" i="1"/>
  <c r="C11" i="1" s="1"/>
  <c r="M22" i="7" s="1"/>
  <c r="E54" i="9"/>
  <c r="E52" i="9" s="1"/>
  <c r="E21" i="15"/>
  <c r="G44" i="2"/>
  <c r="H44" i="2" s="1"/>
  <c r="E42" i="15"/>
  <c r="G21" i="2"/>
  <c r="H21" i="2" s="1"/>
  <c r="R37" i="9"/>
  <c r="M31" i="8"/>
  <c r="I22" i="3"/>
  <c r="C17" i="1"/>
  <c r="C22" i="1" s="1"/>
  <c r="F37" i="9"/>
  <c r="H34" i="2"/>
  <c r="B11" i="5" s="1"/>
  <c r="B12" i="5" s="1"/>
  <c r="D7" i="5"/>
  <c r="Q54" i="9"/>
  <c r="Q52" i="9" s="1"/>
  <c r="M18" i="16"/>
  <c r="M37" i="16"/>
  <c r="M23" i="16"/>
  <c r="M18" i="8"/>
  <c r="I10" i="9"/>
  <c r="L20" i="4"/>
  <c r="I35" i="3"/>
  <c r="D20" i="5"/>
  <c r="E37" i="1"/>
  <c r="J22" i="5"/>
  <c r="C17" i="5"/>
  <c r="C20" i="5"/>
  <c r="C36" i="1"/>
  <c r="E16" i="5"/>
  <c r="F16" i="5" s="1"/>
  <c r="O37" i="9"/>
  <c r="L54" i="9"/>
  <c r="M37" i="9" s="1"/>
  <c r="K7" i="4"/>
  <c r="L7" i="4" s="1"/>
  <c r="L5" i="4"/>
  <c r="B6" i="1" s="1"/>
  <c r="K17" i="4"/>
  <c r="L17" i="4" s="1"/>
  <c r="L15" i="4"/>
  <c r="I44" i="3"/>
  <c r="K37" i="4"/>
  <c r="K40" i="4"/>
  <c r="L40" i="4" s="1"/>
  <c r="D19" i="1"/>
  <c r="G19" i="1" s="1"/>
  <c r="C12" i="5"/>
  <c r="K41" i="15"/>
  <c r="E10" i="5"/>
  <c r="D18" i="1"/>
  <c r="G18" i="1" s="1"/>
  <c r="B6" i="5"/>
  <c r="E6" i="5" s="1"/>
  <c r="F6" i="5" s="1"/>
  <c r="B28" i="1"/>
  <c r="J21" i="4"/>
  <c r="K17" i="15"/>
  <c r="R53" i="9"/>
  <c r="I46" i="9"/>
  <c r="G54" i="9"/>
  <c r="I43" i="3"/>
  <c r="H28" i="2"/>
  <c r="G30" i="2"/>
  <c r="H30" i="2" s="1"/>
  <c r="G43" i="2"/>
  <c r="H43" i="2" s="1"/>
  <c r="R10" i="9"/>
  <c r="M6" i="8"/>
  <c r="B12" i="8"/>
  <c r="M12" i="8" s="1"/>
  <c r="D7" i="1"/>
  <c r="G7" i="1" s="1"/>
  <c r="G40" i="2"/>
  <c r="H40" i="2" s="1"/>
  <c r="H38" i="2"/>
  <c r="B15" i="5" s="1"/>
  <c r="F10" i="9"/>
  <c r="D11" i="5"/>
  <c r="O10" i="9"/>
  <c r="O53" i="9"/>
  <c r="F14" i="9"/>
  <c r="K40" i="15"/>
  <c r="G17" i="2"/>
  <c r="H15" i="2"/>
  <c r="B16" i="1" s="1"/>
  <c r="E33" i="8"/>
  <c r="D42" i="9"/>
  <c r="F53" i="9"/>
  <c r="K37" i="15"/>
  <c r="F46" i="9"/>
  <c r="C54" i="9"/>
  <c r="L18" i="4"/>
  <c r="B22" i="7"/>
  <c r="C42" i="4"/>
  <c r="K32" i="4"/>
  <c r="L32" i="4" s="1"/>
  <c r="G35" i="2"/>
  <c r="H35" i="2" s="1"/>
  <c r="C27" i="1"/>
  <c r="C33" i="7" l="1"/>
  <c r="F5" i="1"/>
  <c r="K21" i="15"/>
  <c r="B10" i="1"/>
  <c r="D10" i="1" s="1"/>
  <c r="G10" i="1" s="1"/>
  <c r="C33" i="1"/>
  <c r="B32" i="1"/>
  <c r="D32" i="1" s="1"/>
  <c r="I23" i="3"/>
  <c r="K42" i="15"/>
  <c r="I45" i="3"/>
  <c r="C22" i="5"/>
  <c r="M33" i="8"/>
  <c r="C28" i="1"/>
  <c r="D28" i="1" s="1"/>
  <c r="G45" i="2"/>
  <c r="H45" i="2" s="1"/>
  <c r="E11" i="5"/>
  <c r="F11" i="5" s="1"/>
  <c r="H11" i="5" s="1"/>
  <c r="R54" i="9"/>
  <c r="B21" i="5"/>
  <c r="R52" i="9"/>
  <c r="D8" i="9"/>
  <c r="D37" i="9"/>
  <c r="D15" i="9"/>
  <c r="D17" i="9"/>
  <c r="D50" i="9"/>
  <c r="D12" i="9"/>
  <c r="D11" i="9"/>
  <c r="D40" i="9"/>
  <c r="D29" i="9"/>
  <c r="D39" i="9"/>
  <c r="D6" i="9"/>
  <c r="D4" i="9"/>
  <c r="D23" i="9"/>
  <c r="D47" i="9"/>
  <c r="C52" i="9"/>
  <c r="D25" i="9"/>
  <c r="D48" i="9"/>
  <c r="D43" i="9"/>
  <c r="D19" i="9"/>
  <c r="D20" i="9"/>
  <c r="D44" i="9"/>
  <c r="D18" i="9"/>
  <c r="D16" i="9"/>
  <c r="D30" i="9"/>
  <c r="D33" i="9"/>
  <c r="D54" i="9"/>
  <c r="D35" i="9"/>
  <c r="D49" i="9"/>
  <c r="D27" i="9"/>
  <c r="D38" i="9"/>
  <c r="D41" i="9"/>
  <c r="D31" i="9"/>
  <c r="F54" i="9"/>
  <c r="D21" i="9"/>
  <c r="D53" i="9"/>
  <c r="D14" i="9"/>
  <c r="D10" i="9"/>
  <c r="M33" i="7"/>
  <c r="H22" i="7"/>
  <c r="K21" i="4"/>
  <c r="L21" i="4" s="1"/>
  <c r="D16" i="1"/>
  <c r="G16" i="1" s="1"/>
  <c r="E15" i="5"/>
  <c r="B17" i="5"/>
  <c r="I7" i="1"/>
  <c r="F7" i="1"/>
  <c r="B5" i="5"/>
  <c r="B27" i="1"/>
  <c r="B29" i="1" s="1"/>
  <c r="H6" i="5"/>
  <c r="K42" i="4"/>
  <c r="L42" i="4" s="1"/>
  <c r="L37" i="4"/>
  <c r="M42" i="9"/>
  <c r="M46" i="9"/>
  <c r="M17" i="9"/>
  <c r="M11" i="9"/>
  <c r="M38" i="9"/>
  <c r="M33" i="9"/>
  <c r="M48" i="9"/>
  <c r="M31" i="9"/>
  <c r="M40" i="9"/>
  <c r="M43" i="9"/>
  <c r="M18" i="9"/>
  <c r="M29" i="9"/>
  <c r="M54" i="9"/>
  <c r="M19" i="9"/>
  <c r="M15" i="9"/>
  <c r="M50" i="9"/>
  <c r="O54" i="9"/>
  <c r="M4" i="9"/>
  <c r="M21" i="9"/>
  <c r="M20" i="9"/>
  <c r="M27" i="9"/>
  <c r="M8" i="9"/>
  <c r="M41" i="9"/>
  <c r="M12" i="9"/>
  <c r="M6" i="9"/>
  <c r="M47" i="9"/>
  <c r="L52" i="9"/>
  <c r="M25" i="9"/>
  <c r="M39" i="9"/>
  <c r="M44" i="9"/>
  <c r="M16" i="9"/>
  <c r="M14" i="9"/>
  <c r="M23" i="9"/>
  <c r="M49" i="9"/>
  <c r="M30" i="9"/>
  <c r="M35" i="9"/>
  <c r="I5" i="1"/>
  <c r="D22" i="7"/>
  <c r="B33" i="7"/>
  <c r="D46" i="9"/>
  <c r="G23" i="2"/>
  <c r="H23" i="2" s="1"/>
  <c r="H17" i="2"/>
  <c r="D21" i="5"/>
  <c r="D22" i="5" s="1"/>
  <c r="D12" i="5"/>
  <c r="F18" i="1"/>
  <c r="I18" i="1"/>
  <c r="F10" i="5"/>
  <c r="D6" i="1"/>
  <c r="G6" i="1" s="1"/>
  <c r="B8" i="1"/>
  <c r="B11" i="1" s="1"/>
  <c r="L22" i="7" s="1"/>
  <c r="M53" i="9"/>
  <c r="M10" i="9"/>
  <c r="I54" i="9"/>
  <c r="G52" i="9"/>
  <c r="I52" i="9" s="1"/>
  <c r="I19" i="1"/>
  <c r="F19" i="1"/>
  <c r="B17" i="1"/>
  <c r="D17" i="1" s="1"/>
  <c r="G17" i="1" s="1"/>
  <c r="H16" i="5"/>
  <c r="D34" i="1" l="1"/>
  <c r="E32" i="1" s="1"/>
  <c r="H33" i="7"/>
  <c r="C32" i="1"/>
  <c r="C29" i="1"/>
  <c r="B22" i="1"/>
  <c r="E12" i="5"/>
  <c r="F28" i="1"/>
  <c r="E21" i="5"/>
  <c r="F21" i="5" s="1"/>
  <c r="H21" i="5" s="1"/>
  <c r="O52" i="9"/>
  <c r="M52" i="9"/>
  <c r="B7" i="5"/>
  <c r="E5" i="5"/>
  <c r="I17" i="1"/>
  <c r="F17" i="1"/>
  <c r="F12" i="5"/>
  <c r="H12" i="5" s="1"/>
  <c r="H10" i="5"/>
  <c r="L33" i="7"/>
  <c r="G22" i="7"/>
  <c r="N22" i="7"/>
  <c r="B20" i="5"/>
  <c r="D33" i="7"/>
  <c r="F33" i="7" s="1"/>
  <c r="F22" i="7"/>
  <c r="I10" i="1"/>
  <c r="F10" i="1"/>
  <c r="D22" i="1"/>
  <c r="F22" i="1" s="1"/>
  <c r="F16" i="1"/>
  <c r="F6" i="1"/>
  <c r="D8" i="1"/>
  <c r="F8" i="1" s="1"/>
  <c r="E17" i="5"/>
  <c r="D27" i="1" s="1"/>
  <c r="F15" i="5"/>
  <c r="F52" i="9"/>
  <c r="D52" i="9"/>
  <c r="I16" i="5"/>
  <c r="E33" i="1" l="1"/>
  <c r="G28" i="1"/>
  <c r="I11" i="5"/>
  <c r="I6" i="1"/>
  <c r="G8" i="1"/>
  <c r="D29" i="1"/>
  <c r="F29" i="1" s="1"/>
  <c r="F27" i="1"/>
  <c r="D11" i="1"/>
  <c r="F11" i="1" s="1"/>
  <c r="N33" i="7"/>
  <c r="P33" i="7" s="1"/>
  <c r="P22" i="7"/>
  <c r="F5" i="5"/>
  <c r="E7" i="5"/>
  <c r="H15" i="5"/>
  <c r="F17" i="5"/>
  <c r="H17" i="5" s="1"/>
  <c r="B22" i="5"/>
  <c r="E20" i="5"/>
  <c r="I16" i="1"/>
  <c r="G22" i="1"/>
  <c r="I22" i="1" s="1"/>
  <c r="I22" i="7"/>
  <c r="G33" i="7"/>
  <c r="I6" i="5"/>
  <c r="K11" i="5" l="1"/>
  <c r="I21" i="5"/>
  <c r="K21" i="5" s="1"/>
  <c r="K6" i="5"/>
  <c r="I28" i="1"/>
  <c r="F20" i="5"/>
  <c r="E22" i="5"/>
  <c r="I33" i="7"/>
  <c r="K33" i="7" s="1"/>
  <c r="K22" i="7"/>
  <c r="I8" i="1"/>
  <c r="G11" i="1"/>
  <c r="I11" i="1" s="1"/>
  <c r="H5" i="5"/>
  <c r="F7" i="5"/>
  <c r="H7" i="5" s="1"/>
  <c r="G27" i="1"/>
  <c r="I5" i="5"/>
  <c r="I15" i="5"/>
  <c r="I10" i="5"/>
  <c r="I12" i="5" l="1"/>
  <c r="K12" i="5" s="1"/>
  <c r="K10" i="5"/>
  <c r="K15" i="5"/>
  <c r="I17" i="5"/>
  <c r="K17" i="5" s="1"/>
  <c r="G29" i="1"/>
  <c r="I29" i="1" s="1"/>
  <c r="I27" i="1"/>
  <c r="H20" i="5"/>
  <c r="F22" i="5"/>
  <c r="H22" i="5" s="1"/>
  <c r="I20" i="5"/>
  <c r="K5" i="5"/>
  <c r="I7" i="5"/>
  <c r="K7" i="5" s="1"/>
  <c r="I22" i="5" l="1"/>
  <c r="K22" i="5" s="1"/>
  <c r="K20" i="5"/>
</calcChain>
</file>

<file path=xl/sharedStrings.xml><?xml version="1.0" encoding="utf-8"?>
<sst xmlns="http://schemas.openxmlformats.org/spreadsheetml/2006/main" count="524" uniqueCount="212">
  <si>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</si>
  <si>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</si>
  <si>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</si>
  <si>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</si>
  <si>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</si>
  <si>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</si>
  <si>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</si>
  <si>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</si>
  <si>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</si>
  <si>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</si>
  <si>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</si>
  <si>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</si>
  <si>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</si>
  <si>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</si>
  <si>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</si>
  <si>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</si>
  <si>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</si>
  <si>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</si>
  <si>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</si>
  <si>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</si>
  <si>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</si>
  <si>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</si>
  <si>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</si>
  <si>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</si>
  <si>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</si>
  <si>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</si>
  <si>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</si>
  <si>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</si>
  <si>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</si>
  <si>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</si>
  <si>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</si>
  <si>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</si>
  <si>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</si>
  <si>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</si>
  <si>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</si>
  <si>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</si>
  <si>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</si>
  <si>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</si>
  <si>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</si>
  <si>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</si>
  <si>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</si>
  <si>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</si>
  <si>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</si>
  <si>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</si>
  <si>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</si>
  <si>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</si>
  <si>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</si>
  <si>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</si>
  <si>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</si>
  <si>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</si>
  <si>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</si>
  <si>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</si>
  <si>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</si>
  <si>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</si>
  <si>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</si>
  <si>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</si>
  <si>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</si>
  <si>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</si>
  <si>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</si>
  <si>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</si>
  <si>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</si>
  <si>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</si>
  <si>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</si>
  <si>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</si>
  <si>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</si>
  <si>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</si>
  <si>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</si>
  <si>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</si>
  <si>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</si>
  <si>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</si>
  <si>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</si>
  <si>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</si>
  <si>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</si>
  <si>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</si>
  <si>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</si>
  <si>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</si>
  <si>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</si>
  <si>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</si>
  <si>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</si>
  <si>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</si>
  <si>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</si>
  <si>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</si>
  <si>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</si>
  <si>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</si>
  <si>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</si>
  <si>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</si>
  <si>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</si>
  <si>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</si>
  <si>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</si>
  <si>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</si>
  <si>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</si>
  <si>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</si>
  <si>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</si>
  <si>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</si>
  <si>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</si>
  <si>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</si>
  <si>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</si>
  <si>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</si>
  <si>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</si>
  <si>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</si>
  <si>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</si>
  <si>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</si>
  <si>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</si>
  <si>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</si>
  <si>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</si>
  <si>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</si>
  <si>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</si>
  <si>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</si>
  <si>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</si>
  <si>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</si>
  <si>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</si>
  <si>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</si>
  <si>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</si>
  <si>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</si>
  <si>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</si>
  <si>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</si>
  <si>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</si>
  <si>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</si>
  <si>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</si>
  <si>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</si>
  <si>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</si>
  <si>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</si>
  <si>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</si>
  <si>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</si>
  <si>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</si>
  <si>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</si>
  <si>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</si>
  <si>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</si>
  <si>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</si>
  <si>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</si>
  <si>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</si>
  <si>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</si>
  <si>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</si>
  <si>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</si>
  <si>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</si>
  <si>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</si>
  <si>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</si>
  <si>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</si>
  <si>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</si>
  <si>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</si>
  <si>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</si>
  <si>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</si>
  <si>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</si>
  <si>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</si>
  <si>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</si>
  <si>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</si>
  <si>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</si>
  <si>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</si>
  <si>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</si>
  <si>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</si>
  <si>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</si>
  <si>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</si>
  <si>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</si>
  <si>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</si>
  <si>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</si>
  <si>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</si>
  <si>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</si>
  <si>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</si>
  <si>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</si>
  <si>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</si>
  <si>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</si>
  <si>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</si>
  <si>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</si>
  <si>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</si>
  <si>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</si>
  <si>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</si>
  <si>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</si>
  <si>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</si>
  <si>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</si>
  <si>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</si>
  <si>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</si>
  <si>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</si>
  <si>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</si>
  <si>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</si>
  <si>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</si>
  <si>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</si>
  <si>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</si>
  <si>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</si>
  <si>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</si>
  <si>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</si>
  <si>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</si>
  <si>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</si>
  <si>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</si>
  <si>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</si>
  <si>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</si>
  <si>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</si>
  <si>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</si>
  <si>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</si>
  <si>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</si>
  <si>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</si>
  <si>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</si>
  <si>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</si>
  <si>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</si>
  <si>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</si>
  <si>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</si>
  <si>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</si>
  <si>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</si>
  <si>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</si>
  <si>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</si>
  <si>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</si>
  <si>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</si>
  <si>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</si>
  <si>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</si>
  <si>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</si>
  <si>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</si>
  <si>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</si>
  <si>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</si>
  <si>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February 2013</t>
  </si>
  <si>
    <t>Mesa - United</t>
  </si>
  <si>
    <t>Chautauqua - United</t>
  </si>
  <si>
    <t>Go Jet - United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</si>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</sst>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75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77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9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41" fontId="0" fillId="0" borderId="81" xfId="0" applyNumberFormat="1" applyBorder="1" applyAlignment="1">
      <alignment horizontal="center"/>
    </xf>
    <xf numFmtId="0" fontId="4" fillId="0" borderId="82" xfId="0" applyFont="1" applyBorder="1" applyAlignment="1">
      <alignment horizontal="center"/>
    </xf>
    <xf numFmtId="10" fontId="4" fillId="3" borderId="83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86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323775</xdr:colOff>
      <xdr:row>7</xdr:row>
      <xdr:rowOff>133365</xdr:rowOff>
    </xdr:from>
    <xdr:to>
      <xdr:col>1</xdr:col>
      <xdr:colOff>324135</xdr:colOff>
      <xdr:row>7</xdr:row>
      <xdr:rowOff>143085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3" name="Ink 32"/>
            <xdr14:cNvContentPartPr/>
          </xdr14:nvContentPartPr>
          <xdr14:nvPr macro=""/>
          <xdr14:xfrm>
            <a:off x="1885875" y="1114440"/>
            <a:ext cx="360" cy="9720"/>
          </xdr14:xfrm>
        </xdr:contentPart>
      </mc:Choice>
      <mc:Fallback xmlns="">
        <xdr:pic>
          <xdr:nvPicPr>
            <xdr:cNvPr id="33" name="Ink 3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73995" y="1102560"/>
              <a:ext cx="24120" cy="33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>
        <row r="5">
          <cell r="D5">
            <v>1584870</v>
          </cell>
        </row>
        <row r="6">
          <cell r="D6">
            <v>678963</v>
          </cell>
        </row>
        <row r="7">
          <cell r="D7">
            <v>1610</v>
          </cell>
        </row>
        <row r="10">
          <cell r="D10">
            <v>78582</v>
          </cell>
        </row>
        <row r="16">
          <cell r="D16">
            <v>13717</v>
          </cell>
        </row>
        <row r="17">
          <cell r="D17">
            <v>14690</v>
          </cell>
        </row>
        <row r="18">
          <cell r="D18">
            <v>13</v>
          </cell>
        </row>
        <row r="19">
          <cell r="D19">
            <v>883</v>
          </cell>
        </row>
        <row r="20">
          <cell r="D20">
            <v>1722</v>
          </cell>
        </row>
        <row r="21">
          <cell r="D21">
            <v>104</v>
          </cell>
        </row>
        <row r="27">
          <cell r="D27">
            <v>14495.11616332857</v>
          </cell>
        </row>
        <row r="28">
          <cell r="D28">
            <v>1350.53771583962</v>
          </cell>
        </row>
        <row r="32">
          <cell r="B32">
            <v>679273</v>
          </cell>
          <cell r="D32">
            <v>1356329</v>
          </cell>
        </row>
        <row r="33">
          <cell r="B33">
            <v>464505</v>
          </cell>
          <cell r="D33">
            <v>959936</v>
          </cell>
        </row>
      </sheetData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>
        <row r="5">
          <cell r="F5">
            <v>7474.7495724147402</v>
          </cell>
          <cell r="I5">
            <v>15348.716675883359</v>
          </cell>
        </row>
        <row r="6">
          <cell r="F6">
            <v>425.16029306365999</v>
          </cell>
          <cell r="I6">
            <v>939.47643441266996</v>
          </cell>
        </row>
        <row r="10">
          <cell r="F10">
            <v>7020.3665909138299</v>
          </cell>
          <cell r="I10">
            <v>14453.587513893221</v>
          </cell>
        </row>
        <row r="11">
          <cell r="F11">
            <v>925.37742277595999</v>
          </cell>
          <cell r="I11">
            <v>1964.05768365422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14495.11616332857</v>
          </cell>
        </row>
        <row r="21">
          <cell r="F21">
            <v>1350.53771583962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1765049</v>
          </cell>
        </row>
        <row r="6">
          <cell r="G6">
            <v>705057</v>
          </cell>
        </row>
        <row r="7">
          <cell r="G7">
            <v>368</v>
          </cell>
        </row>
        <row r="10">
          <cell r="G10">
            <v>87877</v>
          </cell>
        </row>
        <row r="16">
          <cell r="G16">
            <v>14961</v>
          </cell>
        </row>
        <row r="17">
          <cell r="G17">
            <v>15395</v>
          </cell>
        </row>
        <row r="18">
          <cell r="G18">
            <v>7</v>
          </cell>
        </row>
        <row r="19">
          <cell r="G19">
            <v>1080</v>
          </cell>
        </row>
        <row r="20">
          <cell r="G20">
            <v>1686</v>
          </cell>
        </row>
        <row r="21">
          <cell r="G21">
            <v>94</v>
          </cell>
        </row>
        <row r="27">
          <cell r="G27">
            <v>15183.335990596621</v>
          </cell>
        </row>
        <row r="28">
          <cell r="G28">
            <v>1125.3223002490699</v>
          </cell>
        </row>
        <row r="32">
          <cell r="D32">
            <v>742260</v>
          </cell>
        </row>
        <row r="33">
          <cell r="D33">
            <v>503652</v>
          </cell>
        </row>
      </sheetData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>
        <row r="5">
          <cell r="I5">
            <v>6952.3948670845903</v>
          </cell>
        </row>
        <row r="6">
          <cell r="I6">
            <v>715.72430780773993</v>
          </cell>
        </row>
        <row r="10">
          <cell r="I10">
            <v>8230.9411235120297</v>
          </cell>
        </row>
        <row r="11">
          <cell r="I11">
            <v>409.59799244133001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>
        <row r="5">
          <cell r="G5">
            <v>1613821</v>
          </cell>
        </row>
        <row r="6">
          <cell r="G6">
            <v>703357</v>
          </cell>
        </row>
        <row r="7">
          <cell r="G7">
            <v>555</v>
          </cell>
        </row>
        <row r="10">
          <cell r="G10">
            <v>86696</v>
          </cell>
        </row>
        <row r="16">
          <cell r="G16">
            <v>14435</v>
          </cell>
        </row>
        <row r="17">
          <cell r="G17">
            <v>16042</v>
          </cell>
        </row>
        <row r="18">
          <cell r="G18">
            <v>3</v>
          </cell>
        </row>
        <row r="19">
          <cell r="G19">
            <v>945</v>
          </cell>
        </row>
        <row r="20">
          <cell r="G20">
            <v>1608</v>
          </cell>
        </row>
        <row r="21">
          <cell r="G21">
            <v>110</v>
          </cell>
        </row>
        <row r="27">
          <cell r="G27">
            <v>15307.18802644801</v>
          </cell>
        </row>
        <row r="28">
          <cell r="G28">
            <v>1552.99640222727</v>
          </cell>
        </row>
      </sheetData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  <sheetName val="Sheet2"/>
    </sheetNames>
    <sheetDataSet>
      <sheetData sheetId="0"/>
      <sheetData sheetId="1">
        <row r="70">
          <cell r="AJ70">
            <v>293925</v>
          </cell>
        </row>
      </sheetData>
      <sheetData sheetId="2">
        <row r="4">
          <cell r="DV4">
            <v>0</v>
          </cell>
        </row>
        <row r="19">
          <cell r="CV19">
            <v>0</v>
          </cell>
          <cell r="CW19">
            <v>0</v>
          </cell>
          <cell r="DJ19">
            <v>0</v>
          </cell>
          <cell r="DK19">
            <v>0</v>
          </cell>
        </row>
        <row r="41">
          <cell r="CV41">
            <v>0</v>
          </cell>
          <cell r="CW41">
            <v>0</v>
          </cell>
          <cell r="DJ41">
            <v>0</v>
          </cell>
          <cell r="DK41">
            <v>0</v>
          </cell>
        </row>
      </sheetData>
      <sheetData sheetId="3">
        <row r="4">
          <cell r="DJ4">
            <v>112</v>
          </cell>
          <cell r="DK4">
            <v>100</v>
          </cell>
        </row>
        <row r="5">
          <cell r="DK5">
            <v>100</v>
          </cell>
        </row>
        <row r="19">
          <cell r="CV19">
            <v>248</v>
          </cell>
          <cell r="CW19">
            <v>224</v>
          </cell>
          <cell r="DJ19">
            <v>224</v>
          </cell>
          <cell r="DK19">
            <v>200</v>
          </cell>
        </row>
        <row r="22">
          <cell r="DK22">
            <v>9233</v>
          </cell>
        </row>
        <row r="23">
          <cell r="DK23">
            <v>9172</v>
          </cell>
        </row>
        <row r="27">
          <cell r="DK27">
            <v>150</v>
          </cell>
        </row>
        <row r="28">
          <cell r="DK28">
            <v>168</v>
          </cell>
        </row>
        <row r="41">
          <cell r="CV41">
            <v>23053</v>
          </cell>
          <cell r="CW41">
            <v>22052</v>
          </cell>
          <cell r="DJ41">
            <v>21297</v>
          </cell>
          <cell r="DK41">
            <v>18405</v>
          </cell>
        </row>
      </sheetData>
      <sheetData sheetId="4">
        <row r="4">
          <cell r="DJ4">
            <v>62</v>
          </cell>
          <cell r="DK4">
            <v>55</v>
          </cell>
        </row>
        <row r="5">
          <cell r="DK5">
            <v>55</v>
          </cell>
        </row>
        <row r="19">
          <cell r="CV19">
            <v>122</v>
          </cell>
          <cell r="CW19">
            <v>114</v>
          </cell>
          <cell r="DJ19">
            <v>124</v>
          </cell>
          <cell r="DK19">
            <v>110</v>
          </cell>
        </row>
        <row r="22">
          <cell r="DK22">
            <v>6453</v>
          </cell>
        </row>
        <row r="23">
          <cell r="DK23">
            <v>6911</v>
          </cell>
        </row>
        <row r="27">
          <cell r="DK27">
            <v>265</v>
          </cell>
        </row>
        <row r="28">
          <cell r="DK28">
            <v>282</v>
          </cell>
        </row>
        <row r="41">
          <cell r="CV41">
            <v>14658</v>
          </cell>
          <cell r="CW41">
            <v>14094</v>
          </cell>
          <cell r="DJ41">
            <v>14249</v>
          </cell>
          <cell r="DK41">
            <v>13364</v>
          </cell>
        </row>
        <row r="47">
          <cell r="DK47">
            <v>10121</v>
          </cell>
        </row>
        <row r="52">
          <cell r="DK52">
            <v>7517</v>
          </cell>
        </row>
      </sheetData>
      <sheetData sheetId="5"/>
      <sheetData sheetId="6">
        <row r="4">
          <cell r="DJ4">
            <v>284</v>
          </cell>
          <cell r="DK4">
            <v>243</v>
          </cell>
        </row>
        <row r="5">
          <cell r="DK5">
            <v>243</v>
          </cell>
        </row>
        <row r="8">
          <cell r="DK8">
            <v>1</v>
          </cell>
        </row>
        <row r="9">
          <cell r="DK9">
            <v>1</v>
          </cell>
        </row>
        <row r="19">
          <cell r="CV19">
            <v>518</v>
          </cell>
          <cell r="CW19">
            <v>490</v>
          </cell>
          <cell r="DJ19">
            <v>568</v>
          </cell>
          <cell r="DK19">
            <v>488</v>
          </cell>
        </row>
        <row r="22">
          <cell r="DK22">
            <v>28100</v>
          </cell>
        </row>
        <row r="23">
          <cell r="DK23">
            <v>28477</v>
          </cell>
        </row>
        <row r="27">
          <cell r="DK27">
            <v>1115</v>
          </cell>
        </row>
        <row r="28">
          <cell r="DK28">
            <v>1209</v>
          </cell>
        </row>
        <row r="41">
          <cell r="CV41">
            <v>52666</v>
          </cell>
          <cell r="CW41">
            <v>53215</v>
          </cell>
          <cell r="DJ41">
            <v>56480</v>
          </cell>
          <cell r="DK41">
            <v>56577</v>
          </cell>
        </row>
        <row r="47">
          <cell r="DK47">
            <v>11025</v>
          </cell>
        </row>
        <row r="52">
          <cell r="DK52">
            <v>6511</v>
          </cell>
        </row>
      </sheetData>
      <sheetData sheetId="7">
        <row r="19">
          <cell r="CV19">
            <v>0</v>
          </cell>
          <cell r="CW19">
            <v>0</v>
          </cell>
        </row>
        <row r="41">
          <cell r="CV41">
            <v>0</v>
          </cell>
          <cell r="CW41">
            <v>0</v>
          </cell>
        </row>
      </sheetData>
      <sheetData sheetId="8">
        <row r="4">
          <cell r="DV4">
            <v>0</v>
          </cell>
        </row>
      </sheetData>
      <sheetData sheetId="9">
        <row r="4">
          <cell r="DJ4">
            <v>4126</v>
          </cell>
          <cell r="DK4">
            <v>3720</v>
          </cell>
        </row>
        <row r="5">
          <cell r="DK5">
            <v>3711</v>
          </cell>
        </row>
        <row r="8">
          <cell r="DK8">
            <v>2</v>
          </cell>
        </row>
        <row r="9">
          <cell r="DK9">
            <v>8</v>
          </cell>
        </row>
        <row r="15">
          <cell r="DJ15">
            <v>358</v>
          </cell>
          <cell r="DK15">
            <v>371</v>
          </cell>
        </row>
        <row r="16">
          <cell r="DJ16">
            <v>357</v>
          </cell>
          <cell r="DK16">
            <v>371</v>
          </cell>
        </row>
        <row r="19">
          <cell r="CV19">
            <v>8666</v>
          </cell>
          <cell r="CW19">
            <v>8060</v>
          </cell>
          <cell r="DJ19">
            <v>8979</v>
          </cell>
          <cell r="DK19">
            <v>8183</v>
          </cell>
        </row>
        <row r="22">
          <cell r="DK22">
            <v>499340</v>
          </cell>
        </row>
        <row r="23">
          <cell r="DK23">
            <v>510252</v>
          </cell>
        </row>
        <row r="27">
          <cell r="DK27">
            <v>20138</v>
          </cell>
        </row>
        <row r="28">
          <cell r="DK28">
            <v>19832</v>
          </cell>
        </row>
        <row r="32">
          <cell r="DJ32">
            <v>61206</v>
          </cell>
          <cell r="DK32">
            <v>57351</v>
          </cell>
        </row>
        <row r="33">
          <cell r="DJ33">
            <v>57984</v>
          </cell>
          <cell r="DK33">
            <v>57794</v>
          </cell>
        </row>
        <row r="37">
          <cell r="DJ37">
            <v>1579</v>
          </cell>
          <cell r="DK37">
            <v>1668</v>
          </cell>
        </row>
        <row r="38">
          <cell r="DJ38">
            <v>1560</v>
          </cell>
          <cell r="DK38">
            <v>1675</v>
          </cell>
        </row>
        <row r="41">
          <cell r="CV41">
            <v>1100415</v>
          </cell>
          <cell r="CW41">
            <v>1058220</v>
          </cell>
          <cell r="DJ41">
            <v>1183117</v>
          </cell>
          <cell r="DK41">
            <v>1124737</v>
          </cell>
        </row>
        <row r="47">
          <cell r="DK47">
            <v>3998651</v>
          </cell>
        </row>
        <row r="48">
          <cell r="DK48">
            <v>1068233</v>
          </cell>
        </row>
        <row r="52">
          <cell r="DK52">
            <v>2627779</v>
          </cell>
        </row>
        <row r="53">
          <cell r="DK53">
            <v>1304685</v>
          </cell>
        </row>
        <row r="70">
          <cell r="DK70">
            <v>267372</v>
          </cell>
        </row>
        <row r="71">
          <cell r="DK71">
            <v>242880</v>
          </cell>
        </row>
        <row r="73">
          <cell r="DK73">
            <v>30284</v>
          </cell>
        </row>
        <row r="74">
          <cell r="DK74">
            <v>27510</v>
          </cell>
        </row>
      </sheetData>
      <sheetData sheetId="10">
        <row r="4">
          <cell r="DJ4">
            <v>96</v>
          </cell>
          <cell r="DK4">
            <v>88</v>
          </cell>
        </row>
        <row r="5">
          <cell r="DK5">
            <v>88</v>
          </cell>
        </row>
        <row r="19">
          <cell r="CV19">
            <v>178</v>
          </cell>
          <cell r="CW19">
            <v>158</v>
          </cell>
          <cell r="DJ19">
            <v>192</v>
          </cell>
          <cell r="DK19">
            <v>176</v>
          </cell>
        </row>
        <row r="22">
          <cell r="DK22">
            <v>12515</v>
          </cell>
        </row>
        <row r="23">
          <cell r="DK23">
            <v>12898</v>
          </cell>
        </row>
        <row r="27">
          <cell r="DK27">
            <v>215</v>
          </cell>
        </row>
        <row r="28">
          <cell r="DK28">
            <v>211</v>
          </cell>
        </row>
        <row r="41">
          <cell r="CV41">
            <v>25011</v>
          </cell>
          <cell r="CW41">
            <v>23766</v>
          </cell>
          <cell r="DJ41">
            <v>26918</v>
          </cell>
          <cell r="DK41">
            <v>25413</v>
          </cell>
        </row>
      </sheetData>
      <sheetData sheetId="11">
        <row r="4">
          <cell r="DJ4">
            <v>255</v>
          </cell>
          <cell r="DK4">
            <v>49</v>
          </cell>
        </row>
        <row r="5">
          <cell r="DK5">
            <v>49</v>
          </cell>
        </row>
        <row r="19">
          <cell r="CV19">
            <v>1132</v>
          </cell>
          <cell r="CW19">
            <v>990</v>
          </cell>
          <cell r="DJ19">
            <v>510</v>
          </cell>
          <cell r="DK19">
            <v>98</v>
          </cell>
        </row>
        <row r="22">
          <cell r="DK22">
            <v>418</v>
          </cell>
        </row>
        <row r="23">
          <cell r="DK23">
            <v>412</v>
          </cell>
        </row>
        <row r="27">
          <cell r="DK27">
            <v>28</v>
          </cell>
        </row>
        <row r="28">
          <cell r="DK28">
            <v>17</v>
          </cell>
        </row>
        <row r="41">
          <cell r="CV41">
            <v>3718</v>
          </cell>
          <cell r="CW41">
            <v>3680</v>
          </cell>
          <cell r="DJ41">
            <v>2766</v>
          </cell>
          <cell r="DK41">
            <v>830</v>
          </cell>
        </row>
      </sheetData>
      <sheetData sheetId="12">
        <row r="8">
          <cell r="DV8">
            <v>0</v>
          </cell>
        </row>
        <row r="19">
          <cell r="CV19">
            <v>0</v>
          </cell>
          <cell r="CW19">
            <v>0</v>
          </cell>
          <cell r="DJ19">
            <v>0</v>
          </cell>
          <cell r="DK19">
            <v>0</v>
          </cell>
        </row>
        <row r="41">
          <cell r="CV41">
            <v>0</v>
          </cell>
          <cell r="CW41">
            <v>0</v>
          </cell>
          <cell r="DJ41">
            <v>0</v>
          </cell>
          <cell r="DK41">
            <v>0</v>
          </cell>
        </row>
      </sheetData>
      <sheetData sheetId="13"/>
      <sheetData sheetId="14">
        <row r="4">
          <cell r="DJ4">
            <v>568</v>
          </cell>
          <cell r="DK4">
            <v>528</v>
          </cell>
        </row>
        <row r="5">
          <cell r="DK5">
            <v>526</v>
          </cell>
        </row>
        <row r="19">
          <cell r="CV19">
            <v>1112</v>
          </cell>
          <cell r="CW19">
            <v>1083</v>
          </cell>
          <cell r="DJ19">
            <v>1136</v>
          </cell>
          <cell r="DK19">
            <v>1054</v>
          </cell>
        </row>
        <row r="22">
          <cell r="DK22">
            <v>53118</v>
          </cell>
        </row>
        <row r="23">
          <cell r="DK23">
            <v>54003</v>
          </cell>
        </row>
        <row r="27">
          <cell r="DK27">
            <v>960</v>
          </cell>
        </row>
        <row r="28">
          <cell r="DK28">
            <v>994</v>
          </cell>
        </row>
        <row r="41">
          <cell r="CV41">
            <v>96054</v>
          </cell>
          <cell r="CW41">
            <v>101765</v>
          </cell>
          <cell r="DJ41">
            <v>106323</v>
          </cell>
          <cell r="DK41">
            <v>107121</v>
          </cell>
        </row>
        <row r="47">
          <cell r="DK47">
            <v>175262</v>
          </cell>
        </row>
        <row r="52">
          <cell r="DK52">
            <v>51128</v>
          </cell>
        </row>
        <row r="70">
          <cell r="DK70">
            <v>53646</v>
          </cell>
        </row>
        <row r="71">
          <cell r="DK71">
            <v>357</v>
          </cell>
        </row>
      </sheetData>
      <sheetData sheetId="15">
        <row r="4">
          <cell r="DJ4">
            <v>341</v>
          </cell>
          <cell r="DK4">
            <v>308</v>
          </cell>
        </row>
        <row r="5">
          <cell r="DK5">
            <v>308</v>
          </cell>
        </row>
        <row r="19">
          <cell r="CV19">
            <v>310</v>
          </cell>
          <cell r="CW19">
            <v>274</v>
          </cell>
          <cell r="DJ19">
            <v>681</v>
          </cell>
          <cell r="DK19">
            <v>616</v>
          </cell>
        </row>
        <row r="22">
          <cell r="DK22">
            <v>40372</v>
          </cell>
        </row>
        <row r="23">
          <cell r="DK23">
            <v>42764</v>
          </cell>
        </row>
        <row r="27">
          <cell r="DK27">
            <v>262</v>
          </cell>
        </row>
        <row r="28">
          <cell r="DK28">
            <v>266</v>
          </cell>
        </row>
        <row r="41">
          <cell r="CV41">
            <v>39201</v>
          </cell>
          <cell r="CW41">
            <v>37076</v>
          </cell>
          <cell r="DJ41">
            <v>87200</v>
          </cell>
          <cell r="DK41">
            <v>83136</v>
          </cell>
        </row>
      </sheetData>
      <sheetData sheetId="16">
        <row r="4">
          <cell r="DJ4">
            <v>600</v>
          </cell>
          <cell r="DK4">
            <v>567</v>
          </cell>
        </row>
        <row r="5">
          <cell r="DK5">
            <v>560</v>
          </cell>
        </row>
        <row r="8">
          <cell r="DK8">
            <v>24</v>
          </cell>
        </row>
        <row r="9">
          <cell r="DK9">
            <v>26</v>
          </cell>
        </row>
        <row r="15">
          <cell r="DJ15">
            <v>140</v>
          </cell>
          <cell r="DK15">
            <v>174</v>
          </cell>
        </row>
        <row r="16">
          <cell r="DJ16">
            <v>141</v>
          </cell>
          <cell r="DK16">
            <v>180</v>
          </cell>
        </row>
        <row r="19">
          <cell r="CV19">
            <v>963</v>
          </cell>
          <cell r="CW19">
            <v>1219</v>
          </cell>
          <cell r="DJ19">
            <v>1549</v>
          </cell>
          <cell r="DK19">
            <v>1531</v>
          </cell>
        </row>
        <row r="22">
          <cell r="DK22">
            <v>54385</v>
          </cell>
        </row>
        <row r="23">
          <cell r="DK23">
            <v>57576</v>
          </cell>
        </row>
        <row r="27">
          <cell r="DK27">
            <v>1279</v>
          </cell>
        </row>
        <row r="28">
          <cell r="DK28">
            <v>1273</v>
          </cell>
        </row>
        <row r="32">
          <cell r="DJ32">
            <v>16529</v>
          </cell>
          <cell r="DK32">
            <v>22209</v>
          </cell>
        </row>
        <row r="33">
          <cell r="DJ33">
            <v>17265</v>
          </cell>
          <cell r="DK33">
            <v>23879</v>
          </cell>
        </row>
        <row r="37">
          <cell r="DJ37">
            <v>121</v>
          </cell>
          <cell r="DK37">
            <v>169</v>
          </cell>
        </row>
        <row r="38">
          <cell r="DJ38">
            <v>194</v>
          </cell>
          <cell r="DK38">
            <v>220</v>
          </cell>
        </row>
        <row r="41">
          <cell r="CV41">
            <v>120906</v>
          </cell>
          <cell r="CW41">
            <v>135800</v>
          </cell>
          <cell r="DJ41">
            <v>145640</v>
          </cell>
          <cell r="DK41">
            <v>158049</v>
          </cell>
        </row>
        <row r="47">
          <cell r="DK47">
            <v>30558</v>
          </cell>
        </row>
        <row r="48">
          <cell r="DK48">
            <v>40140</v>
          </cell>
        </row>
        <row r="53">
          <cell r="DK53">
            <v>296186</v>
          </cell>
        </row>
        <row r="70">
          <cell r="DK70">
            <v>57576</v>
          </cell>
        </row>
        <row r="71">
          <cell r="DK71">
            <v>0</v>
          </cell>
        </row>
        <row r="73">
          <cell r="DK73">
            <v>23879</v>
          </cell>
        </row>
        <row r="74">
          <cell r="DK74">
            <v>0</v>
          </cell>
        </row>
      </sheetData>
      <sheetData sheetId="17">
        <row r="4">
          <cell r="DJ4">
            <v>171</v>
          </cell>
          <cell r="DK4">
            <v>167</v>
          </cell>
        </row>
        <row r="5">
          <cell r="DK5">
            <v>167</v>
          </cell>
        </row>
        <row r="19">
          <cell r="CV19">
            <v>512</v>
          </cell>
          <cell r="CW19">
            <v>482</v>
          </cell>
          <cell r="DJ19">
            <v>342</v>
          </cell>
          <cell r="DK19">
            <v>334</v>
          </cell>
        </row>
        <row r="22">
          <cell r="DK22">
            <v>17856</v>
          </cell>
        </row>
        <row r="23">
          <cell r="DK23">
            <v>18453</v>
          </cell>
        </row>
        <row r="27">
          <cell r="DK27">
            <v>625</v>
          </cell>
        </row>
        <row r="28">
          <cell r="DK28">
            <v>874</v>
          </cell>
        </row>
        <row r="41">
          <cell r="CV41">
            <v>50828</v>
          </cell>
          <cell r="CW41">
            <v>49451</v>
          </cell>
          <cell r="DJ41">
            <v>31165</v>
          </cell>
          <cell r="DK41">
            <v>36309</v>
          </cell>
        </row>
        <row r="47">
          <cell r="DK47">
            <v>14834</v>
          </cell>
        </row>
        <row r="48">
          <cell r="DK48">
            <v>97460</v>
          </cell>
        </row>
        <row r="52">
          <cell r="DK52">
            <v>5334</v>
          </cell>
        </row>
        <row r="53">
          <cell r="DK53">
            <v>17132</v>
          </cell>
        </row>
      </sheetData>
      <sheetData sheetId="18">
        <row r="4">
          <cell r="DJ4">
            <v>330</v>
          </cell>
          <cell r="DK4">
            <v>310</v>
          </cell>
        </row>
        <row r="5">
          <cell r="DK5">
            <v>299</v>
          </cell>
        </row>
        <row r="19">
          <cell r="CV19">
            <v>674</v>
          </cell>
          <cell r="CW19">
            <v>623</v>
          </cell>
          <cell r="DJ19">
            <v>656</v>
          </cell>
          <cell r="DK19">
            <v>609</v>
          </cell>
        </row>
        <row r="22">
          <cell r="DK22">
            <v>41039</v>
          </cell>
        </row>
        <row r="23">
          <cell r="DK23">
            <v>41780</v>
          </cell>
        </row>
        <row r="27">
          <cell r="DK27">
            <v>976</v>
          </cell>
        </row>
        <row r="28">
          <cell r="DK28">
            <v>931</v>
          </cell>
        </row>
        <row r="41">
          <cell r="CV41">
            <v>87311</v>
          </cell>
          <cell r="CW41">
            <v>85751</v>
          </cell>
          <cell r="DJ41">
            <v>89894</v>
          </cell>
          <cell r="DK41">
            <v>82819</v>
          </cell>
        </row>
        <row r="47">
          <cell r="DK47">
            <v>30626</v>
          </cell>
        </row>
        <row r="48">
          <cell r="DK48">
            <v>37818</v>
          </cell>
        </row>
        <row r="52">
          <cell r="DK52">
            <v>14129</v>
          </cell>
        </row>
        <row r="53">
          <cell r="DK53">
            <v>133755</v>
          </cell>
        </row>
      </sheetData>
      <sheetData sheetId="19">
        <row r="4">
          <cell r="DV4">
            <v>0</v>
          </cell>
        </row>
        <row r="15">
          <cell r="DJ15">
            <v>80</v>
          </cell>
          <cell r="DK15">
            <v>76</v>
          </cell>
        </row>
        <row r="16">
          <cell r="DJ16">
            <v>79</v>
          </cell>
          <cell r="DK16">
            <v>76</v>
          </cell>
        </row>
        <row r="19">
          <cell r="CV19">
            <v>198</v>
          </cell>
          <cell r="CW19">
            <v>172</v>
          </cell>
          <cell r="DJ19">
            <v>159</v>
          </cell>
          <cell r="DK19">
            <v>152</v>
          </cell>
        </row>
        <row r="32">
          <cell r="DJ32">
            <v>2209</v>
          </cell>
          <cell r="DK32">
            <v>1994</v>
          </cell>
        </row>
        <row r="33">
          <cell r="DJ33">
            <v>1908</v>
          </cell>
          <cell r="DK33">
            <v>1903</v>
          </cell>
        </row>
        <row r="37">
          <cell r="DJ37">
            <v>38</v>
          </cell>
          <cell r="DK37">
            <v>22</v>
          </cell>
        </row>
        <row r="38">
          <cell r="DJ38">
            <v>30</v>
          </cell>
          <cell r="DK38">
            <v>22</v>
          </cell>
        </row>
        <row r="41">
          <cell r="CV41">
            <v>4684</v>
          </cell>
          <cell r="CW41">
            <v>4092</v>
          </cell>
          <cell r="DJ41">
            <v>4117</v>
          </cell>
          <cell r="DK41">
            <v>3897</v>
          </cell>
        </row>
      </sheetData>
      <sheetData sheetId="20">
        <row r="4">
          <cell r="DJ4">
            <v>3</v>
          </cell>
          <cell r="DK4">
            <v>1</v>
          </cell>
        </row>
        <row r="19">
          <cell r="CV19">
            <v>0</v>
          </cell>
          <cell r="CW19">
            <v>6</v>
          </cell>
          <cell r="DJ19">
            <v>3</v>
          </cell>
          <cell r="DK19">
            <v>1</v>
          </cell>
        </row>
        <row r="41">
          <cell r="CV41">
            <v>0</v>
          </cell>
          <cell r="CW41">
            <v>0</v>
          </cell>
          <cell r="DJ41">
            <v>245</v>
          </cell>
          <cell r="DK41">
            <v>0</v>
          </cell>
        </row>
      </sheetData>
      <sheetData sheetId="21">
        <row r="4">
          <cell r="DJ4">
            <v>202</v>
          </cell>
          <cell r="DK4">
            <v>214</v>
          </cell>
        </row>
        <row r="5">
          <cell r="DK5">
            <v>214</v>
          </cell>
        </row>
        <row r="8">
          <cell r="DK8">
            <v>1</v>
          </cell>
        </row>
        <row r="9">
          <cell r="DK9">
            <v>1</v>
          </cell>
        </row>
        <row r="19">
          <cell r="CV19">
            <v>578</v>
          </cell>
          <cell r="CW19">
            <v>496</v>
          </cell>
          <cell r="DJ19">
            <v>404</v>
          </cell>
          <cell r="DK19">
            <v>430</v>
          </cell>
        </row>
        <row r="22">
          <cell r="DK22">
            <v>12020</v>
          </cell>
        </row>
        <row r="23">
          <cell r="DK23">
            <v>11193</v>
          </cell>
        </row>
        <row r="27">
          <cell r="DK27">
            <v>156</v>
          </cell>
        </row>
        <row r="28">
          <cell r="DK28">
            <v>172</v>
          </cell>
        </row>
        <row r="41">
          <cell r="CV41">
            <v>25096</v>
          </cell>
          <cell r="CW41">
            <v>22136</v>
          </cell>
          <cell r="DJ41">
            <v>19158</v>
          </cell>
          <cell r="DK41">
            <v>23213</v>
          </cell>
        </row>
        <row r="47">
          <cell r="DK47">
            <v>426</v>
          </cell>
        </row>
        <row r="52">
          <cell r="DK52">
            <v>5</v>
          </cell>
        </row>
      </sheetData>
      <sheetData sheetId="22">
        <row r="4">
          <cell r="DJ4">
            <v>399</v>
          </cell>
          <cell r="DK4">
            <v>362</v>
          </cell>
        </row>
        <row r="5">
          <cell r="DK5">
            <v>363</v>
          </cell>
        </row>
        <row r="19">
          <cell r="CV19">
            <v>919</v>
          </cell>
          <cell r="CW19">
            <v>591</v>
          </cell>
          <cell r="DJ19">
            <v>798</v>
          </cell>
          <cell r="DK19">
            <v>725</v>
          </cell>
        </row>
        <row r="22">
          <cell r="DK22">
            <v>19212</v>
          </cell>
        </row>
        <row r="23">
          <cell r="DK23">
            <v>20295</v>
          </cell>
        </row>
        <row r="27">
          <cell r="DK27">
            <v>764</v>
          </cell>
        </row>
        <row r="28">
          <cell r="DK28">
            <v>622</v>
          </cell>
        </row>
        <row r="41">
          <cell r="CV41">
            <v>42512</v>
          </cell>
          <cell r="CW41">
            <v>28246</v>
          </cell>
          <cell r="DJ41">
            <v>39177</v>
          </cell>
          <cell r="DK41">
            <v>39507</v>
          </cell>
        </row>
        <row r="70">
          <cell r="DK70">
            <v>7245</v>
          </cell>
        </row>
        <row r="71">
          <cell r="DK71">
            <v>13050</v>
          </cell>
        </row>
      </sheetData>
      <sheetData sheetId="23"/>
      <sheetData sheetId="24">
        <row r="4">
          <cell r="DJ4">
            <v>18</v>
          </cell>
          <cell r="DK4">
            <v>10</v>
          </cell>
        </row>
        <row r="5">
          <cell r="DK5">
            <v>10</v>
          </cell>
        </row>
        <row r="19">
          <cell r="CV19">
            <v>53</v>
          </cell>
          <cell r="CW19">
            <v>64</v>
          </cell>
          <cell r="DJ19">
            <v>36</v>
          </cell>
          <cell r="DK19">
            <v>20</v>
          </cell>
        </row>
        <row r="22">
          <cell r="DK22">
            <v>421</v>
          </cell>
        </row>
        <row r="23">
          <cell r="DK23">
            <v>443</v>
          </cell>
        </row>
        <row r="41">
          <cell r="CV41">
            <v>2003</v>
          </cell>
          <cell r="CW41">
            <v>2348</v>
          </cell>
          <cell r="DJ41">
            <v>1257</v>
          </cell>
          <cell r="DK41">
            <v>864</v>
          </cell>
        </row>
      </sheetData>
      <sheetData sheetId="25">
        <row r="70">
          <cell r="BF70">
            <v>11766</v>
          </cell>
        </row>
      </sheetData>
      <sheetData sheetId="26">
        <row r="4">
          <cell r="DJ4">
            <v>1111</v>
          </cell>
          <cell r="DK4">
            <v>1003</v>
          </cell>
        </row>
        <row r="5">
          <cell r="DK5">
            <v>1001</v>
          </cell>
        </row>
        <row r="9">
          <cell r="DK9">
            <v>2</v>
          </cell>
        </row>
        <row r="15">
          <cell r="DJ15">
            <v>234</v>
          </cell>
          <cell r="DK15">
            <v>234</v>
          </cell>
        </row>
        <row r="16">
          <cell r="DJ16">
            <v>232</v>
          </cell>
          <cell r="DK16">
            <v>235</v>
          </cell>
        </row>
        <row r="19">
          <cell r="CV19">
            <v>3496</v>
          </cell>
          <cell r="CW19">
            <v>3304</v>
          </cell>
          <cell r="DJ19">
            <v>2689</v>
          </cell>
          <cell r="DK19">
            <v>2475</v>
          </cell>
        </row>
        <row r="22">
          <cell r="DK22">
            <v>59392</v>
          </cell>
        </row>
        <row r="23">
          <cell r="DK23">
            <v>60096</v>
          </cell>
        </row>
        <row r="27">
          <cell r="DK27">
            <v>2178</v>
          </cell>
        </row>
        <row r="28">
          <cell r="DK28">
            <v>2249</v>
          </cell>
        </row>
        <row r="32">
          <cell r="DJ32">
            <v>14146</v>
          </cell>
          <cell r="DK32">
            <v>14549</v>
          </cell>
        </row>
        <row r="33">
          <cell r="DJ33">
            <v>14199</v>
          </cell>
          <cell r="DK33">
            <v>14860</v>
          </cell>
        </row>
        <row r="37">
          <cell r="DJ37">
            <v>188</v>
          </cell>
          <cell r="DK37">
            <v>189</v>
          </cell>
        </row>
        <row r="38">
          <cell r="DJ38">
            <v>187</v>
          </cell>
          <cell r="DK38">
            <v>169</v>
          </cell>
        </row>
        <row r="41">
          <cell r="CV41">
            <v>188321</v>
          </cell>
          <cell r="CW41">
            <v>188798</v>
          </cell>
          <cell r="DJ41">
            <v>154021</v>
          </cell>
          <cell r="DK41">
            <v>148897</v>
          </cell>
        </row>
        <row r="70">
          <cell r="BG70">
            <v>26242</v>
          </cell>
          <cell r="DK70">
            <v>21334</v>
          </cell>
        </row>
        <row r="71">
          <cell r="BG71">
            <v>44562</v>
          </cell>
          <cell r="DK71">
            <v>38762</v>
          </cell>
        </row>
        <row r="73">
          <cell r="BG73">
            <v>1540</v>
          </cell>
          <cell r="DK73">
            <v>5275</v>
          </cell>
        </row>
        <row r="74">
          <cell r="BG74">
            <v>2614</v>
          </cell>
          <cell r="DK74">
            <v>9585</v>
          </cell>
        </row>
      </sheetData>
      <sheetData sheetId="27"/>
      <sheetData sheetId="28">
        <row r="4">
          <cell r="DJ4">
            <v>211</v>
          </cell>
          <cell r="DK4">
            <v>192</v>
          </cell>
        </row>
        <row r="5">
          <cell r="DK5">
            <v>192</v>
          </cell>
        </row>
        <row r="19">
          <cell r="CV19">
            <v>418</v>
          </cell>
          <cell r="CW19">
            <v>384</v>
          </cell>
          <cell r="DJ19">
            <v>422</v>
          </cell>
          <cell r="DK19">
            <v>384</v>
          </cell>
        </row>
        <row r="22">
          <cell r="DK22">
            <v>7512</v>
          </cell>
        </row>
        <row r="23">
          <cell r="DK23">
            <v>6938</v>
          </cell>
        </row>
        <row r="27">
          <cell r="DK27">
            <v>276</v>
          </cell>
        </row>
        <row r="28">
          <cell r="DK28">
            <v>316</v>
          </cell>
        </row>
        <row r="41">
          <cell r="CV41">
            <v>15027</v>
          </cell>
          <cell r="CW41">
            <v>13602</v>
          </cell>
          <cell r="DJ41">
            <v>14930</v>
          </cell>
          <cell r="DK41">
            <v>14450</v>
          </cell>
        </row>
      </sheetData>
      <sheetData sheetId="29">
        <row r="70">
          <cell r="BF70">
            <v>2169</v>
          </cell>
        </row>
      </sheetData>
      <sheetData sheetId="30">
        <row r="19">
          <cell r="CV19">
            <v>0</v>
          </cell>
          <cell r="CW19">
            <v>0</v>
          </cell>
          <cell r="DJ19">
            <v>0</v>
          </cell>
          <cell r="DK19">
            <v>0</v>
          </cell>
        </row>
        <row r="41">
          <cell r="CV41">
            <v>0</v>
          </cell>
          <cell r="CW41">
            <v>0</v>
          </cell>
          <cell r="DJ41">
            <v>0</v>
          </cell>
          <cell r="DK41">
            <v>0</v>
          </cell>
        </row>
      </sheetData>
      <sheetData sheetId="31">
        <row r="4">
          <cell r="DJ4">
            <v>148</v>
          </cell>
          <cell r="DK4">
            <v>107</v>
          </cell>
        </row>
        <row r="5">
          <cell r="DK5">
            <v>107</v>
          </cell>
        </row>
        <row r="19">
          <cell r="CV19">
            <v>0</v>
          </cell>
          <cell r="CW19">
            <v>0</v>
          </cell>
          <cell r="DJ19">
            <v>296</v>
          </cell>
          <cell r="DK19">
            <v>214</v>
          </cell>
        </row>
        <row r="22">
          <cell r="DK22">
            <v>6504</v>
          </cell>
        </row>
        <row r="23">
          <cell r="DK23">
            <v>5942</v>
          </cell>
        </row>
        <row r="27">
          <cell r="DK27">
            <v>197</v>
          </cell>
        </row>
        <row r="28">
          <cell r="DK28">
            <v>144</v>
          </cell>
        </row>
        <row r="41">
          <cell r="CV41">
            <v>0</v>
          </cell>
          <cell r="CW41">
            <v>0</v>
          </cell>
          <cell r="DJ41">
            <v>16078</v>
          </cell>
          <cell r="DK41">
            <v>12446</v>
          </cell>
        </row>
      </sheetData>
      <sheetData sheetId="32">
        <row r="4">
          <cell r="DJ4">
            <v>25</v>
          </cell>
          <cell r="DK4">
            <v>51</v>
          </cell>
        </row>
        <row r="5">
          <cell r="DK5">
            <v>51</v>
          </cell>
        </row>
        <row r="19">
          <cell r="CV19">
            <v>0</v>
          </cell>
          <cell r="CW19">
            <v>0</v>
          </cell>
          <cell r="DJ19">
            <v>50</v>
          </cell>
          <cell r="DK19">
            <v>102</v>
          </cell>
        </row>
        <row r="22">
          <cell r="DK22">
            <v>3059</v>
          </cell>
        </row>
        <row r="23">
          <cell r="DK23">
            <v>3256</v>
          </cell>
        </row>
        <row r="27">
          <cell r="DK27">
            <v>285</v>
          </cell>
        </row>
        <row r="28">
          <cell r="DK28">
            <v>168</v>
          </cell>
        </row>
        <row r="41">
          <cell r="CV41">
            <v>0</v>
          </cell>
          <cell r="CW41">
            <v>0</v>
          </cell>
          <cell r="DJ41">
            <v>2641</v>
          </cell>
          <cell r="DK41">
            <v>6315</v>
          </cell>
        </row>
      </sheetData>
      <sheetData sheetId="33">
        <row r="4">
          <cell r="DO4">
            <v>64</v>
          </cell>
        </row>
        <row r="19">
          <cell r="CV19">
            <v>0</v>
          </cell>
          <cell r="CW19">
            <v>0</v>
          </cell>
          <cell r="DJ19">
            <v>0</v>
          </cell>
          <cell r="DK19">
            <v>0</v>
          </cell>
        </row>
        <row r="41">
          <cell r="CV41">
            <v>0</v>
          </cell>
          <cell r="CW41">
            <v>0</v>
          </cell>
          <cell r="DJ41">
            <v>0</v>
          </cell>
          <cell r="DK41">
            <v>0</v>
          </cell>
        </row>
      </sheetData>
      <sheetData sheetId="34">
        <row r="70">
          <cell r="AJ70">
            <v>46686</v>
          </cell>
        </row>
      </sheetData>
      <sheetData sheetId="35">
        <row r="19">
          <cell r="CV19">
            <v>0</v>
          </cell>
          <cell r="CW19">
            <v>0</v>
          </cell>
        </row>
        <row r="41">
          <cell r="CV41">
            <v>0</v>
          </cell>
          <cell r="CW41">
            <v>0</v>
          </cell>
        </row>
      </sheetData>
      <sheetData sheetId="36">
        <row r="4">
          <cell r="DJ4">
            <v>3290</v>
          </cell>
          <cell r="DK4">
            <v>2830</v>
          </cell>
        </row>
        <row r="5">
          <cell r="DK5">
            <v>2830</v>
          </cell>
        </row>
        <row r="9">
          <cell r="DK9">
            <v>3</v>
          </cell>
        </row>
        <row r="15">
          <cell r="DJ15">
            <v>167</v>
          </cell>
          <cell r="DK15">
            <v>169</v>
          </cell>
        </row>
        <row r="16">
          <cell r="DJ16">
            <v>167</v>
          </cell>
          <cell r="DK16">
            <v>168</v>
          </cell>
        </row>
        <row r="19">
          <cell r="CV19">
            <v>4794</v>
          </cell>
          <cell r="CW19">
            <v>4646</v>
          </cell>
          <cell r="DJ19">
            <v>6914</v>
          </cell>
          <cell r="DK19">
            <v>6000</v>
          </cell>
        </row>
        <row r="22">
          <cell r="DK22">
            <v>132764</v>
          </cell>
        </row>
        <row r="23">
          <cell r="DK23">
            <v>129228</v>
          </cell>
        </row>
        <row r="27">
          <cell r="DK27">
            <v>4198</v>
          </cell>
        </row>
        <row r="28">
          <cell r="DK28">
            <v>4382</v>
          </cell>
        </row>
        <row r="32">
          <cell r="DJ32">
            <v>6802</v>
          </cell>
          <cell r="DK32">
            <v>7192</v>
          </cell>
        </row>
        <row r="33">
          <cell r="DJ33">
            <v>6614</v>
          </cell>
          <cell r="DK33">
            <v>6677</v>
          </cell>
        </row>
        <row r="37">
          <cell r="DJ37">
            <v>170</v>
          </cell>
          <cell r="DK37">
            <v>158</v>
          </cell>
        </row>
        <row r="38">
          <cell r="DJ38">
            <v>141</v>
          </cell>
          <cell r="DK38">
            <v>98</v>
          </cell>
        </row>
        <row r="41">
          <cell r="CV41">
            <v>196795</v>
          </cell>
          <cell r="CW41">
            <v>206107</v>
          </cell>
          <cell r="DJ41">
            <v>308208</v>
          </cell>
          <cell r="DK41">
            <v>275861</v>
          </cell>
        </row>
        <row r="70">
          <cell r="DK70">
            <v>39684</v>
          </cell>
        </row>
        <row r="71">
          <cell r="DK71">
            <v>89544</v>
          </cell>
        </row>
        <row r="73">
          <cell r="DK73">
            <v>2036</v>
          </cell>
        </row>
        <row r="74">
          <cell r="DK74">
            <v>4641</v>
          </cell>
        </row>
      </sheetData>
      <sheetData sheetId="37"/>
      <sheetData sheetId="38">
        <row r="4">
          <cell r="DJ4">
            <v>92</v>
          </cell>
          <cell r="DK4">
            <v>75</v>
          </cell>
        </row>
        <row r="5">
          <cell r="DK5">
            <v>72</v>
          </cell>
        </row>
        <row r="19">
          <cell r="CV19">
            <v>221</v>
          </cell>
          <cell r="CW19">
            <v>187</v>
          </cell>
          <cell r="DJ19">
            <v>181</v>
          </cell>
          <cell r="DK19">
            <v>147</v>
          </cell>
        </row>
        <row r="22">
          <cell r="DK22">
            <v>4058</v>
          </cell>
        </row>
        <row r="23">
          <cell r="DK23">
            <v>3607</v>
          </cell>
        </row>
        <row r="41">
          <cell r="CV41">
            <v>11360</v>
          </cell>
          <cell r="CW41">
            <v>10044</v>
          </cell>
          <cell r="DJ41">
            <v>10815</v>
          </cell>
          <cell r="DK41">
            <v>7665</v>
          </cell>
        </row>
      </sheetData>
      <sheetData sheetId="39">
        <row r="4">
          <cell r="DJ4">
            <v>30</v>
          </cell>
          <cell r="DK4">
            <v>54</v>
          </cell>
        </row>
        <row r="5">
          <cell r="DK5">
            <v>54</v>
          </cell>
        </row>
        <row r="19">
          <cell r="CV19">
            <v>188</v>
          </cell>
          <cell r="CW19">
            <v>98</v>
          </cell>
          <cell r="DJ19">
            <v>60</v>
          </cell>
          <cell r="DK19">
            <v>108</v>
          </cell>
        </row>
        <row r="22">
          <cell r="DK22">
            <v>3282</v>
          </cell>
        </row>
        <row r="23">
          <cell r="DK23">
            <v>3256</v>
          </cell>
        </row>
        <row r="27">
          <cell r="DK27">
            <v>91</v>
          </cell>
        </row>
        <row r="28">
          <cell r="DK28">
            <v>60</v>
          </cell>
        </row>
        <row r="41">
          <cell r="CV41">
            <v>10668</v>
          </cell>
          <cell r="CW41">
            <v>5712</v>
          </cell>
          <cell r="DJ41">
            <v>2970</v>
          </cell>
          <cell r="DK41">
            <v>6538</v>
          </cell>
        </row>
      </sheetData>
      <sheetData sheetId="40">
        <row r="4">
          <cell r="DJ4">
            <v>1359</v>
          </cell>
          <cell r="DK4">
            <v>1230</v>
          </cell>
        </row>
        <row r="5">
          <cell r="DK5">
            <v>1228</v>
          </cell>
        </row>
        <row r="9">
          <cell r="DK9">
            <v>3</v>
          </cell>
        </row>
        <row r="15">
          <cell r="DJ15">
            <v>146</v>
          </cell>
          <cell r="DK15">
            <v>101</v>
          </cell>
        </row>
        <row r="16">
          <cell r="DJ16">
            <v>147</v>
          </cell>
          <cell r="DK16">
            <v>98</v>
          </cell>
        </row>
        <row r="19">
          <cell r="CV19">
            <v>4500</v>
          </cell>
          <cell r="CW19">
            <v>4099</v>
          </cell>
          <cell r="DJ19">
            <v>3013</v>
          </cell>
          <cell r="DK19">
            <v>2660</v>
          </cell>
        </row>
        <row r="22">
          <cell r="DK22">
            <v>47872</v>
          </cell>
        </row>
        <row r="23">
          <cell r="DK23">
            <v>48164</v>
          </cell>
        </row>
        <row r="27">
          <cell r="DK27">
            <v>2076</v>
          </cell>
        </row>
        <row r="28">
          <cell r="DK28">
            <v>2041</v>
          </cell>
        </row>
        <row r="32">
          <cell r="DJ32">
            <v>6645</v>
          </cell>
          <cell r="DK32">
            <v>4443</v>
          </cell>
        </row>
        <row r="33">
          <cell r="DJ33">
            <v>6595</v>
          </cell>
          <cell r="DK33">
            <v>4292</v>
          </cell>
        </row>
        <row r="37">
          <cell r="DJ37">
            <v>73</v>
          </cell>
          <cell r="DK37">
            <v>28</v>
          </cell>
        </row>
        <row r="38">
          <cell r="DJ38">
            <v>84</v>
          </cell>
          <cell r="DK38">
            <v>29</v>
          </cell>
        </row>
        <row r="41">
          <cell r="CV41">
            <v>173681</v>
          </cell>
          <cell r="CW41">
            <v>164854</v>
          </cell>
          <cell r="DJ41">
            <v>111993</v>
          </cell>
          <cell r="DK41">
            <v>104771</v>
          </cell>
        </row>
        <row r="70">
          <cell r="DK70">
            <v>11463</v>
          </cell>
        </row>
        <row r="71">
          <cell r="DK71">
            <v>36701</v>
          </cell>
        </row>
        <row r="73">
          <cell r="DK73">
            <v>1021</v>
          </cell>
        </row>
        <row r="74">
          <cell r="DK74">
            <v>3271</v>
          </cell>
        </row>
      </sheetData>
      <sheetData sheetId="41">
        <row r="4">
          <cell r="DJ4">
            <v>102</v>
          </cell>
          <cell r="DK4">
            <v>88</v>
          </cell>
        </row>
        <row r="5">
          <cell r="DK5">
            <v>88</v>
          </cell>
        </row>
        <row r="19">
          <cell r="CV19">
            <v>177</v>
          </cell>
          <cell r="CW19">
            <v>148</v>
          </cell>
          <cell r="DJ19">
            <v>204</v>
          </cell>
          <cell r="DK19">
            <v>176</v>
          </cell>
        </row>
        <row r="22">
          <cell r="DK22">
            <v>4787</v>
          </cell>
        </row>
        <row r="23">
          <cell r="DK23">
            <v>5208</v>
          </cell>
        </row>
        <row r="27">
          <cell r="DK27">
            <v>194</v>
          </cell>
        </row>
        <row r="28">
          <cell r="DK28">
            <v>152</v>
          </cell>
        </row>
        <row r="41">
          <cell r="CV41">
            <v>9147</v>
          </cell>
          <cell r="CW41">
            <v>7934</v>
          </cell>
          <cell r="DJ41">
            <v>10659</v>
          </cell>
          <cell r="DK41">
            <v>9995</v>
          </cell>
        </row>
        <row r="70">
          <cell r="DK70">
            <v>2078</v>
          </cell>
        </row>
        <row r="71">
          <cell r="DK71">
            <v>3130</v>
          </cell>
        </row>
      </sheetData>
      <sheetData sheetId="42">
        <row r="4">
          <cell r="DJ4">
            <v>83</v>
          </cell>
          <cell r="DK4">
            <v>111</v>
          </cell>
        </row>
        <row r="5">
          <cell r="DK5">
            <v>111</v>
          </cell>
        </row>
        <row r="19">
          <cell r="CV19">
            <v>500</v>
          </cell>
          <cell r="CW19">
            <v>495</v>
          </cell>
          <cell r="DJ19">
            <v>166</v>
          </cell>
          <cell r="DK19">
            <v>222</v>
          </cell>
        </row>
        <row r="22">
          <cell r="DK22">
            <v>6468</v>
          </cell>
        </row>
        <row r="23">
          <cell r="DK23">
            <v>6494</v>
          </cell>
        </row>
        <row r="41">
          <cell r="CV41">
            <v>24063</v>
          </cell>
          <cell r="CW41">
            <v>25090</v>
          </cell>
          <cell r="DJ41">
            <v>8788</v>
          </cell>
          <cell r="DK41">
            <v>12962</v>
          </cell>
        </row>
      </sheetData>
      <sheetData sheetId="43"/>
      <sheetData sheetId="44"/>
      <sheetData sheetId="45"/>
      <sheetData sheetId="46">
        <row r="4">
          <cell r="DV4">
            <v>0</v>
          </cell>
        </row>
      </sheetData>
      <sheetData sheetId="47">
        <row r="4">
          <cell r="DV4">
            <v>0</v>
          </cell>
        </row>
      </sheetData>
      <sheetData sheetId="48">
        <row r="4">
          <cell r="DV4">
            <v>0</v>
          </cell>
        </row>
      </sheetData>
      <sheetData sheetId="49">
        <row r="4">
          <cell r="DJ4">
            <v>4</v>
          </cell>
          <cell r="DK4">
            <v>7</v>
          </cell>
        </row>
        <row r="5">
          <cell r="DK5">
            <v>5</v>
          </cell>
        </row>
        <row r="22">
          <cell r="DK22">
            <v>280</v>
          </cell>
        </row>
        <row r="23">
          <cell r="DK23">
            <v>235</v>
          </cell>
        </row>
      </sheetData>
      <sheetData sheetId="50">
        <row r="4">
          <cell r="DL4">
            <v>1</v>
          </cell>
        </row>
      </sheetData>
      <sheetData sheetId="51">
        <row r="4">
          <cell r="DJ4">
            <v>22</v>
          </cell>
          <cell r="DK4">
            <v>19</v>
          </cell>
        </row>
        <row r="5">
          <cell r="DK5">
            <v>19</v>
          </cell>
        </row>
        <row r="47">
          <cell r="DK47">
            <v>455722</v>
          </cell>
        </row>
        <row r="52">
          <cell r="DK52">
            <v>331232</v>
          </cell>
        </row>
      </sheetData>
      <sheetData sheetId="52">
        <row r="15">
          <cell r="DJ15">
            <v>22</v>
          </cell>
          <cell r="DK15">
            <v>19</v>
          </cell>
        </row>
        <row r="16">
          <cell r="DK16">
            <v>19</v>
          </cell>
        </row>
        <row r="47">
          <cell r="DK47">
            <v>15885</v>
          </cell>
        </row>
        <row r="52">
          <cell r="DK52">
            <v>40087</v>
          </cell>
        </row>
      </sheetData>
      <sheetData sheetId="53">
        <row r="4">
          <cell r="DJ4">
            <v>101</v>
          </cell>
          <cell r="DK4">
            <v>93</v>
          </cell>
        </row>
        <row r="5">
          <cell r="DK5">
            <v>93</v>
          </cell>
        </row>
        <row r="47">
          <cell r="DK47">
            <v>5448946</v>
          </cell>
        </row>
        <row r="52">
          <cell r="DK52">
            <v>8224706</v>
          </cell>
        </row>
      </sheetData>
      <sheetData sheetId="54">
        <row r="4">
          <cell r="DJ4">
            <v>99</v>
          </cell>
          <cell r="DK4">
            <v>85</v>
          </cell>
        </row>
        <row r="5">
          <cell r="DK5">
            <v>85</v>
          </cell>
        </row>
        <row r="47">
          <cell r="DK47">
            <v>4751646</v>
          </cell>
        </row>
        <row r="48">
          <cell r="DK48">
            <v>33832</v>
          </cell>
        </row>
        <row r="52">
          <cell r="DK52">
            <v>4477449</v>
          </cell>
        </row>
        <row r="53">
          <cell r="DK53">
            <v>92641</v>
          </cell>
        </row>
      </sheetData>
      <sheetData sheetId="55"/>
      <sheetData sheetId="56"/>
      <sheetData sheetId="57"/>
      <sheetData sheetId="58">
        <row r="4">
          <cell r="DJ4">
            <v>249</v>
          </cell>
          <cell r="DK4">
            <v>220</v>
          </cell>
        </row>
        <row r="5">
          <cell r="DK5">
            <v>220</v>
          </cell>
        </row>
      </sheetData>
      <sheetData sheetId="59">
        <row r="4">
          <cell r="DJ4">
            <v>1</v>
          </cell>
        </row>
      </sheetData>
      <sheetData sheetId="60">
        <row r="4">
          <cell r="DJ4">
            <v>21</v>
          </cell>
          <cell r="DK4">
            <v>20</v>
          </cell>
        </row>
        <row r="5">
          <cell r="DK5">
            <v>20</v>
          </cell>
        </row>
        <row r="47">
          <cell r="DK47">
            <v>39023</v>
          </cell>
        </row>
        <row r="52">
          <cell r="DK52">
            <v>114742</v>
          </cell>
        </row>
      </sheetData>
      <sheetData sheetId="61">
        <row r="4">
          <cell r="DJ4">
            <v>27</v>
          </cell>
          <cell r="DK4">
            <v>20</v>
          </cell>
        </row>
        <row r="5">
          <cell r="DK5">
            <v>20</v>
          </cell>
        </row>
        <row r="47">
          <cell r="DK47">
            <v>19803</v>
          </cell>
        </row>
        <row r="52">
          <cell r="DK52">
            <v>22894</v>
          </cell>
        </row>
      </sheetData>
      <sheetData sheetId="62">
        <row r="4">
          <cell r="DJ4">
            <v>47</v>
          </cell>
          <cell r="DK4">
            <v>49</v>
          </cell>
        </row>
        <row r="5">
          <cell r="DK5">
            <v>49</v>
          </cell>
        </row>
      </sheetData>
      <sheetData sheetId="63">
        <row r="4">
          <cell r="DJ4">
            <v>843</v>
          </cell>
          <cell r="DK4">
            <v>1061</v>
          </cell>
        </row>
        <row r="5">
          <cell r="DK5">
            <v>1062</v>
          </cell>
        </row>
      </sheetData>
      <sheetData sheetId="64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  <inkml:channel name="T" type="integer" max="2.14748E9" units="dev"/>
        </inkml:traceFormat>
        <inkml:channelProperties>
          <inkml:channelProperty channel="X" name="resolution" value="28.31858" units="1/cm"/>
          <inkml:channelProperty channel="Y" name="resolution" value="28.36879" units="1/cm"/>
          <inkml:channelProperty channel="T" name="resolution" value="1" units="1/dev"/>
        </inkml:channelProperties>
      </inkml:inkSource>
      <inkml:timestamp xml:id="ts0" timeString="2014-02-19T22:13:31.51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9B7337C-A658-4F00-9B21-9273C5AD5CD9}" emma:medium="tactile" emma:mode="ink">
          <msink:context xmlns:msink="http://schemas.microsoft.com/ink/2010/main" type="inkDrawing" rotatedBoundingBox="5238,3095 5238,3121 5223,3121 5223,3095" shapeName="Other"/>
        </emma:interpretation>
      </emma:emma>
    </inkml:annotationXML>
    <inkml:trace contextRef="#ctx0" brushRef="#br0">0 0 0,'0'26'46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B33" sqref="B3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00">
        <v>41671</v>
      </c>
      <c r="B2" s="17"/>
      <c r="C2" s="17"/>
      <c r="D2" s="483" t="s">
        <v>194</v>
      </c>
      <c r="E2" s="483" t="s">
        <v>188</v>
      </c>
      <c r="F2" s="8"/>
      <c r="G2" s="8"/>
      <c r="H2" s="8"/>
      <c r="I2" s="8"/>
      <c r="J2" s="25"/>
    </row>
    <row r="3" spans="1:14" ht="13.5" thickBot="1" x14ac:dyDescent="0.25">
      <c r="A3" s="406"/>
      <c r="B3" s="8" t="s">
        <v>0</v>
      </c>
      <c r="C3" s="8" t="s">
        <v>1</v>
      </c>
      <c r="D3" s="484"/>
      <c r="E3" s="485"/>
      <c r="F3" s="8" t="s">
        <v>2</v>
      </c>
      <c r="G3" s="8" t="s">
        <v>195</v>
      </c>
      <c r="H3" s="8" t="s">
        <v>189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Stats'!H4</f>
        <v>842389</v>
      </c>
      <c r="C5" s="302">
        <f>'Major Airline Stats'!H5</f>
        <v>864371</v>
      </c>
      <c r="D5" s="5">
        <f>'Major Airline Stats'!H6</f>
        <v>1706760</v>
      </c>
      <c r="E5" s="9">
        <f>'[1]Monthly Summary'!D5</f>
        <v>1584870</v>
      </c>
      <c r="F5" s="41">
        <f>(D5-E5)/E5</f>
        <v>7.690851615589922E-2</v>
      </c>
      <c r="G5" s="9">
        <f>+D5+'[2]Monthly Summary'!G5</f>
        <v>3471809</v>
      </c>
      <c r="H5" s="9">
        <f>'[3]Monthly Summary'!G5+E5</f>
        <v>3198691</v>
      </c>
      <c r="I5" s="88">
        <f>(G5-H5)/H5</f>
        <v>8.5384302516248053E-2</v>
      </c>
      <c r="J5" s="9"/>
    </row>
    <row r="6" spans="1:14" x14ac:dyDescent="0.2">
      <c r="A6" s="70" t="s">
        <v>5</v>
      </c>
      <c r="B6" s="300">
        <f>'Regional Major'!L5</f>
        <v>335529</v>
      </c>
      <c r="C6" s="300">
        <f>'Regional Major'!L6</f>
        <v>331852</v>
      </c>
      <c r="D6" s="5">
        <f>B6+C6</f>
        <v>667381</v>
      </c>
      <c r="E6" s="9">
        <f>'[1]Monthly Summary'!D6</f>
        <v>678963</v>
      </c>
      <c r="F6" s="41">
        <f>(D6-E6)/E6</f>
        <v>-1.7058366950776404E-2</v>
      </c>
      <c r="G6" s="9">
        <f>+D6+'[2]Monthly Summary'!G6</f>
        <v>1372438</v>
      </c>
      <c r="H6" s="9">
        <f>'[3]Monthly Summary'!G6+E6</f>
        <v>1382320</v>
      </c>
      <c r="I6" s="88">
        <f>(G6-H6)/H6</f>
        <v>-7.1488512066670527E-3</v>
      </c>
      <c r="J6" s="21"/>
      <c r="K6" s="2"/>
    </row>
    <row r="7" spans="1:14" x14ac:dyDescent="0.2">
      <c r="A7" s="70" t="s">
        <v>6</v>
      </c>
      <c r="B7" s="9">
        <f>Charter!G5</f>
        <v>280</v>
      </c>
      <c r="C7" s="301">
        <f>Charter!G6</f>
        <v>235</v>
      </c>
      <c r="D7" s="5">
        <f>B7+C7</f>
        <v>515</v>
      </c>
      <c r="E7" s="9">
        <f>'[1]Monthly Summary'!D7</f>
        <v>1610</v>
      </c>
      <c r="F7" s="41">
        <f>(D7-E7)/E7</f>
        <v>-0.68012422360248448</v>
      </c>
      <c r="G7" s="9">
        <f>+D7+'[2]Monthly Summary'!G7</f>
        <v>883</v>
      </c>
      <c r="H7" s="9">
        <f>'[3]Monthly Summary'!G7+E7</f>
        <v>2165</v>
      </c>
      <c r="I7" s="88">
        <f>(G7-H7)/H7</f>
        <v>-0.59214780600461892</v>
      </c>
      <c r="J7" s="21"/>
      <c r="K7" s="2"/>
    </row>
    <row r="8" spans="1:14" x14ac:dyDescent="0.2">
      <c r="A8" s="73" t="s">
        <v>7</v>
      </c>
      <c r="B8" s="152">
        <f>SUM(B5:B7)</f>
        <v>1178198</v>
      </c>
      <c r="C8" s="152">
        <f>SUM(C5:C7)</f>
        <v>1196458</v>
      </c>
      <c r="D8" s="152">
        <f>SUM(D5:D7)</f>
        <v>2374656</v>
      </c>
      <c r="E8" s="152">
        <f>SUM(E5:E7)</f>
        <v>2265443</v>
      </c>
      <c r="F8" s="95">
        <f>(D8-E8)/E8</f>
        <v>4.8208231237775567E-2</v>
      </c>
      <c r="G8" s="152">
        <f>SUM(G5:G7)</f>
        <v>4845130</v>
      </c>
      <c r="H8" s="152">
        <f>SUM(H5:H7)</f>
        <v>4583176</v>
      </c>
      <c r="I8" s="94">
        <f>(G8-H8)/H8</f>
        <v>5.7155561994564466E-2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Stats'!H9+'Regional Major'!L10</f>
        <v>38662</v>
      </c>
      <c r="C10" s="303">
        <f>'Major Airline Stats'!H10+'Regional Major'!L11</f>
        <v>38576</v>
      </c>
      <c r="D10" s="124">
        <f>SUM(B10:C10)</f>
        <v>77238</v>
      </c>
      <c r="E10" s="124">
        <f>'[1]Monthly Summary'!D10</f>
        <v>78582</v>
      </c>
      <c r="F10" s="96">
        <f>(D10-E10)/E10</f>
        <v>-1.7103153393907E-2</v>
      </c>
      <c r="G10" s="118">
        <f>+D10+'[2]Monthly Summary'!G10</f>
        <v>165115</v>
      </c>
      <c r="H10" s="124">
        <f>'[3]Monthly Summary'!G10+E10</f>
        <v>165278</v>
      </c>
      <c r="I10" s="99">
        <f>(G10-H10)/H10</f>
        <v>-9.8621716138869056E-4</v>
      </c>
      <c r="J10" s="263"/>
    </row>
    <row r="11" spans="1:14" ht="15.75" thickBot="1" x14ac:dyDescent="0.3">
      <c r="A11" s="72" t="s">
        <v>15</v>
      </c>
      <c r="B11" s="278">
        <f>B10+B8</f>
        <v>1216860</v>
      </c>
      <c r="C11" s="278">
        <f>C10+C8</f>
        <v>1235034</v>
      </c>
      <c r="D11" s="278">
        <f>D10+D8</f>
        <v>2451894</v>
      </c>
      <c r="E11" s="278">
        <f>E10+E8</f>
        <v>2344025</v>
      </c>
      <c r="F11" s="97">
        <f>(D11-E11)/E11</f>
        <v>4.6018707138362432E-2</v>
      </c>
      <c r="G11" s="278">
        <f>G8+G10</f>
        <v>5010245</v>
      </c>
      <c r="H11" s="278">
        <f>H8+H10</f>
        <v>4748454</v>
      </c>
      <c r="I11" s="100">
        <f>(G11-H11)/H11</f>
        <v>5.5131838699500932E-2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3" t="s">
        <v>194</v>
      </c>
      <c r="E13" s="483" t="s">
        <v>188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4"/>
      <c r="E14" s="485"/>
      <c r="F14" s="8" t="s">
        <v>2</v>
      </c>
      <c r="G14" s="8" t="s">
        <v>195</v>
      </c>
      <c r="H14" s="8" t="s">
        <v>189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Stats'!H15+'Major Airline Stats'!H19</f>
        <v>6707</v>
      </c>
      <c r="C16" s="311">
        <f>'Major Airline Stats'!H16+'Major Airline Stats'!H20</f>
        <v>6692</v>
      </c>
      <c r="D16" s="49">
        <f t="shared" ref="D16:D21" si="0">SUM(B16:C16)</f>
        <v>13399</v>
      </c>
      <c r="E16" s="9">
        <f>'[1]Monthly Summary'!D16</f>
        <v>13717</v>
      </c>
      <c r="F16" s="98">
        <f t="shared" ref="F16:F22" si="1">(D16-E16)/E16</f>
        <v>-2.3182911715389661E-2</v>
      </c>
      <c r="G16" s="49">
        <f>+D16+'[2]Monthly Summary'!G16</f>
        <v>28360</v>
      </c>
      <c r="H16" s="9">
        <f>'[3]Monthly Summary'!G16+E16</f>
        <v>28152</v>
      </c>
      <c r="I16" s="261">
        <f t="shared" ref="I16:I22" si="2">(G16-H16)/H16</f>
        <v>7.3884626314293838E-3</v>
      </c>
      <c r="N16" s="134"/>
    </row>
    <row r="17" spans="1:12" x14ac:dyDescent="0.2">
      <c r="A17" s="71" t="s">
        <v>5</v>
      </c>
      <c r="B17" s="49">
        <f>'Regional Major'!L15+'Regional Major'!L18</f>
        <v>6909</v>
      </c>
      <c r="C17" s="49">
        <f>'Regional Major'!L16+'Regional Major'!L19</f>
        <v>6907</v>
      </c>
      <c r="D17" s="49">
        <f>SUM(B17:C17)</f>
        <v>13816</v>
      </c>
      <c r="E17" s="9">
        <f>'[1]Monthly Summary'!D17</f>
        <v>14690</v>
      </c>
      <c r="F17" s="98">
        <f t="shared" si="1"/>
        <v>-5.9496255956432945E-2</v>
      </c>
      <c r="G17" s="49">
        <f>+D17+'[2]Monthly Summary'!G17</f>
        <v>29211</v>
      </c>
      <c r="H17" s="9">
        <f>'[3]Monthly Summary'!G17+E17</f>
        <v>30732</v>
      </c>
      <c r="I17" s="261">
        <f t="shared" si="2"/>
        <v>-4.9492385786802033E-2</v>
      </c>
    </row>
    <row r="18" spans="1:12" x14ac:dyDescent="0.2">
      <c r="A18" s="71" t="s">
        <v>10</v>
      </c>
      <c r="B18" s="49">
        <f>Charter!G10</f>
        <v>7</v>
      </c>
      <c r="C18" s="49">
        <f>Charter!G11</f>
        <v>5</v>
      </c>
      <c r="D18" s="49">
        <f t="shared" si="0"/>
        <v>12</v>
      </c>
      <c r="E18" s="9">
        <f>'[1]Monthly Summary'!D18</f>
        <v>13</v>
      </c>
      <c r="F18" s="98">
        <f t="shared" si="1"/>
        <v>-7.6923076923076927E-2</v>
      </c>
      <c r="G18" s="49">
        <f>+D18+'[2]Monthly Summary'!G18</f>
        <v>19</v>
      </c>
      <c r="H18" s="9">
        <f>'[3]Monthly Summary'!G18+E18</f>
        <v>16</v>
      </c>
      <c r="I18" s="261">
        <f t="shared" si="2"/>
        <v>0.1875</v>
      </c>
    </row>
    <row r="19" spans="1:12" x14ac:dyDescent="0.2">
      <c r="A19" s="71" t="s">
        <v>11</v>
      </c>
      <c r="B19" s="49">
        <f>Cargo!M4</f>
        <v>476</v>
      </c>
      <c r="C19" s="49">
        <f>Cargo!M5</f>
        <v>476</v>
      </c>
      <c r="D19" s="49">
        <f t="shared" si="0"/>
        <v>952</v>
      </c>
      <c r="E19" s="9">
        <f>'[1]Monthly Summary'!D19</f>
        <v>883</v>
      </c>
      <c r="F19" s="98">
        <f t="shared" si="1"/>
        <v>7.8142695356738387E-2</v>
      </c>
      <c r="G19" s="49">
        <f>+D19+'[2]Monthly Summary'!G19</f>
        <v>2032</v>
      </c>
      <c r="H19" s="9">
        <f>'[3]Monthly Summary'!G19+E19</f>
        <v>1828</v>
      </c>
      <c r="I19" s="261">
        <f t="shared" si="2"/>
        <v>0.11159737417943107</v>
      </c>
    </row>
    <row r="20" spans="1:12" x14ac:dyDescent="0.2">
      <c r="A20" s="71" t="s">
        <v>173</v>
      </c>
      <c r="B20" s="49">
        <f>'[4]General Avation'!$DK$4</f>
        <v>1061</v>
      </c>
      <c r="C20" s="49">
        <f>'[4]General Avation'!$DK$5</f>
        <v>1062</v>
      </c>
      <c r="D20" s="49">
        <f t="shared" si="0"/>
        <v>2123</v>
      </c>
      <c r="E20" s="9">
        <f>'[1]Monthly Summary'!D20</f>
        <v>1722</v>
      </c>
      <c r="F20" s="98">
        <f t="shared" si="1"/>
        <v>0.23286875725900116</v>
      </c>
      <c r="G20" s="49">
        <f>+D20+'[2]Monthly Summary'!G20</f>
        <v>3809</v>
      </c>
      <c r="H20" s="9">
        <f>'[3]Monthly Summary'!G20+E20</f>
        <v>3330</v>
      </c>
      <c r="I20" s="261">
        <f t="shared" si="2"/>
        <v>0.14384384384384385</v>
      </c>
    </row>
    <row r="21" spans="1:12" ht="12.75" customHeight="1" x14ac:dyDescent="0.2">
      <c r="A21" s="71" t="s">
        <v>12</v>
      </c>
      <c r="B21" s="18">
        <f>'[4]Military '!$DK$4</f>
        <v>49</v>
      </c>
      <c r="C21" s="18">
        <f>'[4]Military '!$DK$5</f>
        <v>49</v>
      </c>
      <c r="D21" s="18">
        <f t="shared" si="0"/>
        <v>98</v>
      </c>
      <c r="E21" s="124">
        <f>'[1]Monthly Summary'!D21</f>
        <v>104</v>
      </c>
      <c r="F21" s="259">
        <f t="shared" si="1"/>
        <v>-5.7692307692307696E-2</v>
      </c>
      <c r="G21" s="124">
        <f>+D21+'[2]Monthly Summary'!G21</f>
        <v>192</v>
      </c>
      <c r="H21" s="124">
        <f>'[3]Monthly Summary'!G21+E21</f>
        <v>214</v>
      </c>
      <c r="I21" s="262">
        <f t="shared" si="2"/>
        <v>-0.10280373831775701</v>
      </c>
    </row>
    <row r="22" spans="1:12" ht="15.75" thickBot="1" x14ac:dyDescent="0.3">
      <c r="A22" s="72" t="s">
        <v>31</v>
      </c>
      <c r="B22" s="279">
        <f>SUM(B16:B21)</f>
        <v>15209</v>
      </c>
      <c r="C22" s="279">
        <f>SUM(C16:C21)</f>
        <v>15191</v>
      </c>
      <c r="D22" s="279">
        <f>SUM(D16:D21)</f>
        <v>30400</v>
      </c>
      <c r="E22" s="279">
        <f>SUM(E16:E21)</f>
        <v>31129</v>
      </c>
      <c r="F22" s="275">
        <f t="shared" si="1"/>
        <v>-2.3418677117800123E-2</v>
      </c>
      <c r="G22" s="279">
        <f>SUM(G16:G21)</f>
        <v>63623</v>
      </c>
      <c r="H22" s="279">
        <f>SUM(H16:H21)</f>
        <v>64272</v>
      </c>
      <c r="I22" s="276">
        <f t="shared" si="2"/>
        <v>-1.0097709733632063E-2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3" t="s">
        <v>194</v>
      </c>
      <c r="E24" s="483" t="s">
        <v>188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4"/>
      <c r="E25" s="485"/>
      <c r="F25" s="8" t="s">
        <v>2</v>
      </c>
      <c r="G25" s="8" t="s">
        <v>195</v>
      </c>
      <c r="H25" s="8" t="s">
        <v>189</v>
      </c>
      <c r="I25" s="8" t="s">
        <v>2</v>
      </c>
    </row>
    <row r="26" spans="1:12" ht="15" x14ac:dyDescent="0.25">
      <c r="A26" s="68" t="s">
        <v>141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Stats'!H28+'Regional Major'!L25)*0.00045359237</f>
        <v>6805.0322315113599</v>
      </c>
      <c r="C27" s="23">
        <f>(Cargo!M21+'Major Airline Stats'!H33+'Regional Major'!L30)*0.00045359237</f>
        <v>7222.7840003958099</v>
      </c>
      <c r="D27" s="23">
        <f>(SUM(B27:C27)+('Cargo Summary'!E17*0.00045359237))</f>
        <v>14027.816231907171</v>
      </c>
      <c r="E27" s="9">
        <f>'[1]Monthly Summary'!D27</f>
        <v>14495.11616332857</v>
      </c>
      <c r="F27" s="101">
        <f>(D27-E27)/E27</f>
        <v>-3.2238439910100829E-2</v>
      </c>
      <c r="G27" s="56">
        <f>+D27+'[2]Monthly Summary'!G27</f>
        <v>29211.152222503792</v>
      </c>
      <c r="H27" s="9">
        <f>'[3]Monthly Summary'!G27+E27</f>
        <v>29802.30418977658</v>
      </c>
      <c r="I27" s="103">
        <f>(G27-H27)/H27</f>
        <v>-1.9835780599661745E-2</v>
      </c>
    </row>
    <row r="28" spans="1:12" x14ac:dyDescent="0.2">
      <c r="A28" s="65" t="s">
        <v>18</v>
      </c>
      <c r="B28" s="23">
        <f>(Cargo!M17+'Major Airline Stats'!H29+'Regional Major'!L26)*0.00045359237</f>
        <v>579.45654160470997</v>
      </c>
      <c r="C28" s="23">
        <f>(Cargo!M22+'Major Airline Stats'!H34+'Regional Major'!L31)*0.00045359237</f>
        <v>836.60531363562995</v>
      </c>
      <c r="D28" s="23">
        <f>SUM(B28:C28)</f>
        <v>1416.0618552403398</v>
      </c>
      <c r="E28" s="9">
        <f>'[1]Monthly Summary'!D28</f>
        <v>1350.53771583962</v>
      </c>
      <c r="F28" s="101">
        <f>(D28-E28)/E28</f>
        <v>4.8517074815629217E-2</v>
      </c>
      <c r="G28" s="23">
        <f>+D28+'[2]Monthly Summary'!G28</f>
        <v>2541.3841554894097</v>
      </c>
      <c r="H28" s="9">
        <f>'[3]Monthly Summary'!G28+E28</f>
        <v>2903.5341180668902</v>
      </c>
      <c r="I28" s="103">
        <f>(G28-H28)/H28</f>
        <v>-0.12472729709771484</v>
      </c>
    </row>
    <row r="29" spans="1:12" ht="15.75" thickBot="1" x14ac:dyDescent="0.3">
      <c r="A29" s="66" t="s">
        <v>68</v>
      </c>
      <c r="B29" s="57">
        <f>SUM(B27:B28)</f>
        <v>7384.4887731160698</v>
      </c>
      <c r="C29" s="57">
        <f>SUM(C27:C28)</f>
        <v>8059.3893140314394</v>
      </c>
      <c r="D29" s="57">
        <f>SUM(D27:D28)</f>
        <v>15443.87808714751</v>
      </c>
      <c r="E29" s="57">
        <f>SUM(E27:E28)</f>
        <v>15845.653879168191</v>
      </c>
      <c r="F29" s="102">
        <f>(D29-E29)/E29</f>
        <v>-2.5355582993572965E-2</v>
      </c>
      <c r="G29" s="57">
        <f>SUM(G27:G28)</f>
        <v>31752.536377993201</v>
      </c>
      <c r="H29" s="57">
        <f>SUM(H27:H28)</f>
        <v>32705.838307843471</v>
      </c>
      <c r="I29" s="104">
        <f>(G29-H29)/H29</f>
        <v>-2.9147760130082034E-2</v>
      </c>
    </row>
    <row r="30" spans="1:12" s="7" customFormat="1" ht="4.5" customHeight="1" thickBot="1" x14ac:dyDescent="0.3">
      <c r="A30" s="62"/>
      <c r="B30" s="408"/>
      <c r="C30" s="408"/>
      <c r="D30" s="408"/>
      <c r="E30" s="408"/>
      <c r="F30" s="280"/>
      <c r="G30" s="408"/>
      <c r="H30" s="408"/>
      <c r="I30" s="280"/>
    </row>
    <row r="31" spans="1:12" ht="13.5" thickBot="1" x14ac:dyDescent="0.25">
      <c r="B31" s="482" t="s">
        <v>165</v>
      </c>
      <c r="C31" s="481"/>
      <c r="D31" s="482" t="s">
        <v>177</v>
      </c>
      <c r="E31" s="481"/>
      <c r="F31" s="437"/>
      <c r="G31" s="439"/>
      <c r="H31" s="436"/>
      <c r="I31" s="436"/>
    </row>
    <row r="32" spans="1:12" x14ac:dyDescent="0.2">
      <c r="A32" s="412" t="s">
        <v>166</v>
      </c>
      <c r="B32" s="413">
        <f>C8-B33</f>
        <v>727027</v>
      </c>
      <c r="C32" s="414">
        <f>B32/C8</f>
        <v>0.60764941184730259</v>
      </c>
      <c r="D32" s="415">
        <f>+B32+'[2]Monthly Summary'!$D$32</f>
        <v>1469287</v>
      </c>
      <c r="E32" s="416">
        <f>+D32/D34</f>
        <v>0.60158247931312614</v>
      </c>
      <c r="G32" s="446"/>
      <c r="H32" s="436"/>
      <c r="I32" s="435"/>
    </row>
    <row r="33" spans="1:14" ht="13.5" thickBot="1" x14ac:dyDescent="0.25">
      <c r="A33" s="417" t="s">
        <v>167</v>
      </c>
      <c r="B33" s="418">
        <f>'Major Airline Stats'!H51+'Regional Major'!L45</f>
        <v>469431</v>
      </c>
      <c r="C33" s="419">
        <f>+B33/C8</f>
        <v>0.39235058815269735</v>
      </c>
      <c r="D33" s="420">
        <f>+B33+'[2]Monthly Summary'!$D$33</f>
        <v>973083</v>
      </c>
      <c r="E33" s="421">
        <f>+D33/D34</f>
        <v>0.39841752068687381</v>
      </c>
      <c r="G33" s="436"/>
      <c r="H33" s="436"/>
      <c r="I33" s="435"/>
    </row>
    <row r="34" spans="1:14" ht="13.5" thickBot="1" x14ac:dyDescent="0.25">
      <c r="B34" s="315"/>
      <c r="D34" s="422">
        <f>SUM(D32:D33)</f>
        <v>2442370</v>
      </c>
    </row>
    <row r="35" spans="1:14" ht="13.5" thickBot="1" x14ac:dyDescent="0.25">
      <c r="B35" s="480" t="s">
        <v>207</v>
      </c>
      <c r="C35" s="481"/>
      <c r="D35" s="482" t="s">
        <v>196</v>
      </c>
      <c r="E35" s="481"/>
    </row>
    <row r="36" spans="1:14" x14ac:dyDescent="0.2">
      <c r="A36" s="412" t="s">
        <v>166</v>
      </c>
      <c r="B36" s="413">
        <f>'[1]Monthly Summary'!$B$32</f>
        <v>679273</v>
      </c>
      <c r="C36" s="414">
        <f>+B36/B38</f>
        <v>0.59388535187772451</v>
      </c>
      <c r="D36" s="415">
        <f>'[1]Monthly Summary'!$D$32</f>
        <v>1356329</v>
      </c>
      <c r="E36" s="416">
        <f>+D36/D38</f>
        <v>0.58556728180929207</v>
      </c>
    </row>
    <row r="37" spans="1:14" ht="13.5" thickBot="1" x14ac:dyDescent="0.25">
      <c r="A37" s="417" t="s">
        <v>167</v>
      </c>
      <c r="B37" s="418">
        <f>'[1]Monthly Summary'!$B$33</f>
        <v>464505</v>
      </c>
      <c r="C37" s="421">
        <f>+B37/B38</f>
        <v>0.40611464812227549</v>
      </c>
      <c r="D37" s="420">
        <f>'[1]Monthly Summary'!$D$33</f>
        <v>959936</v>
      </c>
      <c r="E37" s="421">
        <f>+D37/D38</f>
        <v>0.41443271819070787</v>
      </c>
    </row>
    <row r="38" spans="1:14" x14ac:dyDescent="0.2">
      <c r="B38" s="445">
        <f>+SUM(B36:B37)</f>
        <v>1143778</v>
      </c>
      <c r="D38" s="422">
        <f>SUM(D36:D37)</f>
        <v>2316265</v>
      </c>
    </row>
    <row r="39" spans="1:14" x14ac:dyDescent="0.2">
      <c r="A39" s="432" t="s">
        <v>168</v>
      </c>
    </row>
    <row r="40" spans="1:14" x14ac:dyDescent="0.2">
      <c r="A40" s="233" t="s">
        <v>174</v>
      </c>
      <c r="I40" s="2"/>
    </row>
    <row r="41" spans="1:14" x14ac:dyDescent="0.2">
      <c r="N41" s="433"/>
    </row>
    <row r="42" spans="1:14" x14ac:dyDescent="0.2">
      <c r="G42" s="2"/>
      <c r="N42" s="433"/>
    </row>
    <row r="43" spans="1:14" x14ac:dyDescent="0.2">
      <c r="J43" s="2"/>
      <c r="N43" s="433"/>
    </row>
    <row r="44" spans="1:14" x14ac:dyDescent="0.2">
      <c r="N44" s="433"/>
    </row>
    <row r="45" spans="1:14" x14ac:dyDescent="0.2">
      <c r="J45" s="2"/>
      <c r="N45" s="433"/>
    </row>
    <row r="46" spans="1:14" x14ac:dyDescent="0.2">
      <c r="B46" s="2"/>
      <c r="F46" s="315"/>
    </row>
    <row r="47" spans="1:14" x14ac:dyDescent="0.2">
      <c r="N47" s="433"/>
    </row>
    <row r="51" spans="12:12" x14ac:dyDescent="0.2">
      <c r="L51" s="43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2014</oddHeader>
    <oddFooter>&amp;LPrinted on &amp;D&amp;RPage &amp;P of &amp;N</oddFooter>
  </headerFooter>
  <ignoredErrors>
    <ignoredError sqref="F8 F22 F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98"/>
  <sheetViews>
    <sheetView topLeftCell="A16" zoomScale="85" zoomScaleNormal="100" zoomScaleSheetLayoutView="85" workbookViewId="0">
      <selection activeCell="P58" sqref="P58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140625" style="3" bestFit="1" customWidth="1"/>
    <col min="7" max="7" width="8.85546875" style="229" bestFit="1" customWidth="1"/>
    <col min="8" max="8" width="8.85546875" style="2" bestFit="1" customWidth="1"/>
    <col min="9" max="9" width="8.1406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140625" style="3" bestFit="1" customWidth="1"/>
    <col min="16" max="17" width="9.85546875" bestFit="1" customWidth="1"/>
    <col min="18" max="18" width="8.140625" bestFit="1" customWidth="1"/>
    <col min="19" max="19" width="3" customWidth="1"/>
    <col min="20" max="20" width="21.85546875" customWidth="1"/>
  </cols>
  <sheetData>
    <row r="1" spans="1:23" s="228" customFormat="1" ht="26.25" thickBot="1" x14ac:dyDescent="0.25">
      <c r="A1" s="522" t="s">
        <v>149</v>
      </c>
      <c r="B1" s="523"/>
      <c r="C1" s="265" t="s">
        <v>200</v>
      </c>
      <c r="D1" s="266" t="s">
        <v>154</v>
      </c>
      <c r="E1" s="267" t="s">
        <v>184</v>
      </c>
      <c r="F1" s="269" t="s">
        <v>107</v>
      </c>
      <c r="G1" s="268" t="s">
        <v>201</v>
      </c>
      <c r="H1" s="267" t="s">
        <v>185</v>
      </c>
      <c r="I1" s="269" t="s">
        <v>108</v>
      </c>
      <c r="J1" s="529" t="s">
        <v>153</v>
      </c>
      <c r="K1" s="530"/>
      <c r="L1" s="270" t="s">
        <v>202</v>
      </c>
      <c r="M1" s="398" t="s">
        <v>156</v>
      </c>
      <c r="N1" s="271" t="s">
        <v>186</v>
      </c>
      <c r="O1" s="342" t="s">
        <v>108</v>
      </c>
      <c r="P1" s="272" t="s">
        <v>203</v>
      </c>
      <c r="Q1" s="272" t="s">
        <v>187</v>
      </c>
      <c r="R1" s="273" t="s">
        <v>108</v>
      </c>
    </row>
    <row r="2" spans="1:23" s="228" customFormat="1" ht="13.5" thickBot="1" x14ac:dyDescent="0.25">
      <c r="A2" s="524">
        <v>41671</v>
      </c>
      <c r="B2" s="525"/>
      <c r="C2" s="526" t="s">
        <v>9</v>
      </c>
      <c r="D2" s="527"/>
      <c r="E2" s="527"/>
      <c r="F2" s="527"/>
      <c r="G2" s="527"/>
      <c r="H2" s="527"/>
      <c r="I2" s="528"/>
      <c r="J2" s="524">
        <v>41671</v>
      </c>
      <c r="K2" s="525"/>
      <c r="L2" s="519" t="s">
        <v>155</v>
      </c>
      <c r="M2" s="520"/>
      <c r="N2" s="520"/>
      <c r="O2" s="520"/>
      <c r="P2" s="520"/>
      <c r="Q2" s="520"/>
      <c r="R2" s="521"/>
    </row>
    <row r="3" spans="1:23" x14ac:dyDescent="0.2">
      <c r="A3" s="343"/>
      <c r="B3" s="344"/>
      <c r="C3" s="345"/>
      <c r="D3" s="346"/>
      <c r="E3" s="347"/>
      <c r="F3" s="348"/>
      <c r="G3" s="440"/>
      <c r="H3" s="441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111</v>
      </c>
      <c r="B4" s="58"/>
      <c r="C4" s="352">
        <f>[4]AirCanada!$DK$19</f>
        <v>152</v>
      </c>
      <c r="D4" s="353">
        <f>C4/$C$54</f>
        <v>5.5851552452691527E-3</v>
      </c>
      <c r="E4" s="354">
        <f>[4]AirCanada!$CW$19</f>
        <v>172</v>
      </c>
      <c r="F4" s="355">
        <f>(C4-E4)/E4</f>
        <v>-0.11627906976744186</v>
      </c>
      <c r="G4" s="354">
        <f>SUM([4]AirCanada!$DJ$19:$DK$19)</f>
        <v>311</v>
      </c>
      <c r="H4" s="354">
        <f>SUM([4]AirCanada!$CV$19:$CW$19)</f>
        <v>370</v>
      </c>
      <c r="I4" s="355">
        <f>(G4-H4)/H4</f>
        <v>-0.15945945945945947</v>
      </c>
      <c r="J4" s="351" t="s">
        <v>111</v>
      </c>
      <c r="K4" s="58"/>
      <c r="L4" s="352">
        <f>[4]AirCanada!$DK$41</f>
        <v>3897</v>
      </c>
      <c r="M4" s="353">
        <f>L4/$L$54</f>
        <v>1.6414357866697891E-3</v>
      </c>
      <c r="N4" s="354">
        <f>[4]AirCanada!$CW$41</f>
        <v>4092</v>
      </c>
      <c r="O4" s="355">
        <f>(L4-N4)/N4</f>
        <v>-4.7653958944281524E-2</v>
      </c>
      <c r="P4" s="354">
        <f>SUM([4]AirCanada!$DJ$41:$DK$41)</f>
        <v>8014</v>
      </c>
      <c r="Q4" s="354">
        <f>SUM([4]AirCanada!$CV$41:$CW$41)</f>
        <v>8776</v>
      </c>
      <c r="R4" s="355">
        <f>(P4-Q4)/Q4</f>
        <v>-8.6827711941659072E-2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199</v>
      </c>
      <c r="B6" s="58"/>
      <c r="C6" s="352">
        <f>'[4]Air France'!$DK$19</f>
        <v>0</v>
      </c>
      <c r="D6" s="353">
        <f>C6/$C$54</f>
        <v>0</v>
      </c>
      <c r="E6" s="354">
        <f>'[4]Air France'!$CW$19</f>
        <v>0</v>
      </c>
      <c r="F6" s="355" t="e">
        <f>(C6-E6)/E6</f>
        <v>#DIV/0!</v>
      </c>
      <c r="G6" s="354">
        <f>SUM('[4]Air France'!$DJ$19:$DK$19)</f>
        <v>0</v>
      </c>
      <c r="H6" s="354">
        <f>SUM('[4]Air France'!$CV$19:$CW$19)</f>
        <v>0</v>
      </c>
      <c r="I6" s="355" t="e">
        <f>(G6-H6)/H6</f>
        <v>#DIV/0!</v>
      </c>
      <c r="J6" s="351" t="s">
        <v>199</v>
      </c>
      <c r="K6" s="58"/>
      <c r="L6" s="352">
        <f>'[4]Air France'!$DK$41</f>
        <v>0</v>
      </c>
      <c r="M6" s="353">
        <f>L6/$L$54</f>
        <v>0</v>
      </c>
      <c r="N6" s="354">
        <f>'[4]Air France'!$CW$41</f>
        <v>0</v>
      </c>
      <c r="O6" s="355" t="e">
        <f>(L6-N6)/N6</f>
        <v>#DIV/0!</v>
      </c>
      <c r="P6" s="354">
        <f>SUM('[4]Air France'!$DJ$41:$DK$41)</f>
        <v>0</v>
      </c>
      <c r="Q6" s="354">
        <f>SUM('[4]Air France'!$CV$41:$CW$41)</f>
        <v>0</v>
      </c>
      <c r="R6" s="355" t="e">
        <f>(P6-Q6)/Q6</f>
        <v>#DIV/0!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143</v>
      </c>
      <c r="B8" s="58"/>
      <c r="C8" s="352">
        <f>[4]Alaska!$DK$19</f>
        <v>110</v>
      </c>
      <c r="D8" s="353">
        <f>C8/$C$54</f>
        <v>4.0418886643395187E-3</v>
      </c>
      <c r="E8" s="354">
        <f>[4]Alaska!$CW$19</f>
        <v>114</v>
      </c>
      <c r="F8" s="355">
        <f>(C8-E8)/E8</f>
        <v>-3.5087719298245612E-2</v>
      </c>
      <c r="G8" s="354">
        <f>SUM([4]Alaska!$DJ$19:$DK$19)</f>
        <v>234</v>
      </c>
      <c r="H8" s="354">
        <f>SUM([4]Alaska!$CV$19:$CW$19)</f>
        <v>236</v>
      </c>
      <c r="I8" s="355">
        <f>(G8-H8)/H8</f>
        <v>-8.4745762711864406E-3</v>
      </c>
      <c r="J8" s="351" t="s">
        <v>143</v>
      </c>
      <c r="K8" s="58"/>
      <c r="L8" s="352">
        <f>[4]Alaska!$DK$41</f>
        <v>13364</v>
      </c>
      <c r="M8" s="353">
        <f>L8/$L$54</f>
        <v>5.6289832827957562E-3</v>
      </c>
      <c r="N8" s="354">
        <f>[4]Alaska!$CW$41</f>
        <v>14094</v>
      </c>
      <c r="O8" s="355">
        <f>(L8-N8)/N8</f>
        <v>-5.1795090109266355E-2</v>
      </c>
      <c r="P8" s="354">
        <f>SUM([4]Alaska!$DJ$41:$DK$41)</f>
        <v>27613</v>
      </c>
      <c r="Q8" s="354">
        <f>SUM([4]Alaska!$CV$41:$CW$41)</f>
        <v>28752</v>
      </c>
      <c r="R8" s="355">
        <f>(P8-Q8)/Q8</f>
        <v>-3.9614635503617136E-2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918</v>
      </c>
      <c r="D10" s="353">
        <f>C10/$C$54</f>
        <v>3.3731398126033436E-2</v>
      </c>
      <c r="E10" s="357">
        <f>SUM(E11:E12)</f>
        <v>986</v>
      </c>
      <c r="F10" s="355">
        <f>(C10-E10)/E10</f>
        <v>-6.8965517241379309E-2</v>
      </c>
      <c r="G10" s="357">
        <f>SUM(G11:G12)</f>
        <v>1890</v>
      </c>
      <c r="H10" s="357">
        <f>SUM(H11:H12)</f>
        <v>2082</v>
      </c>
      <c r="I10" s="355">
        <f>(G10-H10)/H10</f>
        <v>-9.2219020172910657E-2</v>
      </c>
      <c r="J10" s="351" t="s">
        <v>19</v>
      </c>
      <c r="K10" s="359"/>
      <c r="L10" s="352">
        <f>SUM(L11:L12)</f>
        <v>79790</v>
      </c>
      <c r="M10" s="353">
        <f>L10/$L$54</f>
        <v>3.360794493671606E-2</v>
      </c>
      <c r="N10" s="357">
        <f>SUM(N11:N12)</f>
        <v>75351</v>
      </c>
      <c r="O10" s="355">
        <f>(L10-N10)/N10</f>
        <v>5.891096335815052E-2</v>
      </c>
      <c r="P10" s="352">
        <f>SUM(P11:P12)</f>
        <v>155428</v>
      </c>
      <c r="Q10" s="357">
        <f>SUM(Q11:Q12)</f>
        <v>153113</v>
      </c>
      <c r="R10" s="355">
        <f>(P10-Q10)/Q10</f>
        <v>1.5119552226133639E-2</v>
      </c>
      <c r="T10" s="21"/>
    </row>
    <row r="11" spans="1:23" ht="14.1" customHeight="1" x14ac:dyDescent="0.2">
      <c r="A11" s="55"/>
      <c r="B11" s="360" t="s">
        <v>19</v>
      </c>
      <c r="C11" s="356">
        <f>[4]American!$DK$19</f>
        <v>488</v>
      </c>
      <c r="D11" s="41">
        <f>C11/$C$54</f>
        <v>1.7931287892706229E-2</v>
      </c>
      <c r="E11" s="9">
        <f>[4]American!$CW$19</f>
        <v>490</v>
      </c>
      <c r="F11" s="89">
        <f>(C11-E11)/E11</f>
        <v>-4.0816326530612249E-3</v>
      </c>
      <c r="G11" s="9">
        <f>SUM([4]American!$DJ$19:$DK$19)</f>
        <v>1056</v>
      </c>
      <c r="H11" s="9">
        <f>SUM([4]American!$CV$19:$CW$19)</f>
        <v>1008</v>
      </c>
      <c r="I11" s="89">
        <f>(G11-H11)/H11</f>
        <v>4.7619047619047616E-2</v>
      </c>
      <c r="J11" s="55"/>
      <c r="K11" s="360" t="s">
        <v>19</v>
      </c>
      <c r="L11" s="356">
        <f>[4]American!$DK$41</f>
        <v>56577</v>
      </c>
      <c r="M11" s="41">
        <f>L11/$L$54</f>
        <v>2.3830513857433067E-2</v>
      </c>
      <c r="N11" s="9">
        <f>[4]American!$CW$41</f>
        <v>53215</v>
      </c>
      <c r="O11" s="89">
        <f>(L11-N11)/N11</f>
        <v>6.3177675467443392E-2</v>
      </c>
      <c r="P11" s="9">
        <f>SUM([4]American!$DJ$41:$DK$41)</f>
        <v>113057</v>
      </c>
      <c r="Q11" s="9">
        <f>SUM([4]American!$CV$41:$CW$41)</f>
        <v>105881</v>
      </c>
      <c r="R11" s="89">
        <f>(P11-Q11)/Q11</f>
        <v>6.7774199336991525E-2</v>
      </c>
      <c r="T11" s="21"/>
    </row>
    <row r="12" spans="1:23" ht="14.1" customHeight="1" x14ac:dyDescent="0.2">
      <c r="A12" s="55"/>
      <c r="B12" s="360" t="s">
        <v>175</v>
      </c>
      <c r="C12" s="356">
        <f>'[4]American Eagle'!$DK$19</f>
        <v>430</v>
      </c>
      <c r="D12" s="41">
        <f>C12/$C$54</f>
        <v>1.5800110233327211E-2</v>
      </c>
      <c r="E12" s="9">
        <f>'[4]American Eagle'!$CW$19</f>
        <v>496</v>
      </c>
      <c r="F12" s="89">
        <f>(C12-E12)/E12</f>
        <v>-0.13306451612903225</v>
      </c>
      <c r="G12" s="9">
        <f>SUM('[4]American Eagle'!$DJ$19:$DK$19)</f>
        <v>834</v>
      </c>
      <c r="H12" s="9">
        <f>SUM('[4]American Eagle'!$CV$19:$CW$19)</f>
        <v>1074</v>
      </c>
      <c r="I12" s="89">
        <f>(G12-H12)/H12</f>
        <v>-0.22346368715083798</v>
      </c>
      <c r="J12" s="55"/>
      <c r="K12" s="360" t="s">
        <v>175</v>
      </c>
      <c r="L12" s="356">
        <f>'[4]American Eagle'!$DK$41</f>
        <v>23213</v>
      </c>
      <c r="M12" s="41">
        <f>L12/$L$54</f>
        <v>9.7774310792829913E-3</v>
      </c>
      <c r="N12" s="9">
        <f>'[4]American Eagle'!$CW$41</f>
        <v>22136</v>
      </c>
      <c r="O12" s="89">
        <f>(L12-N12)/N12</f>
        <v>4.8653776653415248E-2</v>
      </c>
      <c r="P12" s="9">
        <f>SUM('[4]American Eagle'!$DJ$41:$DK$41)</f>
        <v>42371</v>
      </c>
      <c r="Q12" s="9">
        <f>SUM('[4]American Eagle'!$CV$41:$CW$41)</f>
        <v>47232</v>
      </c>
      <c r="R12" s="89">
        <f>(P12-Q12)/Q12</f>
        <v>-0.10291751355013549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20</v>
      </c>
      <c r="B14" s="365"/>
      <c r="C14" s="352">
        <f>SUM(C15:C21)</f>
        <v>20219</v>
      </c>
      <c r="D14" s="353">
        <f t="shared" ref="D14:D21" si="0">C14/$C$54</f>
        <v>0.74293588094800667</v>
      </c>
      <c r="E14" s="354">
        <f>SUM(E15:E21)</f>
        <v>20848</v>
      </c>
      <c r="F14" s="355">
        <f t="shared" ref="F14:F21" si="1">(C14-E14)/E14</f>
        <v>-3.017075978511128E-2</v>
      </c>
      <c r="G14" s="357">
        <f>SUM(G15:G21)</f>
        <v>42816</v>
      </c>
      <c r="H14" s="357">
        <f>SUM(H15:H21)</f>
        <v>43400</v>
      </c>
      <c r="I14" s="355">
        <f>(G14-H14)/H14</f>
        <v>-1.3456221198156683E-2</v>
      </c>
      <c r="J14" s="351" t="s">
        <v>20</v>
      </c>
      <c r="K14" s="365"/>
      <c r="L14" s="352">
        <f>SUM(L15:L21)</f>
        <v>1703768</v>
      </c>
      <c r="M14" s="353">
        <f t="shared" ref="M14:M21" si="2">L14/$L$54</f>
        <v>0.71763555745004193</v>
      </c>
      <c r="N14" s="354">
        <f>SUM(N15:N21)</f>
        <v>1654159</v>
      </c>
      <c r="O14" s="355">
        <f t="shared" ref="O14:O21" si="3">(L14-N14)/N14</f>
        <v>2.9990466454554852E-2</v>
      </c>
      <c r="P14" s="354">
        <f>SUM(P15:P21)</f>
        <v>3510943</v>
      </c>
      <c r="Q14" s="354">
        <f>SUM(Q15:Q21)</f>
        <v>3365030</v>
      </c>
      <c r="R14" s="355">
        <f t="shared" ref="R14:R21" si="4">(P14-Q14)/Q14</f>
        <v>4.3361574785365953E-2</v>
      </c>
      <c r="T14" s="444"/>
      <c r="V14" s="11"/>
      <c r="W14" s="11"/>
    </row>
    <row r="15" spans="1:23" ht="14.1" customHeight="1" x14ac:dyDescent="0.2">
      <c r="A15" s="55"/>
      <c r="B15" s="360" t="s">
        <v>20</v>
      </c>
      <c r="C15" s="356">
        <f>[4]Delta!$DK$19</f>
        <v>8183</v>
      </c>
      <c r="D15" s="41">
        <f t="shared" si="0"/>
        <v>0.30067977218445713</v>
      </c>
      <c r="E15" s="9">
        <f>[4]Delta!$CW$19</f>
        <v>8060</v>
      </c>
      <c r="F15" s="89">
        <f t="shared" si="1"/>
        <v>1.5260545905707195E-2</v>
      </c>
      <c r="G15" s="9">
        <f>SUM([4]Delta!$DJ$19:$DK$19)</f>
        <v>17162</v>
      </c>
      <c r="H15" s="9">
        <f>SUM([4]Delta!$CV$19:$CW$19)</f>
        <v>16726</v>
      </c>
      <c r="I15" s="89">
        <f t="shared" ref="I15:I21" si="5">(G15-H15)/H15</f>
        <v>2.6067200765275619E-2</v>
      </c>
      <c r="J15" s="55"/>
      <c r="K15" s="360" t="s">
        <v>20</v>
      </c>
      <c r="L15" s="356">
        <f>[4]Delta!$DK$41</f>
        <v>1124737</v>
      </c>
      <c r="M15" s="41">
        <f t="shared" si="2"/>
        <v>0.47374481970531657</v>
      </c>
      <c r="N15" s="9">
        <f>[4]Delta!$CW$41</f>
        <v>1058220</v>
      </c>
      <c r="O15" s="89">
        <f t="shared" si="3"/>
        <v>6.2857439851826652E-2</v>
      </c>
      <c r="P15" s="9">
        <f>SUM([4]Delta!$DJ$41:$DK$41)</f>
        <v>2307854</v>
      </c>
      <c r="Q15" s="9">
        <f>SUM([4]Delta!$CV$41:$CW$41)</f>
        <v>2158635</v>
      </c>
      <c r="R15" s="89">
        <f t="shared" si="4"/>
        <v>6.912655451245811E-2</v>
      </c>
      <c r="T15" s="21"/>
      <c r="U15" s="9"/>
      <c r="V15" s="11"/>
      <c r="W15" s="11"/>
    </row>
    <row r="16" spans="1:23" ht="14.1" customHeight="1" x14ac:dyDescent="0.2">
      <c r="A16" s="55"/>
      <c r="B16" s="362" t="s">
        <v>132</v>
      </c>
      <c r="C16" s="356">
        <f>[4]Compass!$DK$19</f>
        <v>2475</v>
      </c>
      <c r="D16" s="41">
        <f t="shared" si="0"/>
        <v>9.0942494947639174E-2</v>
      </c>
      <c r="E16" s="9">
        <f>[4]Compass!$CW$19</f>
        <v>3304</v>
      </c>
      <c r="F16" s="89">
        <f t="shared" si="1"/>
        <v>-0.25090799031476996</v>
      </c>
      <c r="G16" s="9">
        <f>SUM([4]Compass!$DJ$19:$DK$19)</f>
        <v>5164</v>
      </c>
      <c r="H16" s="9">
        <f>SUM([4]Compass!$CV$19:$CW$19)</f>
        <v>6800</v>
      </c>
      <c r="I16" s="89">
        <f t="shared" si="5"/>
        <v>-0.24058823529411766</v>
      </c>
      <c r="J16" s="55"/>
      <c r="K16" s="362" t="s">
        <v>132</v>
      </c>
      <c r="L16" s="356">
        <f>[4]Compass!$DK$41</f>
        <v>148897</v>
      </c>
      <c r="M16" s="41">
        <f t="shared" si="2"/>
        <v>6.27161571279886E-2</v>
      </c>
      <c r="N16" s="9">
        <f>[4]Compass!$CW$41</f>
        <v>188798</v>
      </c>
      <c r="O16" s="89">
        <f t="shared" si="3"/>
        <v>-0.21134228116823273</v>
      </c>
      <c r="P16" s="9">
        <f>SUM([4]Compass!$DJ$41:$DK$41)</f>
        <v>302918</v>
      </c>
      <c r="Q16" s="9">
        <f>SUM([4]Compass!$CV$41:$CW$41)</f>
        <v>377119</v>
      </c>
      <c r="R16" s="89">
        <f t="shared" si="4"/>
        <v>-0.19675752216143977</v>
      </c>
      <c r="T16" s="9"/>
      <c r="U16" s="9"/>
      <c r="V16" s="11"/>
      <c r="W16" s="11"/>
    </row>
    <row r="17" spans="1:21" ht="14.1" customHeight="1" x14ac:dyDescent="0.2">
      <c r="A17" s="55"/>
      <c r="B17" s="361" t="s">
        <v>205</v>
      </c>
      <c r="C17" s="356">
        <f>[4]Pinnacle!$DK$19</f>
        <v>6000</v>
      </c>
      <c r="D17" s="41">
        <f t="shared" si="0"/>
        <v>0.2204666544185192</v>
      </c>
      <c r="E17" s="9">
        <f>[4]Pinnacle!$CW$19</f>
        <v>4646</v>
      </c>
      <c r="F17" s="89">
        <f t="shared" si="1"/>
        <v>0.29143349117520445</v>
      </c>
      <c r="G17" s="9">
        <f>SUM([4]Pinnacle!$DJ$19:$DK$19)</f>
        <v>12914</v>
      </c>
      <c r="H17" s="9">
        <f>SUM([4]Pinnacle!$CV$19:$CW$19)</f>
        <v>9440</v>
      </c>
      <c r="I17" s="89">
        <f t="shared" si="5"/>
        <v>0.36800847457627117</v>
      </c>
      <c r="J17" s="55"/>
      <c r="K17" s="361" t="s">
        <v>205</v>
      </c>
      <c r="L17" s="356">
        <f>[4]Pinnacle!$DK$41</f>
        <v>275861</v>
      </c>
      <c r="M17" s="41">
        <f t="shared" si="2"/>
        <v>0.1161940255443969</v>
      </c>
      <c r="N17" s="9">
        <f>[4]Pinnacle!$CW$41</f>
        <v>206107</v>
      </c>
      <c r="O17" s="89">
        <f t="shared" si="3"/>
        <v>0.33843586098482825</v>
      </c>
      <c r="P17" s="9">
        <f>SUM([4]Pinnacle!$DJ$41:$DK$41)</f>
        <v>584069</v>
      </c>
      <c r="Q17" s="9">
        <f>SUM([4]Pinnacle!$CV$41:$CW$41)</f>
        <v>402902</v>
      </c>
      <c r="R17" s="89">
        <f t="shared" si="4"/>
        <v>0.44965525115288579</v>
      </c>
      <c r="T17" s="21"/>
      <c r="U17" s="11"/>
    </row>
    <row r="18" spans="1:21" ht="14.1" customHeight="1" x14ac:dyDescent="0.2">
      <c r="A18" s="55"/>
      <c r="B18" s="360" t="s">
        <v>182</v>
      </c>
      <c r="C18" s="356">
        <f>'[4]Go Jet'!$DK$19</f>
        <v>0</v>
      </c>
      <c r="D18" s="41">
        <f t="shared" si="0"/>
        <v>0</v>
      </c>
      <c r="E18" s="9">
        <f>'[4]Go Jet'!$CW$19</f>
        <v>0</v>
      </c>
      <c r="F18" s="89" t="e">
        <f>(C18-E18)/E18</f>
        <v>#DIV/0!</v>
      </c>
      <c r="G18" s="9">
        <f>SUM('[4]Go Jet'!$DJ$19:$DK$19)</f>
        <v>0</v>
      </c>
      <c r="H18" s="9">
        <f>SUM('[4]Go Jet'!$CV$19:$CW$19)</f>
        <v>0</v>
      </c>
      <c r="I18" s="89" t="e">
        <f>(G18-H18)/H18</f>
        <v>#DIV/0!</v>
      </c>
      <c r="J18" s="55"/>
      <c r="K18" s="361" t="s">
        <v>182</v>
      </c>
      <c r="L18" s="356">
        <f>'[4]Go Jet'!$DK$41</f>
        <v>0</v>
      </c>
      <c r="M18" s="41">
        <f t="shared" si="2"/>
        <v>0</v>
      </c>
      <c r="N18" s="9">
        <f>'[4]Go Jet'!$CW$41</f>
        <v>0</v>
      </c>
      <c r="O18" s="89" t="e">
        <f>(L18-N18)/N18</f>
        <v>#DIV/0!</v>
      </c>
      <c r="P18" s="9">
        <f>SUM('[4]Go Jet'!$DJ$41:$DK$41)</f>
        <v>0</v>
      </c>
      <c r="Q18" s="9">
        <f>SUM('[4]Go Jet'!$CV$41:$CW$41)</f>
        <v>0</v>
      </c>
      <c r="R18" s="89" t="e">
        <f>(P18-Q18)/Q18</f>
        <v>#DIV/0!</v>
      </c>
      <c r="T18" s="338"/>
      <c r="U18" s="335"/>
    </row>
    <row r="19" spans="1:21" ht="14.1" customHeight="1" x14ac:dyDescent="0.2">
      <c r="A19" s="55"/>
      <c r="B19" s="361" t="s">
        <v>110</v>
      </c>
      <c r="C19" s="356">
        <f>'[4]Sky West'!$DK$19</f>
        <v>2660</v>
      </c>
      <c r="D19" s="41">
        <f t="shared" si="0"/>
        <v>9.7740216792210177E-2</v>
      </c>
      <c r="E19" s="9">
        <f>'[4]Sky West'!$CW$19</f>
        <v>4099</v>
      </c>
      <c r="F19" s="89">
        <f t="shared" si="1"/>
        <v>-0.35106123444742621</v>
      </c>
      <c r="G19" s="9">
        <f>SUM('[4]Sky West'!$DJ$19:$DK$19)</f>
        <v>5673</v>
      </c>
      <c r="H19" s="9">
        <f>SUM('[4]Sky West'!$CV$19:$CW$19)</f>
        <v>8599</v>
      </c>
      <c r="I19" s="89">
        <f t="shared" si="5"/>
        <v>-0.34027212466565881</v>
      </c>
      <c r="J19" s="55"/>
      <c r="K19" s="361" t="s">
        <v>110</v>
      </c>
      <c r="L19" s="356">
        <f>'[4]Sky West'!$DK$41</f>
        <v>104771</v>
      </c>
      <c r="M19" s="41">
        <f t="shared" si="2"/>
        <v>4.413006641138837E-2</v>
      </c>
      <c r="N19" s="9">
        <f>'[4]Sky West'!$CW$41</f>
        <v>164854</v>
      </c>
      <c r="O19" s="89">
        <f t="shared" si="3"/>
        <v>-0.36446188748832298</v>
      </c>
      <c r="P19" s="9">
        <f>SUM('[4]Sky West'!$DJ$41:$DK$41)</f>
        <v>216764</v>
      </c>
      <c r="Q19" s="9">
        <f>SUM('[4]Sky West'!$CV$41:$CW$41)</f>
        <v>338535</v>
      </c>
      <c r="R19" s="89">
        <f t="shared" si="4"/>
        <v>-0.35969988332077923</v>
      </c>
      <c r="T19" s="21"/>
    </row>
    <row r="20" spans="1:21" ht="14.1" customHeight="1" x14ac:dyDescent="0.2">
      <c r="A20" s="55"/>
      <c r="B20" s="361" t="s">
        <v>148</v>
      </c>
      <c r="C20" s="356">
        <f>'[4]Shuttle America_Delta'!$DK$19</f>
        <v>176</v>
      </c>
      <c r="D20" s="41">
        <f t="shared" si="0"/>
        <v>6.4670218629432298E-3</v>
      </c>
      <c r="E20" s="9">
        <f>'[4]Shuttle America_Delta'!$CW$19</f>
        <v>148</v>
      </c>
      <c r="F20" s="89">
        <f t="shared" si="1"/>
        <v>0.1891891891891892</v>
      </c>
      <c r="G20" s="9">
        <f>SUM('[4]Shuttle America_Delta'!$DJ$19:$DK$19)</f>
        <v>380</v>
      </c>
      <c r="H20" s="9">
        <f>SUM('[4]Shuttle America_Delta'!$CV$19:$CW$19)</f>
        <v>325</v>
      </c>
      <c r="I20" s="89">
        <f t="shared" si="5"/>
        <v>0.16923076923076924</v>
      </c>
      <c r="J20" s="55"/>
      <c r="K20" s="361" t="s">
        <v>148</v>
      </c>
      <c r="L20" s="356">
        <f>'[4]Shuttle America_Delta'!$DK$41</f>
        <v>9995</v>
      </c>
      <c r="M20" s="41">
        <f t="shared" si="2"/>
        <v>4.2099437228033214E-3</v>
      </c>
      <c r="N20" s="9">
        <f>'[4]Shuttle America_Delta'!$CW$41</f>
        <v>7934</v>
      </c>
      <c r="O20" s="89">
        <f t="shared" si="3"/>
        <v>0.25976808671540208</v>
      </c>
      <c r="P20" s="9">
        <f>SUM('[4]Shuttle America_Delta'!$DJ$41:$DK$41)</f>
        <v>20654</v>
      </c>
      <c r="Q20" s="9">
        <f>SUM('[4]Shuttle America_Delta'!$CV$41:$CW$41)</f>
        <v>17081</v>
      </c>
      <c r="R20" s="89">
        <f t="shared" si="4"/>
        <v>0.20917979041039753</v>
      </c>
      <c r="T20" s="21"/>
    </row>
    <row r="21" spans="1:21" ht="14.1" customHeight="1" x14ac:dyDescent="0.2">
      <c r="A21" s="55"/>
      <c r="B21" s="366" t="s">
        <v>55</v>
      </c>
      <c r="C21" s="356">
        <f>'[4]Atlantic Southeast'!$DK$19</f>
        <v>725</v>
      </c>
      <c r="D21" s="41">
        <f t="shared" si="0"/>
        <v>2.6639720742237735E-2</v>
      </c>
      <c r="E21" s="9">
        <f>'[4]Atlantic Southeast'!$CW$19</f>
        <v>591</v>
      </c>
      <c r="F21" s="89">
        <f t="shared" si="1"/>
        <v>0.22673434856175972</v>
      </c>
      <c r="G21" s="9">
        <f>SUM('[4]Atlantic Southeast'!$DJ$19:$DK$19)</f>
        <v>1523</v>
      </c>
      <c r="H21" s="9">
        <f>SUM('[4]Atlantic Southeast'!$CV$19:$CW$19)</f>
        <v>1510</v>
      </c>
      <c r="I21" s="89">
        <f t="shared" si="5"/>
        <v>8.6092715231788075E-3</v>
      </c>
      <c r="J21" s="55"/>
      <c r="K21" s="366" t="s">
        <v>55</v>
      </c>
      <c r="L21" s="356">
        <f>'[4]Atlantic Southeast'!$DK$41</f>
        <v>39507</v>
      </c>
      <c r="M21" s="41">
        <f t="shared" si="2"/>
        <v>1.6640544938148157E-2</v>
      </c>
      <c r="N21" s="9">
        <f>'[4]Atlantic Southeast'!$CW$41</f>
        <v>28246</v>
      </c>
      <c r="O21" s="89">
        <f t="shared" si="3"/>
        <v>0.3986759187141542</v>
      </c>
      <c r="P21" s="9">
        <f>SUM('[4]Atlantic Southeast'!$DJ$41:$DK$41)</f>
        <v>78684</v>
      </c>
      <c r="Q21" s="9">
        <f>SUM('[4]Atlantic Southeast'!$CV$41:$CW$41)</f>
        <v>70758</v>
      </c>
      <c r="R21" s="89">
        <f t="shared" si="4"/>
        <v>0.11201560247604511</v>
      </c>
      <c r="T21" s="334"/>
    </row>
    <row r="22" spans="1:21" ht="14.1" customHeight="1" x14ac:dyDescent="0.2">
      <c r="A22" s="55"/>
      <c r="B22" s="366"/>
      <c r="C22" s="356"/>
      <c r="D22" s="41"/>
      <c r="E22" s="5"/>
      <c r="F22" s="89"/>
      <c r="G22" s="9"/>
      <c r="H22" s="9"/>
      <c r="I22" s="89"/>
      <c r="J22" s="55"/>
      <c r="K22" s="366"/>
      <c r="L22" s="356"/>
      <c r="M22" s="41"/>
      <c r="N22" s="9"/>
      <c r="O22" s="89"/>
      <c r="P22" s="9"/>
      <c r="Q22" s="9"/>
      <c r="R22" s="89"/>
      <c r="T22" s="334"/>
    </row>
    <row r="23" spans="1:21" s="7" customFormat="1" ht="14.1" customHeight="1" x14ac:dyDescent="0.2">
      <c r="A23" s="351" t="s">
        <v>51</v>
      </c>
      <c r="B23" s="367"/>
      <c r="C23" s="352">
        <f>[4]Frontier!$DK$19</f>
        <v>176</v>
      </c>
      <c r="D23" s="353">
        <f>C23/$C$54</f>
        <v>6.4670218629432298E-3</v>
      </c>
      <c r="E23" s="354">
        <f>[4]Frontier!$CW$19</f>
        <v>158</v>
      </c>
      <c r="F23" s="355">
        <f>(C23-E23)/E23</f>
        <v>0.11392405063291139</v>
      </c>
      <c r="G23" s="354">
        <f>SUM([4]Frontier!$DJ$19:$DK$19)</f>
        <v>368</v>
      </c>
      <c r="H23" s="354">
        <f>SUM([4]Frontier!$CV$19:$CW$19)</f>
        <v>336</v>
      </c>
      <c r="I23" s="355">
        <f>(G23-H23)/H23</f>
        <v>9.5238095238095233E-2</v>
      </c>
      <c r="J23" s="351" t="s">
        <v>51</v>
      </c>
      <c r="K23" s="367"/>
      <c r="L23" s="352">
        <f>[4]Frontier!$DK$41</f>
        <v>25413</v>
      </c>
      <c r="M23" s="353">
        <f>L23/$L$54</f>
        <v>1.0704082023771967E-2</v>
      </c>
      <c r="N23" s="354">
        <f>[4]Frontier!$CW$41</f>
        <v>23766</v>
      </c>
      <c r="O23" s="355">
        <f>(L23-N23)/N23</f>
        <v>6.9300681646048981E-2</v>
      </c>
      <c r="P23" s="354">
        <f>SUM([4]Frontier!$DJ$41:$DK$41)</f>
        <v>52331</v>
      </c>
      <c r="Q23" s="354">
        <f>SUM([4]Frontier!$CV$41:$CW$41)</f>
        <v>48777</v>
      </c>
      <c r="R23" s="355">
        <f>(P23-Q23)/Q23</f>
        <v>7.2862209647989826E-2</v>
      </c>
      <c r="T23" s="336"/>
      <c r="U23"/>
    </row>
    <row r="24" spans="1:21" s="7" customFormat="1" ht="14.1" customHeight="1" x14ac:dyDescent="0.2">
      <c r="A24" s="351"/>
      <c r="B24" s="367"/>
      <c r="C24" s="352"/>
      <c r="D24" s="353"/>
      <c r="E24" s="182"/>
      <c r="F24" s="355"/>
      <c r="G24" s="354"/>
      <c r="H24" s="354"/>
      <c r="I24" s="355"/>
      <c r="J24" s="351"/>
      <c r="K24" s="367"/>
      <c r="L24" s="356"/>
      <c r="M24" s="41"/>
      <c r="N24" s="9"/>
      <c r="O24" s="89"/>
      <c r="P24" s="9"/>
      <c r="Q24" s="9"/>
      <c r="R24" s="89"/>
      <c r="T24" s="336"/>
    </row>
    <row r="25" spans="1:21" s="7" customFormat="1" ht="14.1" customHeight="1" x14ac:dyDescent="0.2">
      <c r="A25" s="351" t="s">
        <v>181</v>
      </c>
      <c r="B25" s="367"/>
      <c r="C25" s="352">
        <f>'[4]Great Lakes'!$DK$19</f>
        <v>98</v>
      </c>
      <c r="D25" s="353">
        <f>C25/$C$54</f>
        <v>3.6009553555024802E-3</v>
      </c>
      <c r="E25" s="354">
        <f>'[4]Great Lakes'!$CW$19</f>
        <v>990</v>
      </c>
      <c r="F25" s="355">
        <f>(C25-E25)/E25</f>
        <v>-0.90101010101010104</v>
      </c>
      <c r="G25" s="354">
        <f>SUM('[4]Great Lakes'!$DJ$19:$DK$19)</f>
        <v>608</v>
      </c>
      <c r="H25" s="354">
        <f>SUM('[4]Great Lakes'!$CV$19:$CW$19)</f>
        <v>2122</v>
      </c>
      <c r="I25" s="355">
        <f>(G25-H25)/H25</f>
        <v>-0.71347785108388317</v>
      </c>
      <c r="J25" s="351" t="s">
        <v>181</v>
      </c>
      <c r="K25" s="367"/>
      <c r="L25" s="352">
        <f>'[4]Great Lakes'!$DK$41</f>
        <v>830</v>
      </c>
      <c r="M25" s="353">
        <f>L25/$L$54</f>
        <v>3.4960012905720425E-4</v>
      </c>
      <c r="N25" s="354">
        <f>'[4]Great Lakes'!$CW$41</f>
        <v>3680</v>
      </c>
      <c r="O25" s="355">
        <f>(L25-N25)/N25</f>
        <v>-0.77445652173913049</v>
      </c>
      <c r="P25" s="354">
        <f>SUM('[4]Great Lakes'!$DJ$41:$DK$41)</f>
        <v>3596</v>
      </c>
      <c r="Q25" s="354">
        <f>SUM('[4]Great Lakes'!$CV$41:$CW$41)</f>
        <v>7398</v>
      </c>
      <c r="R25" s="355">
        <f>(P25-Q25)/Q25</f>
        <v>-0.51392268180589351</v>
      </c>
      <c r="T25" s="336"/>
    </row>
    <row r="26" spans="1:21" s="7" customFormat="1" ht="14.1" customHeight="1" x14ac:dyDescent="0.2">
      <c r="A26" s="351"/>
      <c r="B26" s="367"/>
      <c r="C26" s="352"/>
      <c r="D26" s="353"/>
      <c r="E26" s="182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1" s="7" customFormat="1" ht="14.1" customHeight="1" x14ac:dyDescent="0.2">
      <c r="A27" s="351" t="s">
        <v>52</v>
      </c>
      <c r="B27" s="367"/>
      <c r="C27" s="352">
        <f>[4]Icelandair!$DK$19</f>
        <v>0</v>
      </c>
      <c r="D27" s="353">
        <f>C27/$C$54</f>
        <v>0</v>
      </c>
      <c r="E27" s="354">
        <f>[4]Icelandair!$CW$19</f>
        <v>0</v>
      </c>
      <c r="F27" s="355" t="e">
        <f>(C27-E27)/E27</f>
        <v>#DIV/0!</v>
      </c>
      <c r="G27" s="354">
        <f>SUM([4]Icelandair!$DJ$19:$DK$19)</f>
        <v>0</v>
      </c>
      <c r="H27" s="354">
        <f>SUM([4]Icelandair!$CV$19:$CW$19)</f>
        <v>0</v>
      </c>
      <c r="I27" s="355" t="e">
        <f>(G27-H27)/H27</f>
        <v>#DIV/0!</v>
      </c>
      <c r="J27" s="351" t="s">
        <v>52</v>
      </c>
      <c r="K27" s="367"/>
      <c r="L27" s="352">
        <f>[4]Icelandair!$DK$41</f>
        <v>0</v>
      </c>
      <c r="M27" s="353">
        <f>L27/$L$54</f>
        <v>0</v>
      </c>
      <c r="N27" s="354">
        <f>[4]Icelandair!$CW$41</f>
        <v>0</v>
      </c>
      <c r="O27" s="355" t="e">
        <f>(L27-N27)/N27</f>
        <v>#DIV/0!</v>
      </c>
      <c r="P27" s="354">
        <f>SUM([4]Icelandair!$DJ$41:$DK$41)</f>
        <v>0</v>
      </c>
      <c r="Q27" s="354">
        <f>SUM([4]Icelandair!$CV$41:$CW$41)</f>
        <v>0</v>
      </c>
      <c r="R27" s="355" t="e">
        <f>(P27-Q27)/Q27</f>
        <v>#DIV/0!</v>
      </c>
      <c r="T27" s="21"/>
    </row>
    <row r="28" spans="1:21" s="7" customFormat="1" ht="14.1" customHeight="1" x14ac:dyDescent="0.2">
      <c r="A28" s="351"/>
      <c r="B28" s="367"/>
      <c r="C28" s="352"/>
      <c r="D28" s="353"/>
      <c r="E28" s="182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63" t="s">
        <v>145</v>
      </c>
      <c r="B29" s="58"/>
      <c r="C29" s="352">
        <f>SUM(C30:C31)</f>
        <v>1254</v>
      </c>
      <c r="D29" s="353">
        <f>C29/$C$54</f>
        <v>4.6077530773470515E-2</v>
      </c>
      <c r="E29" s="354">
        <f>SUM(E30:E31)</f>
        <v>1307</v>
      </c>
      <c r="F29" s="355">
        <f>(C29-E29)/E29</f>
        <v>-4.0550879877582248E-2</v>
      </c>
      <c r="G29" s="352">
        <f>SUM(G30:G31)</f>
        <v>2614</v>
      </c>
      <c r="H29" s="354">
        <f>SUM(H30:H31)</f>
        <v>2667</v>
      </c>
      <c r="I29" s="355">
        <f>(G29-H29)/H29</f>
        <v>-1.987251593550806E-2</v>
      </c>
      <c r="J29" s="351" t="s">
        <v>145</v>
      </c>
      <c r="K29" s="58"/>
      <c r="L29" s="352">
        <f>SUM(L30:L31)</f>
        <v>125526</v>
      </c>
      <c r="M29" s="353">
        <f>L29/$L$54</f>
        <v>5.2872175662692318E-2</v>
      </c>
      <c r="N29" s="354">
        <f>SUM(N30:N31)</f>
        <v>123817</v>
      </c>
      <c r="O29" s="355">
        <f>(L29-N29)/N29</f>
        <v>1.380262807207411E-2</v>
      </c>
      <c r="P29" s="352">
        <f>SUM(P30:P31)</f>
        <v>253146</v>
      </c>
      <c r="Q29" s="354">
        <f>SUM(Q30:Q31)</f>
        <v>242924</v>
      </c>
      <c r="R29" s="355">
        <f>(P29-Q29)/Q29</f>
        <v>4.2079004132979859E-2</v>
      </c>
      <c r="T29" s="21"/>
    </row>
    <row r="30" spans="1:21" ht="14.1" customHeight="1" x14ac:dyDescent="0.2">
      <c r="A30" s="363"/>
      <c r="B30" s="58" t="s">
        <v>145</v>
      </c>
      <c r="C30" s="456">
        <f>[4]Southwest!$DK$19</f>
        <v>1054</v>
      </c>
      <c r="D30" s="457">
        <f>C30/$C$54</f>
        <v>3.8728642292853208E-2</v>
      </c>
      <c r="E30" s="302">
        <f>[4]Southwest!$CW$19</f>
        <v>1083</v>
      </c>
      <c r="F30" s="458">
        <f>(C30-E30)/E30</f>
        <v>-2.6777469990766391E-2</v>
      </c>
      <c r="G30" s="302">
        <f>SUM([4]Southwest!$DJ$19:$DK$19)</f>
        <v>2190</v>
      </c>
      <c r="H30" s="302">
        <f>SUM([4]Southwest!$CV$19:$CW$19)</f>
        <v>2195</v>
      </c>
      <c r="I30" s="458">
        <f>(G30-H30)/H30</f>
        <v>-2.2779043280182231E-3</v>
      </c>
      <c r="J30" s="351"/>
      <c r="K30" s="58" t="s">
        <v>145</v>
      </c>
      <c r="L30" s="456">
        <f>[4]Southwest!$DK$41</f>
        <v>107121</v>
      </c>
      <c r="M30" s="457">
        <f>L30/$L$54</f>
        <v>4.5119898102092507E-2</v>
      </c>
      <c r="N30" s="302">
        <f>[4]Southwest!$CW$41</f>
        <v>101765</v>
      </c>
      <c r="O30" s="458">
        <f>(L30-N30)/N30</f>
        <v>5.2631061759937113E-2</v>
      </c>
      <c r="P30" s="302">
        <f>SUM([4]Southwest!$DJ$41:$DK$41)</f>
        <v>213444</v>
      </c>
      <c r="Q30" s="302">
        <f>SUM([4]Southwest!$CV$41:$CW$41)</f>
        <v>197819</v>
      </c>
      <c r="R30" s="458">
        <f>(P30-Q30)/Q30</f>
        <v>7.8986346104267038E-2</v>
      </c>
      <c r="T30" s="21"/>
    </row>
    <row r="31" spans="1:21" ht="14.1" customHeight="1" x14ac:dyDescent="0.2">
      <c r="A31" s="363"/>
      <c r="B31" s="58" t="s">
        <v>206</v>
      </c>
      <c r="C31" s="456">
        <f>[4]AirTran!$DK$19</f>
        <v>200</v>
      </c>
      <c r="D31" s="457">
        <f>C31/$C$54</f>
        <v>7.3488884806173068E-3</v>
      </c>
      <c r="E31" s="302">
        <f>[4]AirTran!$CW$19</f>
        <v>224</v>
      </c>
      <c r="F31" s="458">
        <f>(C31-E31)/E31</f>
        <v>-0.10714285714285714</v>
      </c>
      <c r="G31" s="302">
        <f>SUM([4]AirTran!$DJ$19:$DK$19)</f>
        <v>424</v>
      </c>
      <c r="H31" s="302">
        <f>SUM([4]AirTran!$CV$19:$CW$19)</f>
        <v>472</v>
      </c>
      <c r="I31" s="458">
        <f>(G31-H31)/H31</f>
        <v>-0.10169491525423729</v>
      </c>
      <c r="J31" s="351"/>
      <c r="K31" s="58" t="s">
        <v>206</v>
      </c>
      <c r="L31" s="456">
        <f>[4]AirTran!$DK$41</f>
        <v>18405</v>
      </c>
      <c r="M31" s="457">
        <f>L31/$L$54</f>
        <v>7.7522775605998124E-3</v>
      </c>
      <c r="N31" s="302">
        <f>[4]AirTran!$CW$41</f>
        <v>22052</v>
      </c>
      <c r="O31" s="458">
        <f>(L31-N31)/N31</f>
        <v>-0.16538182477779792</v>
      </c>
      <c r="P31" s="302">
        <f>SUM([4]AirTran!$DJ$41:$DK$41)</f>
        <v>39702</v>
      </c>
      <c r="Q31" s="302">
        <f>SUM([4]AirTran!$CV$41:$CW$41)</f>
        <v>45105</v>
      </c>
      <c r="R31" s="458">
        <f>(P31-Q31)/Q31</f>
        <v>-0.11978716328566678</v>
      </c>
      <c r="T31" s="21"/>
    </row>
    <row r="32" spans="1:21" ht="14.1" customHeight="1" x14ac:dyDescent="0.2">
      <c r="A32" s="351"/>
      <c r="B32" s="58"/>
      <c r="C32" s="352"/>
      <c r="D32" s="353"/>
      <c r="E32" s="182"/>
      <c r="F32" s="355"/>
      <c r="G32" s="354"/>
      <c r="H32" s="354"/>
      <c r="I32" s="355"/>
      <c r="J32" s="351"/>
      <c r="K32" s="58"/>
      <c r="L32" s="356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51" t="s">
        <v>183</v>
      </c>
      <c r="B33" s="58"/>
      <c r="C33" s="352">
        <f>[4]Spirit!$DK$19</f>
        <v>616</v>
      </c>
      <c r="D33" s="353">
        <f>C33/$C$54</f>
        <v>2.2634576520301306E-2</v>
      </c>
      <c r="E33" s="354">
        <f>[4]Spirit!$CW$19</f>
        <v>274</v>
      </c>
      <c r="F33" s="355">
        <f>(C33-E33)/E33</f>
        <v>1.2481751824817517</v>
      </c>
      <c r="G33" s="354">
        <f>SUM([4]Spirit!$DJ$19:$DK$19)</f>
        <v>1297</v>
      </c>
      <c r="H33" s="354">
        <f>SUM([4]Spirit!$CV$19:$CW$19)</f>
        <v>584</v>
      </c>
      <c r="I33" s="355">
        <f>(G33-H33)/H33</f>
        <v>1.220890410958904</v>
      </c>
      <c r="J33" s="351" t="s">
        <v>183</v>
      </c>
      <c r="K33" s="58"/>
      <c r="L33" s="352">
        <f>[4]Spirit!$DK$41</f>
        <v>83136</v>
      </c>
      <c r="M33" s="353">
        <f>L33/$L$54</f>
        <v>3.5017296782288834E-2</v>
      </c>
      <c r="N33" s="354">
        <f>[4]Spirit!$CW$41</f>
        <v>37076</v>
      </c>
      <c r="O33" s="355">
        <f>(L33-N33)/N33</f>
        <v>1.2423130866328622</v>
      </c>
      <c r="P33" s="354">
        <f>SUM([4]Spirit!$DJ$41:$DK$41)</f>
        <v>170336</v>
      </c>
      <c r="Q33" s="354">
        <f>SUM([4]Spirit!$CV$41:$CW$41)</f>
        <v>76277</v>
      </c>
      <c r="R33" s="355">
        <f>(P33-Q33)/Q33</f>
        <v>1.2331240085477928</v>
      </c>
      <c r="T33" s="21"/>
      <c r="U33" s="7"/>
    </row>
    <row r="34" spans="1:21" ht="14.1" customHeight="1" x14ac:dyDescent="0.2">
      <c r="A34" s="351"/>
      <c r="B34" s="58"/>
      <c r="C34" s="352"/>
      <c r="D34" s="353"/>
      <c r="E34" s="182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51" t="s">
        <v>53</v>
      </c>
      <c r="B35" s="367"/>
      <c r="C35" s="352">
        <f>'[4]Sun Country'!$DK$19</f>
        <v>1531</v>
      </c>
      <c r="D35" s="353">
        <f>C35/$C$54</f>
        <v>5.6255741319125481E-2</v>
      </c>
      <c r="E35" s="354">
        <f>'[4]Sun Country'!$CW$19</f>
        <v>1219</v>
      </c>
      <c r="F35" s="355">
        <f>(C35-E35)/E35</f>
        <v>0.25594749794913862</v>
      </c>
      <c r="G35" s="354">
        <f>SUM('[4]Sun Country'!$DJ$19:$DK$19)</f>
        <v>3080</v>
      </c>
      <c r="H35" s="354">
        <f>SUM('[4]Sun Country'!$CV$19:$CW$19)</f>
        <v>2182</v>
      </c>
      <c r="I35" s="355">
        <f>(G35-H35)/H35</f>
        <v>0.41154903758020167</v>
      </c>
      <c r="J35" s="351" t="s">
        <v>53</v>
      </c>
      <c r="K35" s="367"/>
      <c r="L35" s="352">
        <f>'[4]Sun Country'!$DK$41</f>
        <v>158049</v>
      </c>
      <c r="M35" s="353">
        <f>L35/$L$54</f>
        <v>6.6571025057062749E-2</v>
      </c>
      <c r="N35" s="354">
        <f>'[4]Sun Country'!$CW$41</f>
        <v>135800</v>
      </c>
      <c r="O35" s="355">
        <f>(L35-N35)/N35</f>
        <v>0.16383652430044182</v>
      </c>
      <c r="P35" s="354">
        <f>SUM('[4]Sun Country'!$DJ$41:$DK$41)</f>
        <v>303689</v>
      </c>
      <c r="Q35" s="354">
        <f>SUM('[4]Sun Country'!$CV$41:$CW$41)</f>
        <v>256706</v>
      </c>
      <c r="R35" s="355">
        <f>(P35-Q35)/Q35</f>
        <v>0.18302260173116328</v>
      </c>
      <c r="T35" s="21"/>
    </row>
    <row r="36" spans="1:21" s="7" customFormat="1" ht="14.1" customHeight="1" x14ac:dyDescent="0.2">
      <c r="A36" s="351"/>
      <c r="B36" s="367"/>
      <c r="C36" s="352"/>
      <c r="D36" s="353"/>
      <c r="E36" s="182"/>
      <c r="F36" s="355"/>
      <c r="G36" s="354"/>
      <c r="H36" s="354"/>
      <c r="I36" s="355"/>
      <c r="J36" s="351"/>
      <c r="K36" s="367"/>
      <c r="L36" s="356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51" t="s">
        <v>21</v>
      </c>
      <c r="B37" s="359"/>
      <c r="C37" s="352">
        <f>SUM(C38:C44)</f>
        <v>1384</v>
      </c>
      <c r="D37" s="353">
        <f>C37/$C$54</f>
        <v>5.0854308285871765E-2</v>
      </c>
      <c r="E37" s="182">
        <f>SUM(E38:E44)</f>
        <v>1523</v>
      </c>
      <c r="F37" s="355">
        <f t="shared" ref="F37:F44" si="6">(C37-E37)/E37</f>
        <v>-9.1267235718975701E-2</v>
      </c>
      <c r="G37" s="354">
        <f>SUM(G38:G44)</f>
        <v>2756</v>
      </c>
      <c r="H37" s="354">
        <f>SUM(H38:H44)</f>
        <v>3194</v>
      </c>
      <c r="I37" s="355">
        <f t="shared" ref="I37:I44" si="7">(G37-H37)/H37</f>
        <v>-0.13713212273011896</v>
      </c>
      <c r="J37" s="351" t="s">
        <v>21</v>
      </c>
      <c r="K37" s="359"/>
      <c r="L37" s="352">
        <f>SUM(L38:L44)</f>
        <v>89884</v>
      </c>
      <c r="M37" s="353">
        <f t="shared" ref="M37:M44" si="8">L37/$L$54</f>
        <v>3.7859587952021385E-2</v>
      </c>
      <c r="N37" s="354">
        <f>SUM(N38:N44)</f>
        <v>96203</v>
      </c>
      <c r="O37" s="355">
        <f t="shared" ref="O37:O44" si="9">(L37-N37)/N37</f>
        <v>-6.5684022327786029E-2</v>
      </c>
      <c r="P37" s="354">
        <f>SUM(P38:P44)</f>
        <v>167713</v>
      </c>
      <c r="Q37" s="354">
        <f>SUM(Q38:Q44)</f>
        <v>198792</v>
      </c>
      <c r="R37" s="355">
        <f t="shared" ref="R37:R44" si="10">(P37-Q37)/Q37</f>
        <v>-0.15633928930741681</v>
      </c>
      <c r="T37" s="21"/>
      <c r="U37"/>
    </row>
    <row r="38" spans="1:21" s="7" customFormat="1" ht="14.1" customHeight="1" x14ac:dyDescent="0.2">
      <c r="A38" s="368"/>
      <c r="B38" s="360" t="s">
        <v>193</v>
      </c>
      <c r="C38" s="356">
        <f>[4]United!$DK$19</f>
        <v>334</v>
      </c>
      <c r="D38" s="41">
        <f>C38/$C$54</f>
        <v>1.2272643762630903E-2</v>
      </c>
      <c r="E38" s="9">
        <f>[4]United!$CW$19+[4]Continental!$CW$19</f>
        <v>482</v>
      </c>
      <c r="F38" s="89">
        <f t="shared" si="6"/>
        <v>-0.30705394190871371</v>
      </c>
      <c r="G38" s="9">
        <f>SUM([4]United!$DJ$19:$DK$19)</f>
        <v>676</v>
      </c>
      <c r="H38" s="9">
        <f>SUM([4]United!$CV$19:$CW$19)+SUM([4]Continental!$CV$19:$CW$19)</f>
        <v>994</v>
      </c>
      <c r="I38" s="89">
        <f t="shared" si="7"/>
        <v>-0.31991951710261568</v>
      </c>
      <c r="J38" s="368"/>
      <c r="K38" s="360" t="s">
        <v>193</v>
      </c>
      <c r="L38" s="356">
        <f>[4]United!$DK$41</f>
        <v>36309</v>
      </c>
      <c r="M38" s="41">
        <f t="shared" si="8"/>
        <v>1.5293531428841E-2</v>
      </c>
      <c r="N38" s="9">
        <f>[4]United!$CW$41+[4]Continental!$CW$41</f>
        <v>49451</v>
      </c>
      <c r="O38" s="89">
        <f t="shared" si="9"/>
        <v>-0.26575802309356739</v>
      </c>
      <c r="P38" s="9">
        <f>SUM([4]United!$DJ$41:$DK$41)+SUM([4]Continental!$DJ$41:$DK$41)</f>
        <v>67474</v>
      </c>
      <c r="Q38" s="9">
        <f>SUM([4]United!$CV$41:$CW$41)+SUM([4]Continental!$CV$41:$CW$41)</f>
        <v>100279</v>
      </c>
      <c r="R38" s="89">
        <f t="shared" si="10"/>
        <v>-0.32713728696935551</v>
      </c>
      <c r="T38" s="21"/>
    </row>
    <row r="39" spans="1:21" s="7" customFormat="1" ht="14.1" customHeight="1" x14ac:dyDescent="0.2">
      <c r="A39" s="368"/>
      <c r="B39" s="360" t="s">
        <v>192</v>
      </c>
      <c r="C39" s="356">
        <f>[4]Chautaqua_Continental!$DK$19</f>
        <v>20</v>
      </c>
      <c r="D39" s="41">
        <f>C39/$C$54</f>
        <v>7.3488884806173071E-4</v>
      </c>
      <c r="E39" s="9">
        <f>[4]Chautaqua_Continental!$CW$19</f>
        <v>64</v>
      </c>
      <c r="F39" s="89">
        <f t="shared" si="6"/>
        <v>-0.6875</v>
      </c>
      <c r="G39" s="9">
        <f>SUM([4]Chautaqua_Continental!$DJ$19:$DK$19)</f>
        <v>56</v>
      </c>
      <c r="H39" s="9">
        <f>SUM([4]Chautaqua_Continental!$CV$19:$CW$19)</f>
        <v>117</v>
      </c>
      <c r="I39" s="89">
        <f t="shared" si="7"/>
        <v>-0.5213675213675214</v>
      </c>
      <c r="J39" s="55"/>
      <c r="K39" s="361" t="s">
        <v>131</v>
      </c>
      <c r="L39" s="356">
        <f>[4]Chautaqua_Continental!$DK$41</f>
        <v>864</v>
      </c>
      <c r="M39" s="41">
        <f t="shared" si="8"/>
        <v>3.6392109819930661E-4</v>
      </c>
      <c r="N39" s="9">
        <f>[4]Chautaqua_Continental!$CW$41</f>
        <v>2348</v>
      </c>
      <c r="O39" s="89">
        <f t="shared" si="9"/>
        <v>-0.63202725724020448</v>
      </c>
      <c r="P39" s="9">
        <f>SUM([4]Chautaqua_Continental!$DJ$41:$DK$41)</f>
        <v>2121</v>
      </c>
      <c r="Q39" s="9">
        <f>SUM([4]Chautaqua_Continental!$CV$41:$CW$41)</f>
        <v>4351</v>
      </c>
      <c r="R39" s="89">
        <f t="shared" si="10"/>
        <v>-0.51252585612502877</v>
      </c>
      <c r="T39" s="21"/>
    </row>
    <row r="40" spans="1:21" s="7" customFormat="1" ht="14.1" customHeight="1" x14ac:dyDescent="0.2">
      <c r="A40" s="368"/>
      <c r="B40" s="360" t="s">
        <v>182</v>
      </c>
      <c r="C40" s="356">
        <f>'[4]Go Jet_UA'!$DK$19</f>
        <v>214</v>
      </c>
      <c r="D40" s="41">
        <f>C40/$C$54</f>
        <v>7.8633106742605173E-3</v>
      </c>
      <c r="E40" s="9">
        <f>'[4]Go Jet_UA'!$CW$19</f>
        <v>0</v>
      </c>
      <c r="F40" s="89" t="e">
        <f>(C40-E40)/E40</f>
        <v>#DIV/0!</v>
      </c>
      <c r="G40" s="9">
        <f>SUM('[4]Go Jet_UA'!$DJ$19:$DK$19)</f>
        <v>510</v>
      </c>
      <c r="H40" s="9">
        <f>SUM('[4]Go Jet_UA'!$CV$19:$CW$19)</f>
        <v>0</v>
      </c>
      <c r="I40" s="89" t="e">
        <f>(G40-H40)/H40</f>
        <v>#DIV/0!</v>
      </c>
      <c r="J40" s="55"/>
      <c r="K40" s="361" t="s">
        <v>182</v>
      </c>
      <c r="L40" s="356">
        <f>'[4]Go Jet_UA'!$DK$41</f>
        <v>12446</v>
      </c>
      <c r="M40" s="41">
        <f t="shared" si="8"/>
        <v>5.2423171159589931E-3</v>
      </c>
      <c r="N40" s="9">
        <f>'[4]Go Jet_UA'!$CW$41</f>
        <v>0</v>
      </c>
      <c r="O40" s="89" t="e">
        <f>(L40-N40)/N40</f>
        <v>#DIV/0!</v>
      </c>
      <c r="P40" s="9">
        <f>SUM('[4]Go Jet_UA'!$DJ$41:$DK$41)</f>
        <v>28524</v>
      </c>
      <c r="Q40" s="9">
        <f>SUM('[4]Go Jet_UA'!$CV$41:$CW$41)</f>
        <v>0</v>
      </c>
      <c r="R40" s="89" t="e">
        <f>(P40-Q40)/Q40</f>
        <v>#DIV/0!</v>
      </c>
      <c r="T40" s="21"/>
    </row>
    <row r="41" spans="1:21" s="7" customFormat="1" ht="14.1" customHeight="1" x14ac:dyDescent="0.2">
      <c r="A41" s="368"/>
      <c r="B41" s="360" t="s">
        <v>57</v>
      </c>
      <c r="C41" s="356">
        <f>[4]MESA_UA!$DK$19</f>
        <v>102</v>
      </c>
      <c r="D41" s="41">
        <f>C41/$C$54</f>
        <v>3.7479331251148262E-3</v>
      </c>
      <c r="E41" s="9">
        <f>[4]MESA_UA!$CW$19</f>
        <v>0</v>
      </c>
      <c r="F41" s="89" t="e">
        <f>(C41-E41)/E41</f>
        <v>#DIV/0!</v>
      </c>
      <c r="G41" s="9">
        <f>SUM([4]MESA_UA!$DJ$19:$DK$19)</f>
        <v>152</v>
      </c>
      <c r="H41" s="9">
        <f>SUM([4]MESA_UA!$CV$19:$CW$19)</f>
        <v>0</v>
      </c>
      <c r="I41" s="89" t="e">
        <f>(G41-H41)/H41</f>
        <v>#DIV/0!</v>
      </c>
      <c r="J41" s="55"/>
      <c r="K41" s="361" t="s">
        <v>57</v>
      </c>
      <c r="L41" s="356">
        <f>[4]MESA_UA!$DK$41</f>
        <v>6315</v>
      </c>
      <c r="M41" s="41">
        <f t="shared" si="8"/>
        <v>2.6599094156581266E-3</v>
      </c>
      <c r="N41" s="9">
        <f>[4]MESA_UA!$CW$41</f>
        <v>0</v>
      </c>
      <c r="O41" s="89" t="e">
        <f>(L41-N41)/N41</f>
        <v>#DIV/0!</v>
      </c>
      <c r="P41" s="9">
        <f>SUM([4]MESA_UA!$DJ$41:$DK$41)</f>
        <v>8956</v>
      </c>
      <c r="Q41" s="9">
        <f>SUM([4]MESA_UA!$CV$41:$CW$41)</f>
        <v>0</v>
      </c>
      <c r="R41" s="89" t="e">
        <f>(P41-Q41)/Q41</f>
        <v>#DIV/0!</v>
      </c>
      <c r="T41" s="21"/>
    </row>
    <row r="42" spans="1:21" s="7" customFormat="1" ht="14.1" customHeight="1" x14ac:dyDescent="0.2">
      <c r="A42" s="368"/>
      <c r="B42" s="360" t="s">
        <v>178</v>
      </c>
      <c r="C42" s="356">
        <f>'[4]Continental Express'!$DK$19</f>
        <v>384</v>
      </c>
      <c r="D42" s="41">
        <f>C42/$C$53</f>
        <v>2.7793862188766647E-2</v>
      </c>
      <c r="E42" s="9">
        <f>'[4]Continental Express'!$CW$19</f>
        <v>384</v>
      </c>
      <c r="F42" s="89">
        <f t="shared" si="6"/>
        <v>0</v>
      </c>
      <c r="G42" s="9">
        <f>SUM('[4]Continental Express'!$DJ$19:$DK$19)</f>
        <v>806</v>
      </c>
      <c r="H42" s="9">
        <f>SUM('[4]Continental Express'!$CV$19:$CW$19)</f>
        <v>802</v>
      </c>
      <c r="I42" s="89">
        <f t="shared" si="7"/>
        <v>4.9875311720698253E-3</v>
      </c>
      <c r="J42" s="55"/>
      <c r="K42" s="361" t="s">
        <v>178</v>
      </c>
      <c r="L42" s="356">
        <f>'[4]Continental Express'!$DK$41</f>
        <v>14450</v>
      </c>
      <c r="M42" s="41">
        <f t="shared" si="8"/>
        <v>6.0864118853934963E-3</v>
      </c>
      <c r="N42" s="9">
        <f>'[4]Continental Express'!$CW$41</f>
        <v>13602</v>
      </c>
      <c r="O42" s="89">
        <f t="shared" si="9"/>
        <v>6.2343772974562561E-2</v>
      </c>
      <c r="P42" s="9">
        <f>SUM('[4]Continental Express'!$DJ$41:$DK$41)</f>
        <v>29380</v>
      </c>
      <c r="Q42" s="9">
        <f>SUM('[4]Continental Express'!$CV$41:$CW$41)</f>
        <v>28629</v>
      </c>
      <c r="R42" s="89">
        <f t="shared" si="10"/>
        <v>2.6232142233399699E-2</v>
      </c>
      <c r="T42" s="21"/>
    </row>
    <row r="43" spans="1:21" s="7" customFormat="1" ht="14.1" customHeight="1" x14ac:dyDescent="0.2">
      <c r="A43" s="368"/>
      <c r="B43" s="360" t="s">
        <v>110</v>
      </c>
      <c r="C43" s="356">
        <f>'[4]Sky West_UA'!$DK$19</f>
        <v>108</v>
      </c>
      <c r="D43" s="41">
        <f>C43/$C$54</f>
        <v>3.9683997795333459E-3</v>
      </c>
      <c r="E43" s="9">
        <f>'[4]Sky West_UA'!$CW$19+'[4]Sky West_CO'!$CW$19</f>
        <v>98</v>
      </c>
      <c r="F43" s="89">
        <f t="shared" si="6"/>
        <v>0.10204081632653061</v>
      </c>
      <c r="G43" s="9">
        <f>SUM('[4]Sky West_UA'!$DJ$19:$DK$19)</f>
        <v>168</v>
      </c>
      <c r="H43" s="9">
        <f>SUM('[4]Sky West_UA'!$CV$19:$CW$19)+SUM('[4]Sky West_CO'!$CV$19:$CW$19)</f>
        <v>286</v>
      </c>
      <c r="I43" s="89">
        <f t="shared" si="7"/>
        <v>-0.41258741258741261</v>
      </c>
      <c r="J43" s="368"/>
      <c r="K43" s="361" t="s">
        <v>110</v>
      </c>
      <c r="L43" s="356">
        <f>'[4]Sky West_UA'!$DK$41</f>
        <v>6538</v>
      </c>
      <c r="M43" s="41">
        <f t="shared" si="8"/>
        <v>2.7538381250313271E-3</v>
      </c>
      <c r="N43" s="9">
        <f>'[4]Sky West_UA'!$CW$41+'[4]Sky West_CO'!$CW$41</f>
        <v>5712</v>
      </c>
      <c r="O43" s="89">
        <f t="shared" si="9"/>
        <v>0.14460784313725492</v>
      </c>
      <c r="P43" s="9">
        <f>SUM('[4]Sky West_UA'!$DJ$41:$DK$41)</f>
        <v>9508</v>
      </c>
      <c r="Q43" s="9">
        <f>SUM('[4]Sky West_UA'!$CV$41:$CW$41)+SUM('[4]Sky West_CO'!$CV$41:$CW$41)</f>
        <v>16380</v>
      </c>
      <c r="R43" s="89">
        <f t="shared" si="10"/>
        <v>-0.41953601953601954</v>
      </c>
      <c r="T43" s="21"/>
    </row>
    <row r="44" spans="1:21" s="7" customFormat="1" ht="14.1" customHeight="1" x14ac:dyDescent="0.2">
      <c r="A44" s="368"/>
      <c r="B44" s="362" t="s">
        <v>148</v>
      </c>
      <c r="C44" s="356">
        <f>'[4]Shuttle America'!$DK$19</f>
        <v>222</v>
      </c>
      <c r="D44" s="41">
        <f>C44/$C$54</f>
        <v>8.1572662134852102E-3</v>
      </c>
      <c r="E44" s="9">
        <f>'[4]Shuttle America'!$CW$19</f>
        <v>495</v>
      </c>
      <c r="F44" s="89">
        <f t="shared" si="6"/>
        <v>-0.55151515151515151</v>
      </c>
      <c r="G44" s="9">
        <f>SUM('[4]Shuttle America'!$DJ$19:$DK$19)</f>
        <v>388</v>
      </c>
      <c r="H44" s="9">
        <f>SUM('[4]Shuttle America'!$CV$19:$CW$19)</f>
        <v>995</v>
      </c>
      <c r="I44" s="89">
        <f t="shared" si="7"/>
        <v>-0.61005025125628143</v>
      </c>
      <c r="J44" s="368"/>
      <c r="K44" s="362" t="s">
        <v>148</v>
      </c>
      <c r="L44" s="356">
        <f>'[4]Shuttle America'!$DK$41</f>
        <v>12962</v>
      </c>
      <c r="M44" s="41">
        <f t="shared" si="8"/>
        <v>5.459658882939135E-3</v>
      </c>
      <c r="N44" s="9">
        <f>'[4]Shuttle America'!$CW$41</f>
        <v>25090</v>
      </c>
      <c r="O44" s="89">
        <f t="shared" si="9"/>
        <v>-0.48337983260263051</v>
      </c>
      <c r="P44" s="9">
        <f>SUM('[4]Shuttle America'!$DJ$41:$DK$41)</f>
        <v>21750</v>
      </c>
      <c r="Q44" s="9">
        <f>SUM('[4]Shuttle America'!$CV$41:$CW$41)</f>
        <v>49153</v>
      </c>
      <c r="R44" s="89">
        <f t="shared" si="10"/>
        <v>-0.55750411978922954</v>
      </c>
      <c r="T44" s="21"/>
    </row>
    <row r="45" spans="1:21" s="7" customFormat="1" ht="14.1" customHeight="1" x14ac:dyDescent="0.2">
      <c r="A45" s="368"/>
      <c r="B45" s="362"/>
      <c r="C45" s="356"/>
      <c r="D45" s="41"/>
      <c r="E45" s="5"/>
      <c r="F45" s="89"/>
      <c r="G45" s="9"/>
      <c r="H45" s="9"/>
      <c r="I45" s="89"/>
      <c r="J45" s="368"/>
      <c r="K45" s="362"/>
      <c r="L45" s="356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63" t="s">
        <v>22</v>
      </c>
      <c r="B46" s="364"/>
      <c r="C46" s="352">
        <f>SUM(C47:C50)</f>
        <v>757</v>
      </c>
      <c r="D46" s="353">
        <f>C46/$C$54</f>
        <v>2.7815542899136507E-2</v>
      </c>
      <c r="E46" s="354">
        <f>SUM(E47:E50)</f>
        <v>816</v>
      </c>
      <c r="F46" s="355">
        <f>(C46-E46)/E46</f>
        <v>-7.2303921568627458E-2</v>
      </c>
      <c r="G46" s="354">
        <f>SUM(G47:G50)</f>
        <v>1597</v>
      </c>
      <c r="H46" s="354">
        <f>SUM(H47:H50)</f>
        <v>1711</v>
      </c>
      <c r="I46" s="355">
        <f>(G46-H46)/H46</f>
        <v>-6.6627703097603741E-2</v>
      </c>
      <c r="J46" s="363" t="s">
        <v>22</v>
      </c>
      <c r="K46" s="364"/>
      <c r="L46" s="352">
        <f>SUM(L47:L50)</f>
        <v>90484</v>
      </c>
      <c r="M46" s="353">
        <f>L46/$L$54</f>
        <v>3.8112310936882013E-2</v>
      </c>
      <c r="N46" s="354">
        <f>SUM(N47:N50)</f>
        <v>95795</v>
      </c>
      <c r="O46" s="355">
        <f>(L46-N46)/N46</f>
        <v>-5.5441306957565634E-2</v>
      </c>
      <c r="P46" s="354">
        <f>SUM(P47:P50)</f>
        <v>191438</v>
      </c>
      <c r="Q46" s="354">
        <f>SUM(Q47:Q50)</f>
        <v>194466</v>
      </c>
      <c r="R46" s="355">
        <f>(P46-Q46)/Q46</f>
        <v>-1.5570845289150802E-2</v>
      </c>
      <c r="T46" s="21"/>
      <c r="U46"/>
    </row>
    <row r="47" spans="1:21" s="7" customFormat="1" ht="14.1" customHeight="1" x14ac:dyDescent="0.2">
      <c r="A47" s="368"/>
      <c r="B47" s="360" t="s">
        <v>22</v>
      </c>
      <c r="C47" s="356">
        <f>'[4]US Airways'!$DK$19</f>
        <v>609</v>
      </c>
      <c r="D47" s="41">
        <f>C47/$C$54</f>
        <v>2.2377365423479699E-2</v>
      </c>
      <c r="E47" s="9">
        <f>'[4]US Airways'!$CW$19</f>
        <v>623</v>
      </c>
      <c r="F47" s="89">
        <f>(C47-E47)/E47</f>
        <v>-2.247191011235955E-2</v>
      </c>
      <c r="G47" s="9">
        <f>SUM('[4]US Airways'!$DJ$19:$DK$19)</f>
        <v>1265</v>
      </c>
      <c r="H47" s="9">
        <f>SUM('[4]US Airways'!$CV$19:$CW$19)</f>
        <v>1297</v>
      </c>
      <c r="I47" s="89">
        <f>(G47-H47)/H47</f>
        <v>-2.4672320740169621E-2</v>
      </c>
      <c r="J47" s="368"/>
      <c r="K47" s="360" t="s">
        <v>22</v>
      </c>
      <c r="L47" s="356">
        <f>'[4]US Airways'!$DK$41</f>
        <v>82819</v>
      </c>
      <c r="M47" s="41">
        <f>L47/$L$54</f>
        <v>3.4883774805287468E-2</v>
      </c>
      <c r="N47" s="9">
        <f>'[4]US Airways'!$CW$41</f>
        <v>85751</v>
      </c>
      <c r="O47" s="89">
        <f>(L47-N47)/N47</f>
        <v>-3.4192021084302221E-2</v>
      </c>
      <c r="P47" s="9">
        <f>SUM('[4]US Airways'!$DJ$41:$DK$41)</f>
        <v>172713</v>
      </c>
      <c r="Q47" s="9">
        <f>SUM('[4]US Airways'!$CV$41:$CW$41)</f>
        <v>173062</v>
      </c>
      <c r="R47" s="89">
        <f>(P47-Q47)/Q47</f>
        <v>-2.0166183217575203E-3</v>
      </c>
      <c r="T47" s="337"/>
    </row>
    <row r="48" spans="1:21" s="7" customFormat="1" ht="14.1" customHeight="1" x14ac:dyDescent="0.2">
      <c r="A48" s="368"/>
      <c r="B48" s="362" t="s">
        <v>58</v>
      </c>
      <c r="C48" s="356">
        <f>[4]Republic!$DK$19</f>
        <v>147</v>
      </c>
      <c r="D48" s="41">
        <f>C48/$C$54</f>
        <v>5.4014330332537207E-3</v>
      </c>
      <c r="E48" s="9">
        <f>[4]Republic!$CW$19</f>
        <v>187</v>
      </c>
      <c r="F48" s="89">
        <f>(C48-E48)/E48</f>
        <v>-0.21390374331550802</v>
      </c>
      <c r="G48" s="9">
        <f>SUM([4]Republic!$DJ$19:$DK$19)</f>
        <v>328</v>
      </c>
      <c r="H48" s="9">
        <f>SUM([4]Republic!$CV$19:$CW$19)</f>
        <v>408</v>
      </c>
      <c r="I48" s="89">
        <f>(G48-H48)/H48</f>
        <v>-0.19607843137254902</v>
      </c>
      <c r="J48" s="368"/>
      <c r="K48" s="362" t="s">
        <v>58</v>
      </c>
      <c r="L48" s="356">
        <f>[4]Republic!$DK$41</f>
        <v>7665</v>
      </c>
      <c r="M48" s="41">
        <f>L48/$L$54</f>
        <v>3.2285361315945432E-3</v>
      </c>
      <c r="N48" s="9">
        <f>[4]Republic!$CW$41</f>
        <v>10044</v>
      </c>
      <c r="O48" s="89">
        <f>(L48-N48)/N48</f>
        <v>-0.23685782556750298</v>
      </c>
      <c r="P48" s="9">
        <f>SUM([4]Republic!$DJ$41:$DK$41)</f>
        <v>18480</v>
      </c>
      <c r="Q48" s="9">
        <f>SUM([4]Republic!$CV$41:$CW$41)</f>
        <v>21404</v>
      </c>
      <c r="R48" s="89">
        <f>(P48-Q48)/Q48</f>
        <v>-0.13660997944309475</v>
      </c>
      <c r="T48" s="334"/>
    </row>
    <row r="49" spans="1:21" s="7" customFormat="1" ht="14.1" customHeight="1" x14ac:dyDescent="0.2">
      <c r="A49" s="368"/>
      <c r="B49" s="361" t="s">
        <v>109</v>
      </c>
      <c r="C49" s="356">
        <f>[4]MESA!$DK$19</f>
        <v>0</v>
      </c>
      <c r="D49" s="41">
        <f>C49/$C$54</f>
        <v>0</v>
      </c>
      <c r="E49" s="9">
        <f>[4]MESA!$CW$19</f>
        <v>0</v>
      </c>
      <c r="F49" s="89" t="e">
        <f>(C49-E49)/E49</f>
        <v>#DIV/0!</v>
      </c>
      <c r="G49" s="9">
        <f>SUM([4]MESA!$DJ$19:$DK$19)</f>
        <v>0</v>
      </c>
      <c r="H49" s="9">
        <f>SUM([4]MESA!$CV$19:$CW$19)</f>
        <v>0</v>
      </c>
      <c r="I49" s="89" t="e">
        <f>(G49-H49)/H49</f>
        <v>#DIV/0!</v>
      </c>
      <c r="J49" s="368"/>
      <c r="K49" s="361" t="s">
        <v>109</v>
      </c>
      <c r="L49" s="356">
        <f>[4]MESA!$DK$41</f>
        <v>0</v>
      </c>
      <c r="M49" s="41">
        <f>L49/$L$54</f>
        <v>0</v>
      </c>
      <c r="N49" s="9">
        <f>[4]MESA!$CW$41</f>
        <v>0</v>
      </c>
      <c r="O49" s="89" t="e">
        <f>(L49-N49)/N49</f>
        <v>#DIV/0!</v>
      </c>
      <c r="P49" s="9">
        <f>SUM([4]MESA!$DJ$41:$DK$41)</f>
        <v>0</v>
      </c>
      <c r="Q49" s="9">
        <f>SUM([4]MESA!$CV$41:$CW$41)</f>
        <v>0</v>
      </c>
      <c r="R49" s="89" t="e">
        <f>(P49-Q49)/Q49</f>
        <v>#DIV/0!</v>
      </c>
      <c r="T49" s="334"/>
      <c r="U49"/>
    </row>
    <row r="50" spans="1:21" ht="14.1" customHeight="1" thickBot="1" x14ac:dyDescent="0.25">
      <c r="A50" s="369"/>
      <c r="B50" s="370" t="s">
        <v>54</v>
      </c>
      <c r="C50" s="371">
        <f>'[4]Air Wisconsin'!$DK$19</f>
        <v>1</v>
      </c>
      <c r="D50" s="372">
        <f>C50/$C$54</f>
        <v>3.6744442403086535E-5</v>
      </c>
      <c r="E50" s="373">
        <f>'[4]Air Wisconsin'!$CW$19</f>
        <v>6</v>
      </c>
      <c r="F50" s="374">
        <f>(C50-E50)/E50</f>
        <v>-0.83333333333333337</v>
      </c>
      <c r="G50" s="375">
        <f>SUM('[4]Air Wisconsin'!$DJ$19:$DK$19)</f>
        <v>4</v>
      </c>
      <c r="H50" s="375">
        <f>SUM('[4]Air Wisconsin'!$CV$19:$CW$19)</f>
        <v>6</v>
      </c>
      <c r="I50" s="399">
        <f>(G50-H50)/H50</f>
        <v>-0.33333333333333331</v>
      </c>
      <c r="J50" s="369"/>
      <c r="K50" s="370" t="s">
        <v>54</v>
      </c>
      <c r="L50" s="371">
        <f>'[4]Air Wisconsin'!$DK$41</f>
        <v>0</v>
      </c>
      <c r="M50" s="372">
        <f>L50/$L$54</f>
        <v>0</v>
      </c>
      <c r="N50" s="375">
        <f>'[4]Air Wisconsin'!$CW$41</f>
        <v>0</v>
      </c>
      <c r="O50" s="374" t="e">
        <f>(L50-N50)/N50</f>
        <v>#DIV/0!</v>
      </c>
      <c r="P50" s="375">
        <f>SUM('[4]Air Wisconsin'!$DJ$41:$DK$41)</f>
        <v>245</v>
      </c>
      <c r="Q50" s="375">
        <f>SUM('[4]Air Wisconsin'!$CV$41:$CW$41)</f>
        <v>0</v>
      </c>
      <c r="R50" s="374" t="e">
        <f>(P50-Q50)/Q50</f>
        <v>#DIV/0!</v>
      </c>
      <c r="T50" s="21"/>
      <c r="U50" s="230"/>
    </row>
    <row r="51" spans="1:21" s="233" customFormat="1" ht="14.1" customHeight="1" x14ac:dyDescent="0.2">
      <c r="B51" s="263"/>
      <c r="C51" s="376"/>
      <c r="D51" s="353"/>
      <c r="E51" s="354"/>
      <c r="F51" s="353"/>
      <c r="G51" s="377"/>
      <c r="H51" s="354"/>
      <c r="I51" s="378"/>
      <c r="J51" s="379"/>
      <c r="K51" s="263"/>
      <c r="L51" s="380"/>
      <c r="M51" s="379"/>
      <c r="N51" s="381"/>
      <c r="O51" s="379"/>
      <c r="P51" s="234"/>
      <c r="Q51" s="234"/>
      <c r="R51" s="234"/>
      <c r="T51" s="232"/>
      <c r="U51"/>
    </row>
    <row r="52" spans="1:21" ht="14.1" customHeight="1" x14ac:dyDescent="0.2">
      <c r="B52" s="382" t="s">
        <v>150</v>
      </c>
      <c r="C52" s="383">
        <f>+C54-C53</f>
        <v>13399</v>
      </c>
      <c r="D52" s="453">
        <f>C52/$C$54</f>
        <v>0.49233878375895646</v>
      </c>
      <c r="E52" s="383">
        <f>+E54-E53</f>
        <v>13717</v>
      </c>
      <c r="F52" s="385">
        <f>(C52-E52)/E52</f>
        <v>-2.3182911715389661E-2</v>
      </c>
      <c r="G52" s="383">
        <f>+G54-G53</f>
        <v>28360</v>
      </c>
      <c r="H52" s="383">
        <f>+H54-H53</f>
        <v>28152</v>
      </c>
      <c r="I52" s="386">
        <f>(G52-H52)/H52</f>
        <v>7.3884626314293838E-3</v>
      </c>
      <c r="K52" s="382" t="s">
        <v>150</v>
      </c>
      <c r="L52" s="383">
        <f>+L54-L53</f>
        <v>1706760</v>
      </c>
      <c r="M52" s="384">
        <f>+L52/L54</f>
        <v>0.7188958027345469</v>
      </c>
      <c r="N52" s="383">
        <f>+N54-N53</f>
        <v>1584870</v>
      </c>
      <c r="O52" s="385">
        <f>(L52-N52)/N52</f>
        <v>7.690851615589922E-2</v>
      </c>
      <c r="P52" s="383">
        <f>+P54-P53</f>
        <v>3471809</v>
      </c>
      <c r="Q52" s="383">
        <f>+Q54-Q53</f>
        <v>3198691</v>
      </c>
      <c r="R52" s="386">
        <f>(P52-Q52)/Q52</f>
        <v>8.5384302516248053E-2</v>
      </c>
    </row>
    <row r="53" spans="1:21" ht="14.1" customHeight="1" x14ac:dyDescent="0.2">
      <c r="B53" s="335" t="s">
        <v>151</v>
      </c>
      <c r="C53" s="387">
        <f>+C50+C49+C48+C44+C21+C19+C17+C16+C4+C20+C12+C43+C18+C42+C39+C40+C41</f>
        <v>13816</v>
      </c>
      <c r="D53" s="454">
        <f>C53/$C$54</f>
        <v>0.50766121624104354</v>
      </c>
      <c r="E53" s="387">
        <f>+E50+E49+E48+E44+E21+E19+E17+E16+E4+E20+E12+E43+E18+E42+E39+E40+E41</f>
        <v>14690</v>
      </c>
      <c r="F53" s="389">
        <f>(C53-E53)/E53</f>
        <v>-5.9496255956432945E-2</v>
      </c>
      <c r="G53" s="387">
        <f>+G50+G49+G48+G44+G21+G19+G17+G16+G4+G20+G12+G43+G18+G42+G39+G40+G41</f>
        <v>29211</v>
      </c>
      <c r="H53" s="387">
        <f>+H50+H49+H48+H44+H21+H19+H17+H16+H4+H20+H12+H43+H18+H42+H39+H40+H41</f>
        <v>30732</v>
      </c>
      <c r="I53" s="390">
        <f>(G53-H53)/H53</f>
        <v>-4.9492385786802033E-2</v>
      </c>
      <c r="K53" s="335" t="s">
        <v>151</v>
      </c>
      <c r="L53" s="387">
        <f>+L50+L49+L48+L44+L21+L19+L17+L16+L4+L20+L12+L43+L18+L42+L39+L40+L41</f>
        <v>667381</v>
      </c>
      <c r="M53" s="388">
        <f>+L53/L54</f>
        <v>0.28110419726545305</v>
      </c>
      <c r="N53" s="387">
        <f>+N50+N49+N48+N44+N21+N19+N17+N16+N4+N20+N12+N43+N18+N42+N39+N40+N41</f>
        <v>678963</v>
      </c>
      <c r="O53" s="389">
        <f>(L53-N53)/N53</f>
        <v>-1.7058366950776404E-2</v>
      </c>
      <c r="P53" s="387">
        <f>+P50+P49+P48+P44+P21+P19+P17+P16+P4+P20+P12+P43+P18+P42+P39+P40+P41</f>
        <v>1372438</v>
      </c>
      <c r="Q53" s="387">
        <f>+Q50+Q49+Q48+Q44+Q21+Q19+Q17+Q16+Q4+Q20+Q12+Q43+Q18+Q42+Q39+Q40+Q41</f>
        <v>1382320</v>
      </c>
      <c r="R53" s="390">
        <f>(P53-Q53)/Q53</f>
        <v>-7.1488512066670527E-3</v>
      </c>
    </row>
    <row r="54" spans="1:21" ht="14.1" customHeight="1" x14ac:dyDescent="0.2">
      <c r="B54" s="335" t="s">
        <v>152</v>
      </c>
      <c r="C54" s="391">
        <f>+C46+C37+C35+C29+C27+C23+C14+C10+C8+C4+C25+C33</f>
        <v>27215</v>
      </c>
      <c r="D54" s="455">
        <f>+C54/C54</f>
        <v>1</v>
      </c>
      <c r="E54" s="391">
        <f>+E46+E37+E35+E29+E27+E23+E14+E10+E8+E4+E25+E33</f>
        <v>28407</v>
      </c>
      <c r="F54" s="393">
        <f>(C54-E54)/E54</f>
        <v>-4.1961488365543705E-2</v>
      </c>
      <c r="G54" s="391">
        <f>+G46+G37+G35+G29+G27+G23+G14+G10+G8+G4+G25+G33</f>
        <v>57571</v>
      </c>
      <c r="H54" s="391">
        <f>+H46+H37+H35+H29+H27+H23+H14+H10+H8+H4+H25+H33</f>
        <v>58884</v>
      </c>
      <c r="I54" s="394">
        <f>(G54-H54)/H54</f>
        <v>-2.2298077576251612E-2</v>
      </c>
      <c r="K54" s="335" t="s">
        <v>152</v>
      </c>
      <c r="L54" s="391">
        <f>+L46+L37+L35+L29+L27+L23+L14+L10+L8+L4+L25+L33</f>
        <v>2374141</v>
      </c>
      <c r="M54" s="392">
        <f>+L54/L54</f>
        <v>1</v>
      </c>
      <c r="N54" s="391">
        <f>+N46+N37+N35+N29+N27+N23+N14+N10+N8+N4+N25+N33</f>
        <v>2263833</v>
      </c>
      <c r="O54" s="393">
        <f>(L54-N54)/N54</f>
        <v>4.8726209044571749E-2</v>
      </c>
      <c r="P54" s="391">
        <f>+P46+P37+P35+P29+P27+P23+P14+P10+P8+P4+P25+P33+P6</f>
        <v>4844247</v>
      </c>
      <c r="Q54" s="391">
        <f>+Q46+Q37+Q35+Q29+Q27+Q23+Q14+Q10+Q8+Q4+Q25+Q33</f>
        <v>4581011</v>
      </c>
      <c r="R54" s="394">
        <f>(P54-Q54)/Q54</f>
        <v>5.7462424779159013E-2</v>
      </c>
    </row>
    <row r="55" spans="1:21" x14ac:dyDescent="0.2">
      <c r="B55" s="335"/>
      <c r="F55" s="39"/>
      <c r="G55" s="235"/>
      <c r="H55" s="5"/>
      <c r="I55" s="39"/>
      <c r="K55" s="11"/>
      <c r="L55" s="4"/>
      <c r="M55" s="231"/>
      <c r="N55" s="4"/>
      <c r="O55" s="231"/>
      <c r="P55" s="4"/>
      <c r="Q55" s="7"/>
      <c r="R55" s="7"/>
    </row>
    <row r="56" spans="1:21" x14ac:dyDescent="0.2">
      <c r="B56" s="263"/>
      <c r="D56" s="4"/>
      <c r="E56" s="231"/>
      <c r="F56" s="231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35"/>
      <c r="D57" s="4"/>
      <c r="E57" s="443"/>
      <c r="F57" s="231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3"/>
      <c r="D58" s="4"/>
      <c r="E58" s="443"/>
      <c r="F58" s="231"/>
      <c r="G58" s="4"/>
      <c r="H58" s="4"/>
      <c r="I58"/>
      <c r="J58"/>
      <c r="K58"/>
      <c r="L58"/>
      <c r="M58"/>
      <c r="O58"/>
      <c r="P58" s="438"/>
    </row>
    <row r="59" spans="1:21" x14ac:dyDescent="0.2">
      <c r="D59" s="4"/>
      <c r="E59" s="231"/>
      <c r="F59" s="231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31"/>
      <c r="F60" s="231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5"/>
      <c r="H131" s="5"/>
      <c r="I131" s="39"/>
      <c r="K131" s="11"/>
    </row>
    <row r="132" spans="4:15" x14ac:dyDescent="0.2">
      <c r="F132" s="39"/>
      <c r="G132" s="235"/>
      <c r="H132" s="5"/>
      <c r="I132" s="39"/>
      <c r="K132" s="11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G1184" s="235"/>
      <c r="H1184" s="5"/>
      <c r="I1184" s="39"/>
      <c r="K1184" s="11"/>
    </row>
    <row r="1185" spans="7:11" x14ac:dyDescent="0.2">
      <c r="G1185" s="235"/>
      <c r="H1185" s="5"/>
      <c r="I1185" s="39"/>
      <c r="K1185" s="11"/>
    </row>
    <row r="1186" spans="7:11" x14ac:dyDescent="0.2">
      <c r="G1186" s="235"/>
      <c r="H1186" s="5"/>
      <c r="I1186" s="39"/>
      <c r="K1186" s="11"/>
    </row>
    <row r="1187" spans="7:11" x14ac:dyDescent="0.2">
      <c r="G1187" s="235"/>
      <c r="H1187" s="5"/>
      <c r="I1187" s="39"/>
      <c r="K1187" s="11"/>
    </row>
    <row r="1188" spans="7:11" x14ac:dyDescent="0.2">
      <c r="G1188" s="235"/>
      <c r="H1188" s="5"/>
      <c r="I1188" s="39"/>
      <c r="K1188" s="11"/>
    </row>
    <row r="1189" spans="7:11" x14ac:dyDescent="0.2">
      <c r="G1189" s="235"/>
      <c r="H1189" s="5"/>
      <c r="I1189" s="39"/>
      <c r="K1189" s="11"/>
    </row>
    <row r="1190" spans="7:11" x14ac:dyDescent="0.2">
      <c r="G1190" s="235"/>
      <c r="H1190" s="5"/>
      <c r="I1190" s="39"/>
      <c r="K1190" s="11"/>
    </row>
    <row r="1191" spans="7:11" x14ac:dyDescent="0.2">
      <c r="G1191" s="235"/>
      <c r="H1191" s="5"/>
      <c r="I1191" s="39"/>
      <c r="K1191" s="11"/>
    </row>
    <row r="1192" spans="7:11" x14ac:dyDescent="0.2">
      <c r="G1192" s="235"/>
      <c r="H1192" s="5"/>
      <c r="I1192" s="39"/>
      <c r="K1192" s="11"/>
    </row>
    <row r="1193" spans="7:11" x14ac:dyDescent="0.2">
      <c r="G1193" s="235"/>
      <c r="H1193" s="5"/>
      <c r="I1193" s="39"/>
      <c r="K1193" s="11"/>
    </row>
    <row r="1194" spans="7:11" x14ac:dyDescent="0.2">
      <c r="G1194" s="235"/>
      <c r="H1194" s="5"/>
      <c r="I1194" s="39"/>
      <c r="K1194" s="11"/>
    </row>
    <row r="1195" spans="7:11" x14ac:dyDescent="0.2">
      <c r="G1195" s="235"/>
      <c r="H1195" s="5"/>
      <c r="I1195" s="39"/>
      <c r="K1195" s="11"/>
    </row>
    <row r="1196" spans="7:11" x14ac:dyDescent="0.2">
      <c r="G1196" s="235"/>
      <c r="H1196" s="5"/>
      <c r="I1196" s="39"/>
      <c r="K1196" s="11"/>
    </row>
    <row r="1197" spans="7:11" x14ac:dyDescent="0.2">
      <c r="G1197" s="235"/>
      <c r="H1197" s="5"/>
      <c r="I1197" s="39"/>
      <c r="K1197" s="11"/>
    </row>
    <row r="1198" spans="7:11" x14ac:dyDescent="0.2">
      <c r="G1198" s="235"/>
      <c r="H1198" s="5"/>
      <c r="I1198" s="39"/>
      <c r="K1198" s="11"/>
    </row>
    <row r="1199" spans="7:11" x14ac:dyDescent="0.2">
      <c r="G1199" s="235"/>
      <c r="H1199" s="5"/>
      <c r="I1199" s="39"/>
      <c r="K1199" s="11"/>
    </row>
    <row r="1200" spans="7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February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28" zoomScaleNormal="100" zoomScaleSheetLayoutView="100" workbookViewId="0">
      <selection activeCell="G50" sqref="G5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6" width="12.140625" customWidth="1"/>
    <col min="7" max="7" width="13.28515625" bestFit="1" customWidth="1"/>
    <col min="8" max="8" width="12.42578125" customWidth="1"/>
  </cols>
  <sheetData>
    <row r="1" spans="1:17" ht="26.25" thickBot="1" x14ac:dyDescent="0.25">
      <c r="A1" s="400">
        <v>41671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183</v>
      </c>
      <c r="G1" s="12" t="s">
        <v>23</v>
      </c>
      <c r="H1" s="277" t="s">
        <v>24</v>
      </c>
    </row>
    <row r="2" spans="1:17" ht="15" x14ac:dyDescent="0.25">
      <c r="A2" s="67" t="s">
        <v>3</v>
      </c>
      <c r="B2" s="61"/>
      <c r="C2" s="61"/>
      <c r="D2" s="61"/>
      <c r="E2" s="61"/>
      <c r="F2" s="61"/>
      <c r="G2" s="61"/>
      <c r="H2" s="285"/>
    </row>
    <row r="3" spans="1:17" x14ac:dyDescent="0.2">
      <c r="A3" s="65" t="s">
        <v>32</v>
      </c>
      <c r="B3" s="11"/>
      <c r="C3" s="11"/>
      <c r="D3" s="11"/>
      <c r="E3" s="11"/>
      <c r="F3" s="11"/>
      <c r="G3" s="11"/>
      <c r="H3" s="58"/>
    </row>
    <row r="4" spans="1:17" x14ac:dyDescent="0.2">
      <c r="A4" s="65" t="s">
        <v>33</v>
      </c>
      <c r="B4" s="22">
        <f>[4]American!$DK$22</f>
        <v>28100</v>
      </c>
      <c r="C4" s="22">
        <f>[4]Delta!$DK$22+[4]Delta!$DK$32</f>
        <v>556691</v>
      </c>
      <c r="D4" s="22">
        <f>[4]United!$DK$22</f>
        <v>17856</v>
      </c>
      <c r="E4" s="22">
        <f>'[4]US Airways'!$DK$22</f>
        <v>41039</v>
      </c>
      <c r="F4" s="22">
        <f>[4]Spirit!$DK$22</f>
        <v>40372</v>
      </c>
      <c r="G4" s="22">
        <f>'Other Major Airline Stats'!I5</f>
        <v>158331</v>
      </c>
      <c r="H4" s="286">
        <f>SUM(B4:G4)</f>
        <v>842389</v>
      </c>
    </row>
    <row r="5" spans="1:17" x14ac:dyDescent="0.2">
      <c r="A5" s="65" t="s">
        <v>34</v>
      </c>
      <c r="B5" s="14">
        <f>[4]American!$DK$23</f>
        <v>28477</v>
      </c>
      <c r="C5" s="14">
        <f>[4]Delta!$DK$23+[4]Delta!$DK$33</f>
        <v>568046</v>
      </c>
      <c r="D5" s="14">
        <f>[4]United!$DK$23</f>
        <v>18453</v>
      </c>
      <c r="E5" s="14">
        <f>'[4]US Airways'!$DK$23</f>
        <v>41780</v>
      </c>
      <c r="F5" s="14">
        <f>[4]Spirit!$DK$23</f>
        <v>42764</v>
      </c>
      <c r="G5" s="14">
        <f>'Other Major Airline Stats'!I6</f>
        <v>164851</v>
      </c>
      <c r="H5" s="287">
        <f>SUM(B5:G5)</f>
        <v>864371</v>
      </c>
      <c r="J5" s="315"/>
      <c r="K5" s="315"/>
      <c r="L5" s="315"/>
      <c r="M5" s="315"/>
      <c r="N5" s="315"/>
      <c r="O5" s="315"/>
      <c r="P5" s="315"/>
      <c r="Q5" s="315"/>
    </row>
    <row r="6" spans="1:17" ht="15" x14ac:dyDescent="0.25">
      <c r="A6" s="63" t="s">
        <v>7</v>
      </c>
      <c r="B6" s="36">
        <f t="shared" ref="B6:G6" si="0">SUM(B4:B5)</f>
        <v>56577</v>
      </c>
      <c r="C6" s="36">
        <f t="shared" si="0"/>
        <v>1124737</v>
      </c>
      <c r="D6" s="36">
        <f t="shared" si="0"/>
        <v>36309</v>
      </c>
      <c r="E6" s="36">
        <f t="shared" si="0"/>
        <v>82819</v>
      </c>
      <c r="F6" s="36">
        <f t="shared" si="0"/>
        <v>83136</v>
      </c>
      <c r="G6" s="36">
        <f t="shared" si="0"/>
        <v>323182</v>
      </c>
      <c r="H6" s="288">
        <f>SUM(B6:G6)</f>
        <v>1706760</v>
      </c>
    </row>
    <row r="7" spans="1:17" x14ac:dyDescent="0.2">
      <c r="A7" s="65"/>
      <c r="B7" s="22"/>
      <c r="C7" s="22"/>
      <c r="D7" s="22"/>
      <c r="E7" s="22"/>
      <c r="F7" s="22"/>
      <c r="G7" s="22"/>
      <c r="H7" s="286"/>
    </row>
    <row r="8" spans="1:17" x14ac:dyDescent="0.2">
      <c r="A8" s="65" t="s">
        <v>35</v>
      </c>
      <c r="B8" s="22"/>
      <c r="C8" s="22"/>
      <c r="D8" s="22"/>
      <c r="E8" s="22"/>
      <c r="F8" s="22"/>
      <c r="G8" s="22"/>
      <c r="H8" s="286">
        <f>SUM(B8:G8)</f>
        <v>0</v>
      </c>
    </row>
    <row r="9" spans="1:17" x14ac:dyDescent="0.2">
      <c r="A9" s="65" t="s">
        <v>33</v>
      </c>
      <c r="B9" s="22">
        <f>[4]American!$DK$27</f>
        <v>1115</v>
      </c>
      <c r="C9" s="22">
        <f>[4]Delta!$DK$27+[4]Delta!$DK$37</f>
        <v>21806</v>
      </c>
      <c r="D9" s="22">
        <f>[4]United!$DK$27</f>
        <v>625</v>
      </c>
      <c r="E9" s="22">
        <f>'[4]US Airways'!$DK$27</f>
        <v>976</v>
      </c>
      <c r="F9" s="22">
        <f>[4]Spirit!$DK$27</f>
        <v>262</v>
      </c>
      <c r="G9" s="22">
        <f>'Other Major Airline Stats'!I10</f>
        <v>3066</v>
      </c>
      <c r="H9" s="286">
        <f>SUM(B9:G9)</f>
        <v>27850</v>
      </c>
    </row>
    <row r="10" spans="1:17" x14ac:dyDescent="0.2">
      <c r="A10" s="65" t="s">
        <v>36</v>
      </c>
      <c r="B10" s="14">
        <f>[4]American!$DK$28</f>
        <v>1209</v>
      </c>
      <c r="C10" s="14">
        <f>[4]Delta!$DK$28+[4]Delta!$DK$38</f>
        <v>21507</v>
      </c>
      <c r="D10" s="14">
        <f>[4]United!$DK$28</f>
        <v>874</v>
      </c>
      <c r="E10" s="14">
        <f>'[4]US Airways'!$DK$28</f>
        <v>931</v>
      </c>
      <c r="F10" s="14">
        <f>[4]Spirit!$DK$28</f>
        <v>266</v>
      </c>
      <c r="G10" s="14">
        <f>'Other Major Airline Stats'!I11</f>
        <v>3165</v>
      </c>
      <c r="H10" s="287">
        <f>SUM(B10:G10)</f>
        <v>27952</v>
      </c>
    </row>
    <row r="11" spans="1:17" ht="15.75" thickBot="1" x14ac:dyDescent="0.3">
      <c r="A11" s="66" t="s">
        <v>37</v>
      </c>
      <c r="B11" s="289">
        <f t="shared" ref="B11:G11" si="1">SUM(B9:B10)</f>
        <v>2324</v>
      </c>
      <c r="C11" s="289">
        <f t="shared" si="1"/>
        <v>43313</v>
      </c>
      <c r="D11" s="289">
        <f t="shared" si="1"/>
        <v>1499</v>
      </c>
      <c r="E11" s="289">
        <f t="shared" si="1"/>
        <v>1907</v>
      </c>
      <c r="F11" s="289">
        <f t="shared" si="1"/>
        <v>528</v>
      </c>
      <c r="G11" s="289">
        <f t="shared" si="1"/>
        <v>6231</v>
      </c>
      <c r="H11" s="290">
        <f>SUM(B11:G11)</f>
        <v>55802</v>
      </c>
    </row>
    <row r="13" spans="1:17" ht="13.5" thickBot="1" x14ac:dyDescent="0.25"/>
    <row r="14" spans="1:17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8"/>
    </row>
    <row r="15" spans="1:17" x14ac:dyDescent="0.2">
      <c r="A15" s="65" t="s">
        <v>25</v>
      </c>
      <c r="B15" s="22">
        <f>[4]American!$DK$4</f>
        <v>243</v>
      </c>
      <c r="C15" s="22">
        <f>[4]Delta!$DK$4+[4]Delta!$DK$15</f>
        <v>4091</v>
      </c>
      <c r="D15" s="22">
        <f>[4]United!$DK$4</f>
        <v>167</v>
      </c>
      <c r="E15" s="22">
        <f>'[4]US Airways'!$DK$4</f>
        <v>310</v>
      </c>
      <c r="F15" s="22">
        <f>[4]Spirit!$DK$4</f>
        <v>308</v>
      </c>
      <c r="G15" s="22">
        <f>'Other Major Airline Stats'!I16</f>
        <v>1561</v>
      </c>
      <c r="H15" s="29">
        <f>SUM(B15:G15)</f>
        <v>6680</v>
      </c>
    </row>
    <row r="16" spans="1:17" x14ac:dyDescent="0.2">
      <c r="A16" s="65" t="s">
        <v>26</v>
      </c>
      <c r="B16" s="14">
        <f>[4]American!$DK$5</f>
        <v>243</v>
      </c>
      <c r="C16" s="14">
        <f>[4]Delta!$DK$5+[4]Delta!$DK$16</f>
        <v>4082</v>
      </c>
      <c r="D16" s="14">
        <f>[4]United!$DK$5</f>
        <v>167</v>
      </c>
      <c r="E16" s="14">
        <f>'[4]US Airways'!$DK$5</f>
        <v>299</v>
      </c>
      <c r="F16" s="14">
        <f>[4]Spirit!$DK$5</f>
        <v>308</v>
      </c>
      <c r="G16" s="14">
        <f>'Other Major Airline Stats'!I17</f>
        <v>1558</v>
      </c>
      <c r="H16" s="35">
        <f>SUM(B16:G16)</f>
        <v>6657</v>
      </c>
    </row>
    <row r="17" spans="1:8" x14ac:dyDescent="0.2">
      <c r="A17" s="65" t="s">
        <v>27</v>
      </c>
      <c r="B17" s="293">
        <f t="shared" ref="B17:G17" si="2">SUM(B15:B16)</f>
        <v>486</v>
      </c>
      <c r="C17" s="291">
        <f t="shared" si="2"/>
        <v>8173</v>
      </c>
      <c r="D17" s="291">
        <f t="shared" si="2"/>
        <v>334</v>
      </c>
      <c r="E17" s="291">
        <f t="shared" si="2"/>
        <v>609</v>
      </c>
      <c r="F17" s="291">
        <f t="shared" si="2"/>
        <v>616</v>
      </c>
      <c r="G17" s="291">
        <f t="shared" si="2"/>
        <v>3119</v>
      </c>
      <c r="H17" s="292">
        <f>SUM(B17:G17)</f>
        <v>13337</v>
      </c>
    </row>
    <row r="18" spans="1:8" x14ac:dyDescent="0.2">
      <c r="A18" s="65"/>
      <c r="B18" s="22"/>
      <c r="C18" s="22"/>
      <c r="D18" s="22"/>
      <c r="E18" s="22"/>
      <c r="F18" s="22"/>
      <c r="G18" s="22"/>
      <c r="H18" s="29"/>
    </row>
    <row r="19" spans="1:8" x14ac:dyDescent="0.2">
      <c r="A19" s="65" t="s">
        <v>28</v>
      </c>
      <c r="B19" s="22">
        <f>[4]American!$DK$8</f>
        <v>1</v>
      </c>
      <c r="C19" s="22">
        <f>[4]Delta!$DK$8</f>
        <v>2</v>
      </c>
      <c r="D19" s="22">
        <f>[4]United!$DK$8</f>
        <v>0</v>
      </c>
      <c r="E19" s="22">
        <f>'[4]US Airways'!$DK$8</f>
        <v>0</v>
      </c>
      <c r="F19" s="22">
        <f>[4]Spirit!$DK$8</f>
        <v>0</v>
      </c>
      <c r="G19" s="22">
        <f>'Other Major Airline Stats'!I20</f>
        <v>24</v>
      </c>
      <c r="H19" s="29">
        <f>SUM(B19:G19)</f>
        <v>27</v>
      </c>
    </row>
    <row r="20" spans="1:8" x14ac:dyDescent="0.2">
      <c r="A20" s="65" t="s">
        <v>29</v>
      </c>
      <c r="B20" s="14">
        <f>[4]American!$DK$9</f>
        <v>1</v>
      </c>
      <c r="C20" s="14">
        <f>[4]Delta!$DK$9</f>
        <v>8</v>
      </c>
      <c r="D20" s="14">
        <f>[4]United!$DK$9</f>
        <v>0</v>
      </c>
      <c r="E20" s="14">
        <f>'[4]US Airways'!$DK$9</f>
        <v>0</v>
      </c>
      <c r="F20" s="14">
        <f>[4]Spirit!$DK$9</f>
        <v>0</v>
      </c>
      <c r="G20" s="14">
        <f>'Other Major Airline Stats'!I21</f>
        <v>26</v>
      </c>
      <c r="H20" s="35">
        <f>SUM(B20:G20)</f>
        <v>35</v>
      </c>
    </row>
    <row r="21" spans="1:8" x14ac:dyDescent="0.2">
      <c r="A21" s="65" t="s">
        <v>30</v>
      </c>
      <c r="B21" s="293">
        <f t="shared" ref="B21:G21" si="3">SUM(B19:B20)</f>
        <v>2</v>
      </c>
      <c r="C21" s="291">
        <f t="shared" si="3"/>
        <v>10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50</v>
      </c>
      <c r="H21" s="180">
        <f>SUM(B21:G21)</f>
        <v>62</v>
      </c>
    </row>
    <row r="22" spans="1:8" x14ac:dyDescent="0.2">
      <c r="A22" s="65"/>
      <c r="B22" s="22"/>
      <c r="C22" s="22"/>
      <c r="D22" s="22"/>
      <c r="E22" s="22"/>
      <c r="F22" s="22"/>
      <c r="G22" s="22"/>
      <c r="H22" s="29"/>
    </row>
    <row r="23" spans="1:8" ht="15.75" thickBot="1" x14ac:dyDescent="0.3">
      <c r="A23" s="66" t="s">
        <v>31</v>
      </c>
      <c r="B23" s="30">
        <f t="shared" ref="B23:G23" si="4">B17+B21</f>
        <v>488</v>
      </c>
      <c r="C23" s="30">
        <f t="shared" si="4"/>
        <v>8183</v>
      </c>
      <c r="D23" s="30">
        <f t="shared" si="4"/>
        <v>334</v>
      </c>
      <c r="E23" s="30">
        <f t="shared" si="4"/>
        <v>609</v>
      </c>
      <c r="F23" s="30">
        <f>F17+F21</f>
        <v>616</v>
      </c>
      <c r="G23" s="30">
        <f t="shared" si="4"/>
        <v>3169</v>
      </c>
      <c r="H23" s="31">
        <f>SUM(B23:G23)</f>
        <v>13399</v>
      </c>
    </row>
    <row r="25" spans="1:8" ht="13.5" thickBot="1" x14ac:dyDescent="0.25">
      <c r="B25" s="442"/>
      <c r="C25" s="442"/>
      <c r="D25" s="442"/>
      <c r="E25" s="442"/>
      <c r="F25" s="442"/>
      <c r="G25" s="442"/>
    </row>
    <row r="26" spans="1:8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65" t="s">
        <v>39</v>
      </c>
      <c r="B27" s="1"/>
      <c r="C27" s="1"/>
      <c r="D27" s="1"/>
      <c r="E27" s="1"/>
      <c r="F27" s="1"/>
      <c r="G27" s="1"/>
      <c r="H27" s="32"/>
    </row>
    <row r="28" spans="1:8" x14ac:dyDescent="0.2">
      <c r="A28" s="65" t="s">
        <v>40</v>
      </c>
      <c r="B28" s="22">
        <f>[4]American!$DK$47</f>
        <v>11025</v>
      </c>
      <c r="C28" s="22">
        <f>[4]Delta!$DK$47</f>
        <v>3998651</v>
      </c>
      <c r="D28" s="22">
        <f>[4]United!$DK$47</f>
        <v>14834</v>
      </c>
      <c r="E28" s="22">
        <f>'[4]US Airways'!$DK$47</f>
        <v>30626</v>
      </c>
      <c r="F28" s="22">
        <f>[4]Spirit!$DK$47</f>
        <v>0</v>
      </c>
      <c r="G28" s="22">
        <f>'Other Major Airline Stats'!I28</f>
        <v>215941</v>
      </c>
      <c r="H28" s="29">
        <f>SUM(B28:G28)</f>
        <v>4271077</v>
      </c>
    </row>
    <row r="29" spans="1:8" x14ac:dyDescent="0.2">
      <c r="A29" s="65" t="s">
        <v>41</v>
      </c>
      <c r="B29" s="14">
        <f>[4]American!$DK$48</f>
        <v>0</v>
      </c>
      <c r="C29" s="14">
        <f>[4]Delta!$DK$48</f>
        <v>1068233</v>
      </c>
      <c r="D29" s="14">
        <f>[4]United!$DK$48</f>
        <v>97460</v>
      </c>
      <c r="E29" s="14">
        <f>'[4]US Airways'!$DK$48</f>
        <v>37818</v>
      </c>
      <c r="F29" s="14">
        <f>[4]Spirit!$DK$48</f>
        <v>0</v>
      </c>
      <c r="G29" s="14">
        <f>'Other Major Airline Stats'!I29</f>
        <v>40140</v>
      </c>
      <c r="H29" s="35">
        <f>SUM(B29:G29)</f>
        <v>1243651</v>
      </c>
    </row>
    <row r="30" spans="1:8" x14ac:dyDescent="0.2">
      <c r="A30" s="69" t="s">
        <v>42</v>
      </c>
      <c r="B30" s="293">
        <f t="shared" ref="B30:G30" si="5">SUM(B28:B29)</f>
        <v>11025</v>
      </c>
      <c r="C30" s="293">
        <f t="shared" si="5"/>
        <v>5066884</v>
      </c>
      <c r="D30" s="293">
        <f t="shared" si="5"/>
        <v>112294</v>
      </c>
      <c r="E30" s="293">
        <f t="shared" si="5"/>
        <v>68444</v>
      </c>
      <c r="F30" s="293">
        <f t="shared" si="5"/>
        <v>0</v>
      </c>
      <c r="G30" s="293">
        <f t="shared" si="5"/>
        <v>256081</v>
      </c>
      <c r="H30" s="29">
        <f>SUM(B30:G30)</f>
        <v>5514728</v>
      </c>
    </row>
    <row r="31" spans="1:8" x14ac:dyDescent="0.2">
      <c r="A31" s="65"/>
      <c r="B31" s="22"/>
      <c r="C31" s="22"/>
      <c r="D31" s="22"/>
      <c r="E31" s="22"/>
      <c r="F31" s="22"/>
      <c r="G31" s="22"/>
      <c r="H31" s="29"/>
    </row>
    <row r="32" spans="1:8" x14ac:dyDescent="0.2">
      <c r="A32" s="65" t="s">
        <v>43</v>
      </c>
      <c r="B32" s="22"/>
      <c r="C32" s="22"/>
      <c r="D32" s="22"/>
      <c r="E32" s="22"/>
      <c r="F32" s="22"/>
      <c r="G32" s="22"/>
      <c r="H32" s="29">
        <f t="shared" ref="H32:H40" si="6">SUM(B32:G32)</f>
        <v>0</v>
      </c>
    </row>
    <row r="33" spans="1:8" x14ac:dyDescent="0.2">
      <c r="A33" s="65" t="s">
        <v>40</v>
      </c>
      <c r="B33" s="22">
        <f>[4]American!$DK$52</f>
        <v>6511</v>
      </c>
      <c r="C33" s="22">
        <f>[4]Delta!$DK$52</f>
        <v>2627779</v>
      </c>
      <c r="D33" s="22">
        <f>[4]United!$DK$52</f>
        <v>5334</v>
      </c>
      <c r="E33" s="22">
        <f>'[4]US Airways'!$DK$52</f>
        <v>14129</v>
      </c>
      <c r="F33" s="22">
        <f>[4]Spirit!$DK$52</f>
        <v>0</v>
      </c>
      <c r="G33" s="22">
        <f>'Other Major Airline Stats'!I33</f>
        <v>58645</v>
      </c>
      <c r="H33" s="29">
        <f t="shared" si="6"/>
        <v>2712398</v>
      </c>
    </row>
    <row r="34" spans="1:8" x14ac:dyDescent="0.2">
      <c r="A34" s="65" t="s">
        <v>41</v>
      </c>
      <c r="B34" s="14">
        <f>[4]American!$DK$53</f>
        <v>0</v>
      </c>
      <c r="C34" s="14">
        <f>[4]Delta!$DK$53</f>
        <v>1304685</v>
      </c>
      <c r="D34" s="14">
        <f>[4]United!$DK$53</f>
        <v>17132</v>
      </c>
      <c r="E34" s="14">
        <f>'[4]US Airways'!$DK$53</f>
        <v>133755</v>
      </c>
      <c r="F34" s="14">
        <f>[4]Spirit!$DK$53</f>
        <v>0</v>
      </c>
      <c r="G34" s="14">
        <f>'Other Major Airline Stats'!I34</f>
        <v>296186</v>
      </c>
      <c r="H34" s="35">
        <f t="shared" si="6"/>
        <v>1751758</v>
      </c>
    </row>
    <row r="35" spans="1:8" x14ac:dyDescent="0.2">
      <c r="A35" s="69" t="s">
        <v>44</v>
      </c>
      <c r="B35" s="293">
        <f t="shared" ref="B35:G35" si="7">SUM(B33:B34)</f>
        <v>6511</v>
      </c>
      <c r="C35" s="293">
        <f t="shared" si="7"/>
        <v>3932464</v>
      </c>
      <c r="D35" s="293">
        <f t="shared" si="7"/>
        <v>22466</v>
      </c>
      <c r="E35" s="293">
        <f t="shared" si="7"/>
        <v>147884</v>
      </c>
      <c r="F35" s="293">
        <f t="shared" si="7"/>
        <v>0</v>
      </c>
      <c r="G35" s="293">
        <f t="shared" si="7"/>
        <v>354831</v>
      </c>
      <c r="H35" s="29">
        <f t="shared" si="6"/>
        <v>4464156</v>
      </c>
    </row>
    <row r="36" spans="1:8" hidden="1" x14ac:dyDescent="0.2">
      <c r="A36" s="65"/>
      <c r="B36" s="22"/>
      <c r="C36" s="22"/>
      <c r="D36" s="22"/>
      <c r="E36" s="22"/>
      <c r="F36" s="22"/>
      <c r="G36" s="22"/>
      <c r="H36" s="29">
        <f t="shared" si="6"/>
        <v>0</v>
      </c>
    </row>
    <row r="37" spans="1:8" hidden="1" x14ac:dyDescent="0.2">
      <c r="A37" s="65" t="s">
        <v>45</v>
      </c>
      <c r="B37" s="22"/>
      <c r="C37" s="22"/>
      <c r="D37" s="22"/>
      <c r="E37" s="22"/>
      <c r="F37" s="22"/>
      <c r="G37" s="22"/>
      <c r="H37" s="29">
        <f t="shared" si="6"/>
        <v>0</v>
      </c>
    </row>
    <row r="38" spans="1:8" hidden="1" x14ac:dyDescent="0.2">
      <c r="A38" s="65" t="s">
        <v>40</v>
      </c>
      <c r="B38" s="22">
        <f>[4]American!$DK$57</f>
        <v>0</v>
      </c>
      <c r="C38" s="22">
        <f>[4]Delta!$DK$57</f>
        <v>0</v>
      </c>
      <c r="D38" s="22">
        <f>[4]United!$DK$57</f>
        <v>0</v>
      </c>
      <c r="E38" s="22">
        <f>'[4]US Airways'!$DK$57</f>
        <v>0</v>
      </c>
      <c r="F38" s="22">
        <f>[4]Spirit!$DK$57</f>
        <v>0</v>
      </c>
      <c r="G38" s="22">
        <f>'Other Major Airline Stats'!I38</f>
        <v>0</v>
      </c>
      <c r="H38" s="29">
        <f t="shared" si="6"/>
        <v>0</v>
      </c>
    </row>
    <row r="39" spans="1:8" hidden="1" x14ac:dyDescent="0.2">
      <c r="A39" s="65" t="s">
        <v>41</v>
      </c>
      <c r="B39" s="14">
        <f>[4]American!$DK$58</f>
        <v>0</v>
      </c>
      <c r="C39" s="14">
        <f>[4]Delta!$DK$58</f>
        <v>0</v>
      </c>
      <c r="D39" s="14">
        <f>[4]United!$DK$58</f>
        <v>0</v>
      </c>
      <c r="E39" s="14">
        <f>'[4]US Airways'!$DK$58</f>
        <v>0</v>
      </c>
      <c r="F39" s="14">
        <f>[4]Spirit!$DK$58</f>
        <v>0</v>
      </c>
      <c r="G39" s="14">
        <f>'Other Major Airline Stats'!I39</f>
        <v>0</v>
      </c>
      <c r="H39" s="35">
        <f t="shared" si="6"/>
        <v>0</v>
      </c>
    </row>
    <row r="40" spans="1:8" hidden="1" x14ac:dyDescent="0.2">
      <c r="A40" s="69" t="s">
        <v>46</v>
      </c>
      <c r="B40" s="293">
        <f t="shared" ref="B40:G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">
        <f t="shared" si="6"/>
        <v>0</v>
      </c>
    </row>
    <row r="41" spans="1:8" x14ac:dyDescent="0.2">
      <c r="A41" s="65"/>
      <c r="B41" s="22"/>
      <c r="C41" s="22"/>
      <c r="D41" s="22"/>
      <c r="E41" s="22"/>
      <c r="F41" s="22"/>
      <c r="G41" s="22"/>
      <c r="H41" s="29"/>
    </row>
    <row r="42" spans="1:8" x14ac:dyDescent="0.2">
      <c r="A42" s="65" t="s">
        <v>47</v>
      </c>
      <c r="B42" s="22"/>
      <c r="C42" s="22"/>
      <c r="D42" s="22"/>
      <c r="E42" s="22"/>
      <c r="F42" s="22"/>
      <c r="G42" s="22"/>
      <c r="H42" s="29">
        <f>SUM(B42:G42)</f>
        <v>0</v>
      </c>
    </row>
    <row r="43" spans="1:8" x14ac:dyDescent="0.2">
      <c r="A43" s="65" t="s">
        <v>48</v>
      </c>
      <c r="B43" s="22">
        <f t="shared" ref="B43:G44" si="9">B28+B33+B38</f>
        <v>17536</v>
      </c>
      <c r="C43" s="22">
        <f t="shared" si="9"/>
        <v>6626430</v>
      </c>
      <c r="D43" s="22">
        <f t="shared" si="9"/>
        <v>20168</v>
      </c>
      <c r="E43" s="22">
        <f t="shared" si="9"/>
        <v>44755</v>
      </c>
      <c r="F43" s="22">
        <f>F28+F33+F38</f>
        <v>0</v>
      </c>
      <c r="G43" s="22">
        <f t="shared" si="9"/>
        <v>274586</v>
      </c>
      <c r="H43" s="29">
        <f>SUM(B43:G43)</f>
        <v>6983475</v>
      </c>
    </row>
    <row r="44" spans="1:8" x14ac:dyDescent="0.2">
      <c r="A44" s="65" t="s">
        <v>41</v>
      </c>
      <c r="B44" s="14">
        <f t="shared" si="9"/>
        <v>0</v>
      </c>
      <c r="C44" s="14">
        <f t="shared" si="9"/>
        <v>2372918</v>
      </c>
      <c r="D44" s="14">
        <f t="shared" si="9"/>
        <v>114592</v>
      </c>
      <c r="E44" s="14">
        <f t="shared" si="9"/>
        <v>171573</v>
      </c>
      <c r="F44" s="14">
        <f>F29+F34+F39</f>
        <v>0</v>
      </c>
      <c r="G44" s="14">
        <f t="shared" si="9"/>
        <v>336326</v>
      </c>
      <c r="H44" s="29">
        <f>SUM(B44:G44)</f>
        <v>2995409</v>
      </c>
    </row>
    <row r="45" spans="1:8" ht="15.75" thickBot="1" x14ac:dyDescent="0.3">
      <c r="A45" s="66" t="s">
        <v>49</v>
      </c>
      <c r="B45" s="294">
        <f t="shared" ref="B45:G45" si="10">SUM(B43:B44)</f>
        <v>17536</v>
      </c>
      <c r="C45" s="294">
        <f t="shared" si="10"/>
        <v>8999348</v>
      </c>
      <c r="D45" s="294">
        <f t="shared" si="10"/>
        <v>134760</v>
      </c>
      <c r="E45" s="294">
        <f t="shared" si="10"/>
        <v>216328</v>
      </c>
      <c r="F45" s="294">
        <f t="shared" si="10"/>
        <v>0</v>
      </c>
      <c r="G45" s="294">
        <f t="shared" si="10"/>
        <v>610912</v>
      </c>
      <c r="H45" s="295">
        <f>SUM(B45:G45)</f>
        <v>9978884</v>
      </c>
    </row>
    <row r="46" spans="1:8" x14ac:dyDescent="0.2">
      <c r="B46" s="13"/>
      <c r="C46" s="13"/>
      <c r="D46" s="13"/>
      <c r="E46" s="13"/>
      <c r="F46" s="13"/>
      <c r="G46" s="13"/>
    </row>
    <row r="47" spans="1:8" hidden="1" x14ac:dyDescent="0.2">
      <c r="A47" s="395" t="s">
        <v>136</v>
      </c>
      <c r="C47" s="325">
        <f>[4]Delta!$DK$70+[4]Delta!$DK$73</f>
        <v>297656</v>
      </c>
      <c r="D47" s="312"/>
      <c r="E47" s="312"/>
      <c r="F47" s="312"/>
      <c r="G47" s="312"/>
      <c r="H47" s="313">
        <f>SUM(B47:G47)</f>
        <v>297656</v>
      </c>
    </row>
    <row r="48" spans="1:8" hidden="1" x14ac:dyDescent="0.2">
      <c r="A48" s="396" t="s">
        <v>137</v>
      </c>
      <c r="C48" s="325">
        <f>[4]Delta!$DK$71+[4]Delta!$DK$74</f>
        <v>270390</v>
      </c>
      <c r="D48" s="312"/>
      <c r="E48" s="312"/>
      <c r="F48" s="312"/>
      <c r="G48" s="312"/>
      <c r="H48" s="313">
        <f>SUM(B48:G48)</f>
        <v>270390</v>
      </c>
    </row>
    <row r="49" spans="1:8" hidden="1" x14ac:dyDescent="0.2">
      <c r="A49" s="397" t="s">
        <v>138</v>
      </c>
      <c r="C49" s="326">
        <f>SUM(C47:C48)</f>
        <v>568046</v>
      </c>
      <c r="H49" s="313">
        <f>SUM(B49:G49)</f>
        <v>568046</v>
      </c>
    </row>
    <row r="50" spans="1:8" x14ac:dyDescent="0.2">
      <c r="A50" s="395" t="s">
        <v>136</v>
      </c>
      <c r="B50" s="409"/>
      <c r="C50" s="328">
        <f>[4]Delta!$DK$70+[4]Delta!$DK$73</f>
        <v>297656</v>
      </c>
      <c r="D50" s="409"/>
      <c r="E50" s="409"/>
      <c r="F50" s="409"/>
      <c r="G50" s="327">
        <f>'Other Major Airline Stats'!I48</f>
        <v>135101</v>
      </c>
      <c r="H50" s="316">
        <f>SUM(B50:G50)</f>
        <v>432757</v>
      </c>
    </row>
    <row r="51" spans="1:8" x14ac:dyDescent="0.2">
      <c r="A51" s="411" t="s">
        <v>137</v>
      </c>
      <c r="B51" s="409"/>
      <c r="C51" s="328">
        <f>[4]Delta!$DK$71+[4]Delta!$DK$74</f>
        <v>270390</v>
      </c>
      <c r="D51" s="409"/>
      <c r="E51" s="409"/>
      <c r="F51" s="409"/>
      <c r="G51" s="327">
        <f>+'Other Major Airline Stats'!I49</f>
        <v>357</v>
      </c>
      <c r="H51" s="316">
        <f>SUM(B51:G51)</f>
        <v>270747</v>
      </c>
    </row>
    <row r="52" spans="1:8" x14ac:dyDescent="0.2">
      <c r="E52" s="11"/>
      <c r="F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19" zoomScaleNormal="100" workbookViewId="0">
      <selection activeCell="E45" sqref="E45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00">
        <v>41671</v>
      </c>
      <c r="B2" s="24" t="s">
        <v>50</v>
      </c>
      <c r="C2" s="25" t="s">
        <v>51</v>
      </c>
      <c r="D2" s="25" t="s">
        <v>181</v>
      </c>
      <c r="E2" s="25" t="s">
        <v>52</v>
      </c>
      <c r="F2" s="24" t="s">
        <v>145</v>
      </c>
      <c r="G2" s="24" t="s">
        <v>53</v>
      </c>
      <c r="H2" s="24" t="s">
        <v>143</v>
      </c>
      <c r="I2" s="277" t="s">
        <v>67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[4]AirTran!$DK$22</f>
        <v>9233</v>
      </c>
      <c r="C5" s="150">
        <f>[4]Frontier!$DK$22</f>
        <v>12515</v>
      </c>
      <c r="D5" s="150">
        <f>'[4]Great Lakes'!$DK$22</f>
        <v>418</v>
      </c>
      <c r="E5" s="150">
        <f>[4]Icelandair!$DK$32</f>
        <v>0</v>
      </c>
      <c r="F5" s="122">
        <f>[4]Southwest!$DK$22</f>
        <v>53118</v>
      </c>
      <c r="G5" s="122">
        <f>'[4]Sun Country'!$DK$22+'[4]Sun Country'!$DK$32</f>
        <v>76594</v>
      </c>
      <c r="H5" s="122">
        <f>[4]Alaska!$DK$22</f>
        <v>6453</v>
      </c>
      <c r="I5" s="151">
        <f>SUM(B5:H5)</f>
        <v>158331</v>
      </c>
      <c r="L5" s="134"/>
    </row>
    <row r="6" spans="1:12" x14ac:dyDescent="0.2">
      <c r="A6" s="65" t="s">
        <v>34</v>
      </c>
      <c r="B6" s="297">
        <f>[4]AirTran!$DK$23</f>
        <v>9172</v>
      </c>
      <c r="C6" s="150">
        <f>[4]Frontier!$DK$23</f>
        <v>12898</v>
      </c>
      <c r="D6" s="150">
        <f>'[4]Great Lakes'!$DK$23</f>
        <v>412</v>
      </c>
      <c r="E6" s="150">
        <f>[4]Icelandair!$DK$33</f>
        <v>0</v>
      </c>
      <c r="F6" s="122">
        <f>[4]Southwest!$DK$23</f>
        <v>54003</v>
      </c>
      <c r="G6" s="122">
        <f>'[4]Sun Country'!$DK$23+'[4]Sun Country'!$DK$33</f>
        <v>81455</v>
      </c>
      <c r="H6" s="122">
        <f>[4]Alaska!$DK$23</f>
        <v>6911</v>
      </c>
      <c r="I6" s="151">
        <f>SUM(B6:H6)</f>
        <v>164851</v>
      </c>
    </row>
    <row r="7" spans="1:12" ht="15" x14ac:dyDescent="0.25">
      <c r="A7" s="63" t="s">
        <v>7</v>
      </c>
      <c r="B7" s="159">
        <f t="shared" ref="B7:H7" si="0">SUM(B5:B6)</f>
        <v>18405</v>
      </c>
      <c r="C7" s="159">
        <f t="shared" si="0"/>
        <v>25413</v>
      </c>
      <c r="D7" s="159">
        <f t="shared" si="0"/>
        <v>830</v>
      </c>
      <c r="E7" s="159">
        <f t="shared" si="0"/>
        <v>0</v>
      </c>
      <c r="F7" s="159">
        <f t="shared" si="0"/>
        <v>107121</v>
      </c>
      <c r="G7" s="159">
        <f>SUM(G5:G6)</f>
        <v>158049</v>
      </c>
      <c r="H7" s="159">
        <f t="shared" si="0"/>
        <v>13364</v>
      </c>
      <c r="I7" s="160">
        <f>SUM(B7:H7)</f>
        <v>323182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[4]AirTran!$DK$27</f>
        <v>150</v>
      </c>
      <c r="C10" s="158">
        <f>[4]Frontier!$DK$27</f>
        <v>215</v>
      </c>
      <c r="D10" s="158">
        <f>'[4]Great Lakes'!$DK$27</f>
        <v>28</v>
      </c>
      <c r="E10" s="158">
        <f>[4]Icelandair!$DK$37</f>
        <v>0</v>
      </c>
      <c r="F10" s="158">
        <f>[4]Southwest!$DK$27</f>
        <v>960</v>
      </c>
      <c r="G10" s="158">
        <f>'[4]Sun Country'!$DK$27+'[4]Sun Country'!$DK$37</f>
        <v>1448</v>
      </c>
      <c r="H10" s="158">
        <f>[4]Alaska!$DK$27</f>
        <v>265</v>
      </c>
      <c r="I10" s="151">
        <f>SUM(B10:H10)</f>
        <v>3066</v>
      </c>
    </row>
    <row r="11" spans="1:12" x14ac:dyDescent="0.2">
      <c r="A11" s="65" t="s">
        <v>36</v>
      </c>
      <c r="B11" s="14">
        <f>[4]AirTran!$DK$28</f>
        <v>168</v>
      </c>
      <c r="C11" s="161">
        <f>[4]Frontier!$DK$28</f>
        <v>211</v>
      </c>
      <c r="D11" s="161">
        <f>'[4]Great Lakes'!$DK$28</f>
        <v>17</v>
      </c>
      <c r="E11" s="161">
        <f>[4]Icelandair!$DK$38</f>
        <v>0</v>
      </c>
      <c r="F11" s="161">
        <f>[4]Southwest!$DK$28</f>
        <v>994</v>
      </c>
      <c r="G11" s="161">
        <f>'[4]Sun Country'!$DK$28+'[4]Sun Country'!$DK$38</f>
        <v>1493</v>
      </c>
      <c r="H11" s="161">
        <f>[4]Alaska!$DK$28</f>
        <v>282</v>
      </c>
      <c r="I11" s="151">
        <f>SUM(B11:H11)</f>
        <v>3165</v>
      </c>
    </row>
    <row r="12" spans="1:12" ht="15.75" thickBot="1" x14ac:dyDescent="0.3">
      <c r="A12" s="66" t="s">
        <v>37</v>
      </c>
      <c r="B12" s="154">
        <f t="shared" ref="B12:H12" si="1">SUM(B10:B11)</f>
        <v>318</v>
      </c>
      <c r="C12" s="154">
        <f t="shared" si="1"/>
        <v>426</v>
      </c>
      <c r="D12" s="154">
        <f t="shared" si="1"/>
        <v>45</v>
      </c>
      <c r="E12" s="154">
        <f t="shared" si="1"/>
        <v>0</v>
      </c>
      <c r="F12" s="154">
        <f t="shared" si="1"/>
        <v>1954</v>
      </c>
      <c r="G12" s="154">
        <f>SUM(G10:G11)</f>
        <v>2941</v>
      </c>
      <c r="H12" s="154">
        <f t="shared" si="1"/>
        <v>547</v>
      </c>
      <c r="I12" s="162">
        <f>SUM(B12:H12)</f>
        <v>6231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[4]AirTran!$DK$4</f>
        <v>100</v>
      </c>
      <c r="C16" s="150">
        <f>[4]Frontier!$DK$4</f>
        <v>88</v>
      </c>
      <c r="D16" s="150">
        <f>'[4]Great Lakes'!$DK$4</f>
        <v>49</v>
      </c>
      <c r="E16" s="150">
        <f>[4]Icelandair!$DK$15</f>
        <v>0</v>
      </c>
      <c r="F16" s="109">
        <f>[4]Southwest!$DK$4</f>
        <v>528</v>
      </c>
      <c r="G16" s="122">
        <f>'[4]Sun Country'!$DK$4+'[4]Sun Country'!$DK$15</f>
        <v>741</v>
      </c>
      <c r="H16" s="122">
        <f>[4]Alaska!$DK$4</f>
        <v>55</v>
      </c>
      <c r="I16" s="151">
        <f>SUM(B16:H16)</f>
        <v>1561</v>
      </c>
    </row>
    <row r="17" spans="1:256" x14ac:dyDescent="0.2">
      <c r="A17" s="65" t="s">
        <v>26</v>
      </c>
      <c r="B17" s="14">
        <f>[4]AirTran!$DK$5</f>
        <v>100</v>
      </c>
      <c r="C17" s="150">
        <f>[4]Frontier!$DK$5</f>
        <v>88</v>
      </c>
      <c r="D17" s="150">
        <f>'[4]Great Lakes'!$DK$5</f>
        <v>49</v>
      </c>
      <c r="E17" s="150">
        <f>[4]Icelandair!$DK$16</f>
        <v>0</v>
      </c>
      <c r="F17" s="109">
        <f>[4]Southwest!$DK$5</f>
        <v>526</v>
      </c>
      <c r="G17" s="122">
        <f>'[4]Sun Country'!$DK$5+'[4]Sun Country'!$DK$16</f>
        <v>740</v>
      </c>
      <c r="H17" s="122">
        <f>[4]Alaska!$DK$5</f>
        <v>55</v>
      </c>
      <c r="I17" s="151">
        <f>SUM(B17:H17)</f>
        <v>1558</v>
      </c>
    </row>
    <row r="18" spans="1:256" x14ac:dyDescent="0.2">
      <c r="A18" s="69" t="s">
        <v>27</v>
      </c>
      <c r="B18" s="152">
        <f t="shared" ref="B18:H18" si="2">SUM(B16:B17)</f>
        <v>200</v>
      </c>
      <c r="C18" s="152">
        <f t="shared" si="2"/>
        <v>176</v>
      </c>
      <c r="D18" s="152">
        <f t="shared" si="2"/>
        <v>98</v>
      </c>
      <c r="E18" s="152">
        <f t="shared" si="2"/>
        <v>0</v>
      </c>
      <c r="F18" s="152">
        <f t="shared" si="2"/>
        <v>1054</v>
      </c>
      <c r="G18" s="152">
        <f t="shared" si="2"/>
        <v>1481</v>
      </c>
      <c r="H18" s="152">
        <f t="shared" si="2"/>
        <v>110</v>
      </c>
      <c r="I18" s="153">
        <f>SUM(B18:H18)</f>
        <v>3119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[4]AirTran!$DK$8</f>
        <v>0</v>
      </c>
      <c r="C20" s="150">
        <f>[4]Frontier!$DK$8</f>
        <v>0</v>
      </c>
      <c r="D20" s="150">
        <f>'[4]Great Lakes'!$DK$8</f>
        <v>0</v>
      </c>
      <c r="E20" s="150">
        <f>[4]Icelandair!$DK$8</f>
        <v>0</v>
      </c>
      <c r="F20" s="122">
        <f>[4]Southwest!$DK$8</f>
        <v>0</v>
      </c>
      <c r="G20" s="122">
        <f>'[4]Sun Country'!$DK$8</f>
        <v>24</v>
      </c>
      <c r="H20" s="122">
        <f>[4]Alaska!$DK$8</f>
        <v>0</v>
      </c>
      <c r="I20" s="151">
        <f>SUM(B20:H20)</f>
        <v>24</v>
      </c>
    </row>
    <row r="21" spans="1:256" x14ac:dyDescent="0.2">
      <c r="A21" s="65" t="s">
        <v>29</v>
      </c>
      <c r="B21" s="14">
        <f>[4]AirTran!$DK$9</f>
        <v>0</v>
      </c>
      <c r="C21" s="150">
        <f>[4]Frontier!$DK$9</f>
        <v>0</v>
      </c>
      <c r="D21" s="150">
        <f>'[4]Great Lakes'!$DK$9</f>
        <v>0</v>
      </c>
      <c r="E21" s="150">
        <f>[4]Icelandair!$DK$9</f>
        <v>0</v>
      </c>
      <c r="F21" s="122">
        <f>[4]Southwest!$DK$9</f>
        <v>0</v>
      </c>
      <c r="G21" s="122">
        <f>'[4]Sun Country'!$DK$9</f>
        <v>26</v>
      </c>
      <c r="H21" s="122">
        <f>[4]Alaska!$DK$9</f>
        <v>0</v>
      </c>
      <c r="I21" s="151">
        <f>SUM(B21:H21)</f>
        <v>26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50</v>
      </c>
      <c r="H22" s="152">
        <f t="shared" si="3"/>
        <v>0</v>
      </c>
      <c r="I22" s="153">
        <f>SUM(B22:H22)</f>
        <v>50</v>
      </c>
    </row>
    <row r="23" spans="1:256" ht="15.75" thickBot="1" x14ac:dyDescent="0.3">
      <c r="A23" s="66" t="s">
        <v>31</v>
      </c>
      <c r="B23" s="154">
        <f t="shared" ref="B23:H23" si="4">B22+B18</f>
        <v>200</v>
      </c>
      <c r="C23" s="154">
        <f t="shared" si="4"/>
        <v>176</v>
      </c>
      <c r="D23" s="154">
        <f t="shared" si="4"/>
        <v>98</v>
      </c>
      <c r="E23" s="154">
        <f t="shared" si="4"/>
        <v>0</v>
      </c>
      <c r="F23" s="154">
        <f t="shared" si="4"/>
        <v>1054</v>
      </c>
      <c r="G23" s="154">
        <f t="shared" si="4"/>
        <v>1531</v>
      </c>
      <c r="H23" s="154">
        <f t="shared" si="4"/>
        <v>110</v>
      </c>
      <c r="I23" s="155">
        <f>SUM(B23:H23)</f>
        <v>3169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2"/>
      <c r="C25" s="442"/>
      <c r="D25" s="442"/>
      <c r="E25" s="442"/>
      <c r="F25" s="442"/>
      <c r="G25" s="442"/>
      <c r="H25" s="442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[4]AirTran!$DK$47</f>
        <v>0</v>
      </c>
      <c r="C28" s="150">
        <f>[4]Frontier!$DK$47</f>
        <v>0</v>
      </c>
      <c r="D28" s="150">
        <f>'[4]Great Lakes'!$DK$47</f>
        <v>0</v>
      </c>
      <c r="E28" s="150">
        <f>[4]Icelandair!$DK$47</f>
        <v>0</v>
      </c>
      <c r="F28" s="122">
        <f>[4]Southwest!$DK$47</f>
        <v>175262</v>
      </c>
      <c r="G28" s="122">
        <f>'[4]Sun Country'!$DK$47</f>
        <v>30558</v>
      </c>
      <c r="H28" s="122">
        <f>[4]Alaska!$DK$47</f>
        <v>10121</v>
      </c>
      <c r="I28" s="151">
        <f>SUM(B28:H28)</f>
        <v>215941</v>
      </c>
    </row>
    <row r="29" spans="1:256" x14ac:dyDescent="0.2">
      <c r="A29" s="65" t="s">
        <v>41</v>
      </c>
      <c r="B29" s="14">
        <f>[4]AirTran!$DK$48</f>
        <v>0</v>
      </c>
      <c r="C29" s="150">
        <f>[4]Frontier!$DK$48</f>
        <v>0</v>
      </c>
      <c r="D29" s="150">
        <f>'[4]Great Lakes'!$DK$48</f>
        <v>0</v>
      </c>
      <c r="E29" s="150">
        <f>[4]Icelandair!$DK$48</f>
        <v>0</v>
      </c>
      <c r="F29" s="122">
        <f>[4]Southwest!$DK$48</f>
        <v>0</v>
      </c>
      <c r="G29" s="122">
        <f>'[4]Sun Country'!$DK$48</f>
        <v>40140</v>
      </c>
      <c r="H29" s="122">
        <f>[4]Alaska!$DK$48</f>
        <v>0</v>
      </c>
      <c r="I29" s="151">
        <f>SUM(B29:H29)</f>
        <v>40140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0</v>
      </c>
      <c r="E30" s="166">
        <f t="shared" si="5"/>
        <v>0</v>
      </c>
      <c r="F30" s="166">
        <f t="shared" si="5"/>
        <v>175262</v>
      </c>
      <c r="G30" s="166">
        <f t="shared" si="5"/>
        <v>70698</v>
      </c>
      <c r="H30" s="166">
        <f t="shared" si="5"/>
        <v>10121</v>
      </c>
      <c r="I30" s="169">
        <f>SUM(B30:H30)</f>
        <v>256081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[4]AirTran!$DK$52</f>
        <v>0</v>
      </c>
      <c r="C33" s="150">
        <f>[4]Frontier!$DK$52</f>
        <v>0</v>
      </c>
      <c r="D33" s="150">
        <f>'[4]Great Lakes'!$DK$52</f>
        <v>0</v>
      </c>
      <c r="E33" s="150">
        <f>[4]Icelandair!$DK$52</f>
        <v>0</v>
      </c>
      <c r="F33" s="122">
        <f>[4]Southwest!$DK$52</f>
        <v>51128</v>
      </c>
      <c r="G33" s="122">
        <f>'[4]Sun Country'!$DK$52</f>
        <v>0</v>
      </c>
      <c r="H33" s="122">
        <f>[4]Alaska!$DK$52</f>
        <v>7517</v>
      </c>
      <c r="I33" s="151">
        <f>SUM(B33:H33)</f>
        <v>58645</v>
      </c>
    </row>
    <row r="34" spans="1:9" x14ac:dyDescent="0.2">
      <c r="A34" s="65" t="s">
        <v>41</v>
      </c>
      <c r="B34" s="14">
        <f>[4]AirTran!$DK$53</f>
        <v>0</v>
      </c>
      <c r="C34" s="150">
        <f>[4]Frontier!$DK$53</f>
        <v>0</v>
      </c>
      <c r="D34" s="150">
        <f>'[4]Great Lakes'!$DK$53</f>
        <v>0</v>
      </c>
      <c r="E34" s="150">
        <f>[4]Icelandair!$DK$53</f>
        <v>0</v>
      </c>
      <c r="F34" s="122">
        <f>[4]Southwest!$DK$53</f>
        <v>0</v>
      </c>
      <c r="G34" s="122">
        <f>'[4]Sun Country'!$DK$53</f>
        <v>296186</v>
      </c>
      <c r="H34" s="122">
        <f>[4]Alaska!$DK$53</f>
        <v>0</v>
      </c>
      <c r="I34" s="167">
        <f>SUM(B34:H34)</f>
        <v>296186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0</v>
      </c>
      <c r="F35" s="168">
        <f t="shared" si="6"/>
        <v>51128</v>
      </c>
      <c r="G35" s="168">
        <f t="shared" si="6"/>
        <v>296186</v>
      </c>
      <c r="H35" s="168">
        <f t="shared" si="6"/>
        <v>7517</v>
      </c>
      <c r="I35" s="169">
        <f>SUM(B35:H35)</f>
        <v>354831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[4]AirTran!$DK$57</f>
        <v>0</v>
      </c>
      <c r="C38" s="158">
        <f>[4]Frontier!$DK$57</f>
        <v>0</v>
      </c>
      <c r="D38" s="158">
        <f>'[4]Great Lakes'!$DK$57</f>
        <v>0</v>
      </c>
      <c r="E38" s="158">
        <f>[4]Icelandair!$DK$57</f>
        <v>0</v>
      </c>
      <c r="F38" s="158">
        <f>[4]Southwest!$DK$57</f>
        <v>0</v>
      </c>
      <c r="G38" s="158">
        <f>'[4]Sun Country'!$DK$57</f>
        <v>0</v>
      </c>
      <c r="H38" s="158">
        <f>[4]Alaska!$DK$57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[4]AirTran!$DK$58</f>
        <v>0</v>
      </c>
      <c r="C39" s="161">
        <f>[4]Frontier!$DK$58</f>
        <v>0</v>
      </c>
      <c r="D39" s="161">
        <f>'[4]Great Lakes'!$DK$58</f>
        <v>0</v>
      </c>
      <c r="E39" s="161">
        <f>[4]Icelandair!$DK$58</f>
        <v>0</v>
      </c>
      <c r="F39" s="161">
        <f>[4]Southwest!$DK$58</f>
        <v>0</v>
      </c>
      <c r="G39" s="161">
        <f>'[4]Sun Country'!$DK$58</f>
        <v>0</v>
      </c>
      <c r="H39" s="161">
        <f>[4]Alaska!$DK$58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0</v>
      </c>
      <c r="E43" s="158">
        <f t="shared" si="8"/>
        <v>0</v>
      </c>
      <c r="F43" s="158">
        <f t="shared" si="8"/>
        <v>226390</v>
      </c>
      <c r="G43" s="158">
        <f t="shared" si="8"/>
        <v>30558</v>
      </c>
      <c r="H43" s="158">
        <f t="shared" si="8"/>
        <v>17638</v>
      </c>
      <c r="I43" s="151">
        <f>SUM(B43:H43)</f>
        <v>274586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336326</v>
      </c>
      <c r="H44" s="161">
        <f t="shared" si="9"/>
        <v>0</v>
      </c>
      <c r="I44" s="151">
        <f>SUM(B44:H44)</f>
        <v>336326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0</v>
      </c>
      <c r="E45" s="171">
        <f t="shared" si="10"/>
        <v>0</v>
      </c>
      <c r="F45" s="171">
        <f t="shared" si="10"/>
        <v>226390</v>
      </c>
      <c r="G45" s="171">
        <f t="shared" si="10"/>
        <v>366884</v>
      </c>
      <c r="H45" s="171">
        <f t="shared" si="10"/>
        <v>17638</v>
      </c>
      <c r="I45" s="172">
        <f>SUM(B45:H45)</f>
        <v>610912</v>
      </c>
    </row>
    <row r="48" spans="1:9" x14ac:dyDescent="0.2">
      <c r="A48" s="395" t="s">
        <v>136</v>
      </c>
      <c r="B48" s="409"/>
      <c r="C48" s="409"/>
      <c r="D48" s="409"/>
      <c r="F48" s="328">
        <f>[4]Southwest!$DK$70+[4]Southwest!$DK$73</f>
        <v>53646</v>
      </c>
      <c r="G48" s="328">
        <f>'[4]Sun Country'!$DK$70+'[4]Sun Country'!$DK$73</f>
        <v>81455</v>
      </c>
      <c r="H48" s="409"/>
      <c r="I48" s="316">
        <f>SUM(B48:H48)</f>
        <v>135101</v>
      </c>
    </row>
    <row r="49" spans="1:9" x14ac:dyDescent="0.2">
      <c r="A49" s="411" t="s">
        <v>137</v>
      </c>
      <c r="B49" s="409"/>
      <c r="C49" s="409"/>
      <c r="D49" s="409"/>
      <c r="F49" s="328">
        <f>[4]Southwest!$DK$71+[4]Southwest!$DK$74</f>
        <v>357</v>
      </c>
      <c r="G49" s="328">
        <f>'[4]Sun Country'!$DK$71+'[4]Sun Country'!$DK$74</f>
        <v>0</v>
      </c>
      <c r="H49" s="409"/>
      <c r="I49" s="316">
        <f>SUM(B49:H49)</f>
        <v>357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February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0" workbookViewId="0">
      <pane xSplit="1" topLeftCell="B1" activePane="topRight" state="frozen"/>
      <selection activeCell="H17" sqref="H17"/>
      <selection pane="topRight" activeCell="K44" sqref="K4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7"/>
    </row>
    <row r="2" spans="1:12" s="7" customFormat="1" ht="39" thickBot="1" x14ac:dyDescent="0.25">
      <c r="A2" s="400">
        <v>41671</v>
      </c>
      <c r="B2" s="19" t="s">
        <v>204</v>
      </c>
      <c r="C2" s="19" t="s">
        <v>157</v>
      </c>
      <c r="D2" s="19" t="s">
        <v>209</v>
      </c>
      <c r="E2" s="19" t="s">
        <v>208</v>
      </c>
      <c r="F2" s="19" t="s">
        <v>171</v>
      </c>
      <c r="G2" s="19" t="s">
        <v>172</v>
      </c>
      <c r="H2" s="19" t="s">
        <v>56</v>
      </c>
      <c r="I2" s="20" t="s">
        <v>58</v>
      </c>
      <c r="J2" s="19" t="s">
        <v>175</v>
      </c>
      <c r="K2" s="19" t="s">
        <v>128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[4]Pinnacle!$DK$22+[4]Pinnacle!$DK$32</f>
        <v>139956</v>
      </c>
      <c r="C5" s="136">
        <f>[4]Chautaqua_AA!$DK$22</f>
        <v>0</v>
      </c>
      <c r="D5" s="136">
        <f>[4]Chautaqua_Continental!$DK$22</f>
        <v>421</v>
      </c>
      <c r="E5" s="134">
        <f>[4]MESA_UA!$DK$22+[4]MESA_UA!$DK$32</f>
        <v>3059</v>
      </c>
      <c r="F5" s="134">
        <f>'[4]Sky West'!$DK$22+'[4]Sky West'!$DK$32</f>
        <v>52315</v>
      </c>
      <c r="G5" s="134">
        <f>'[4]Sky West_UA'!$DK$22</f>
        <v>3282</v>
      </c>
      <c r="H5" s="134">
        <f>[4]Comair!$DK$22+[4]Comair!$DK$32</f>
        <v>0</v>
      </c>
      <c r="I5" s="134">
        <f>[4]Republic!$DK$22</f>
        <v>4058</v>
      </c>
      <c r="J5" s="134">
        <f>'[4]American Eagle'!$DK$22</f>
        <v>12020</v>
      </c>
      <c r="K5" s="134">
        <f>'Other Regional'!K5</f>
        <v>120418</v>
      </c>
      <c r="L5" s="113">
        <f>SUM(B5:K5)</f>
        <v>335529</v>
      </c>
    </row>
    <row r="6" spans="1:12" s="10" customFormat="1" x14ac:dyDescent="0.2">
      <c r="A6" s="65" t="s">
        <v>34</v>
      </c>
      <c r="B6" s="135">
        <f>[4]Pinnacle!$DK$23+[4]Pinnacle!$DK$33</f>
        <v>135905</v>
      </c>
      <c r="C6" s="136">
        <f>[4]Chautaqua_AA!$DK$23</f>
        <v>0</v>
      </c>
      <c r="D6" s="136">
        <f>[4]Chautaqua_Continental!$DK$23</f>
        <v>443</v>
      </c>
      <c r="E6" s="134">
        <f>[4]MESA_UA!$DK$23+[4]MESA_UA!$DK$33</f>
        <v>3256</v>
      </c>
      <c r="F6" s="134">
        <f>'[4]Sky West'!$DK$23+'[4]Sky West'!$DK$33</f>
        <v>52456</v>
      </c>
      <c r="G6" s="134">
        <f>'[4]Sky West_UA'!$DK$23</f>
        <v>3256</v>
      </c>
      <c r="H6" s="134">
        <f>[4]Comair!$DK$23+[4]Comair!$DK$33</f>
        <v>0</v>
      </c>
      <c r="I6" s="134">
        <f>[4]Republic!$DK$23</f>
        <v>3607</v>
      </c>
      <c r="J6" s="134">
        <f>'[4]American Eagle'!$DK$23</f>
        <v>11193</v>
      </c>
      <c r="K6" s="134">
        <f>'Other Regional'!K6</f>
        <v>121736</v>
      </c>
      <c r="L6" s="119">
        <f>SUM(B6:K6)</f>
        <v>331852</v>
      </c>
    </row>
    <row r="7" spans="1:12" ht="15" thickBot="1" x14ac:dyDescent="0.25">
      <c r="A7" s="76" t="s">
        <v>7</v>
      </c>
      <c r="B7" s="137">
        <f>SUM(B5:B6)</f>
        <v>275861</v>
      </c>
      <c r="C7" s="137">
        <f t="shared" ref="C7:K7" si="0">SUM(C5:C6)</f>
        <v>0</v>
      </c>
      <c r="D7" s="137">
        <f t="shared" si="0"/>
        <v>864</v>
      </c>
      <c r="E7" s="137">
        <f t="shared" si="0"/>
        <v>6315</v>
      </c>
      <c r="F7" s="137">
        <f t="shared" si="0"/>
        <v>104771</v>
      </c>
      <c r="G7" s="137">
        <f t="shared" si="0"/>
        <v>6538</v>
      </c>
      <c r="H7" s="137">
        <f t="shared" si="0"/>
        <v>0</v>
      </c>
      <c r="I7" s="137">
        <f t="shared" si="0"/>
        <v>7665</v>
      </c>
      <c r="J7" s="137">
        <f t="shared" si="0"/>
        <v>23213</v>
      </c>
      <c r="K7" s="137">
        <f t="shared" si="0"/>
        <v>242154</v>
      </c>
      <c r="L7" s="138">
        <f>SUM(B7:K7)</f>
        <v>667381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[4]Pinnacle!$DK$27+[4]Pinnacle!$DK$37</f>
        <v>4356</v>
      </c>
      <c r="C10" s="136">
        <f>[4]Chautaqua_AA!$DK$27</f>
        <v>0</v>
      </c>
      <c r="D10" s="136">
        <f>[4]Chautaqua_Continental!$DK$27</f>
        <v>0</v>
      </c>
      <c r="E10" s="134">
        <f>[4]MESA_UA!$DK$27+[4]MESA_UA!$DK$37</f>
        <v>285</v>
      </c>
      <c r="F10" s="134">
        <f>'[4]Sky West'!$DK$27+'[4]Sky West'!$DK$37</f>
        <v>2104</v>
      </c>
      <c r="G10" s="134">
        <f>'[4]Sky West_UA'!$DK$27</f>
        <v>91</v>
      </c>
      <c r="H10" s="134">
        <f>[4]Comair!$DK$27+[4]Comair!$DK$37</f>
        <v>0</v>
      </c>
      <c r="I10" s="134">
        <f>[4]Republic!$DK$27</f>
        <v>0</v>
      </c>
      <c r="J10" s="134">
        <f>'[4]American Eagle'!$DK$27</f>
        <v>156</v>
      </c>
      <c r="K10" s="134">
        <f>'Other Regional'!K10</f>
        <v>3820</v>
      </c>
      <c r="L10" s="113">
        <f>SUM(B10:K10)</f>
        <v>10812</v>
      </c>
    </row>
    <row r="11" spans="1:12" x14ac:dyDescent="0.2">
      <c r="A11" s="65" t="s">
        <v>36</v>
      </c>
      <c r="B11" s="135">
        <f>[4]Pinnacle!$DK$28+[4]Pinnacle!$DK$38</f>
        <v>4480</v>
      </c>
      <c r="C11" s="136">
        <f>[4]Chautaqua_AA!$DK$28</f>
        <v>0</v>
      </c>
      <c r="D11" s="136">
        <f>[4]Chautaqua_Continental!$DK$28</f>
        <v>0</v>
      </c>
      <c r="E11" s="134">
        <f>[4]MESA_UA!$DK$28+[4]MESA_UA!$DK$38</f>
        <v>168</v>
      </c>
      <c r="F11" s="134">
        <f>'[4]Sky West'!$DK$28+'[4]Sky West'!$DK$38</f>
        <v>2070</v>
      </c>
      <c r="G11" s="134">
        <f>'[4]Sky West_UA'!$DK$28</f>
        <v>60</v>
      </c>
      <c r="H11" s="134">
        <f>[4]Comair!$DK$28+[4]Comair!$DK$38</f>
        <v>0</v>
      </c>
      <c r="I11" s="134">
        <f>[4]Republic!$DK$28</f>
        <v>0</v>
      </c>
      <c r="J11" s="134">
        <f>'[4]American Eagle'!$DK$28</f>
        <v>172</v>
      </c>
      <c r="K11" s="134">
        <f>'Other Regional'!K11</f>
        <v>3674</v>
      </c>
      <c r="L11" s="119">
        <f>SUM(B11:K11)</f>
        <v>10624</v>
      </c>
    </row>
    <row r="12" spans="1:12" ht="15" thickBot="1" x14ac:dyDescent="0.25">
      <c r="A12" s="77" t="s">
        <v>37</v>
      </c>
      <c r="B12" s="140">
        <f>SUM(B10:B11)</f>
        <v>8836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453</v>
      </c>
      <c r="F12" s="140">
        <f t="shared" si="1"/>
        <v>4174</v>
      </c>
      <c r="G12" s="140">
        <f t="shared" si="1"/>
        <v>151</v>
      </c>
      <c r="H12" s="140">
        <f t="shared" si="1"/>
        <v>0</v>
      </c>
      <c r="I12" s="140">
        <f t="shared" si="1"/>
        <v>0</v>
      </c>
      <c r="J12" s="140">
        <f t="shared" si="1"/>
        <v>328</v>
      </c>
      <c r="K12" s="140">
        <f>SUM(K10:K11)</f>
        <v>7494</v>
      </c>
      <c r="L12" s="141">
        <f>SUM(B12:K12)</f>
        <v>21436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59</v>
      </c>
      <c r="B15" s="22">
        <f>[4]Pinnacle!$DK$4+[4]Pinnacle!$DK$15</f>
        <v>2999</v>
      </c>
      <c r="C15" s="111">
        <f>[4]Chautaqua_AA!$DK$4</f>
        <v>0</v>
      </c>
      <c r="D15" s="111">
        <f>[4]Chautaqua_Continental!$DK$4</f>
        <v>10</v>
      </c>
      <c r="E15" s="109">
        <f>[4]MESA_UA!$DK$4+[4]MESA_UA!$DK$15</f>
        <v>51</v>
      </c>
      <c r="F15" s="109">
        <f>'[4]Sky West'!$DK$4+'[4]Sky West'!$DK$15</f>
        <v>1331</v>
      </c>
      <c r="G15" s="109">
        <f>'[4]Sky West_UA'!$DK$4</f>
        <v>54</v>
      </c>
      <c r="H15" s="109">
        <f>[4]Comair!$DK$4+[4]Comair!$DK$15</f>
        <v>0</v>
      </c>
      <c r="I15" s="112">
        <f>[4]Republic!$DK$4</f>
        <v>75</v>
      </c>
      <c r="J15" s="112">
        <f>'[4]American Eagle'!$DK$4</f>
        <v>214</v>
      </c>
      <c r="K15" s="110">
        <f>'Other Regional'!K15</f>
        <v>2174</v>
      </c>
      <c r="L15" s="113">
        <f t="shared" si="2"/>
        <v>6908</v>
      </c>
    </row>
    <row r="16" spans="1:12" x14ac:dyDescent="0.2">
      <c r="A16" s="65" t="s">
        <v>60</v>
      </c>
      <c r="B16" s="14">
        <f>[4]Pinnacle!$DK$5+[4]Pinnacle!$DK$16</f>
        <v>2998</v>
      </c>
      <c r="C16" s="116">
        <f>[4]Chautaqua_AA!$DK$5</f>
        <v>0</v>
      </c>
      <c r="D16" s="116">
        <f>[4]Chautaqua_Continental!$DK$5</f>
        <v>10</v>
      </c>
      <c r="E16" s="114">
        <f>[4]MESA_UA!$DK$5+[4]MESA_UA!$DK$16</f>
        <v>51</v>
      </c>
      <c r="F16" s="114">
        <f>'[4]Sky West'!$DK$5+'[4]Sky West'!$DK$16</f>
        <v>1326</v>
      </c>
      <c r="G16" s="114">
        <f>'[4]Sky West_UA'!$DK$5</f>
        <v>54</v>
      </c>
      <c r="H16" s="114">
        <f>[4]Comair!$DK$5+[4]Comair!$DK$16</f>
        <v>0</v>
      </c>
      <c r="I16" s="117">
        <f>[4]Republic!$DK$5</f>
        <v>72</v>
      </c>
      <c r="J16" s="117">
        <f>'[4]American Eagle'!$DK$5</f>
        <v>214</v>
      </c>
      <c r="K16" s="115">
        <f>'Other Regional'!K16</f>
        <v>2173</v>
      </c>
      <c r="L16" s="119">
        <f t="shared" si="2"/>
        <v>6898</v>
      </c>
    </row>
    <row r="17" spans="1:12" x14ac:dyDescent="0.2">
      <c r="A17" s="74" t="s">
        <v>61</v>
      </c>
      <c r="B17" s="120">
        <f t="shared" ref="B17:J17" si="3">SUM(B15:B16)</f>
        <v>5997</v>
      </c>
      <c r="C17" s="120">
        <f t="shared" si="3"/>
        <v>0</v>
      </c>
      <c r="D17" s="120">
        <f t="shared" si="3"/>
        <v>20</v>
      </c>
      <c r="E17" s="120">
        <f t="shared" si="3"/>
        <v>102</v>
      </c>
      <c r="F17" s="120">
        <f t="shared" si="3"/>
        <v>2657</v>
      </c>
      <c r="G17" s="120">
        <f t="shared" si="3"/>
        <v>108</v>
      </c>
      <c r="H17" s="120">
        <f t="shared" si="3"/>
        <v>0</v>
      </c>
      <c r="I17" s="120">
        <f t="shared" si="3"/>
        <v>147</v>
      </c>
      <c r="J17" s="120">
        <f t="shared" si="3"/>
        <v>428</v>
      </c>
      <c r="K17" s="120">
        <f>SUM(K15:K16)</f>
        <v>4347</v>
      </c>
      <c r="L17" s="121">
        <f t="shared" si="2"/>
        <v>13806</v>
      </c>
    </row>
    <row r="18" spans="1:12" x14ac:dyDescent="0.2">
      <c r="A18" s="65" t="s">
        <v>62</v>
      </c>
      <c r="B18" s="122">
        <f>[4]Pinnacle!$DK$8</f>
        <v>0</v>
      </c>
      <c r="C18" s="123">
        <f>[4]Chautaqua_AA!$DK$8</f>
        <v>0</v>
      </c>
      <c r="D18" s="123">
        <f>[4]Chautaqua_Continental!$DK$8</f>
        <v>0</v>
      </c>
      <c r="E18" s="122">
        <f>[4]MESA_UA!$DK$8</f>
        <v>0</v>
      </c>
      <c r="F18" s="122">
        <f>'[4]Sky West'!$DK$8</f>
        <v>0</v>
      </c>
      <c r="G18" s="122">
        <f>'[4]Sky West_UA'!$DK$8</f>
        <v>0</v>
      </c>
      <c r="H18" s="122">
        <f>[4]Comair!$DK$8</f>
        <v>0</v>
      </c>
      <c r="I18" s="122">
        <f>[4]Republic!$DK$8</f>
        <v>0</v>
      </c>
      <c r="J18" s="122">
        <f>'[4]American Eagle'!$DK$8</f>
        <v>1</v>
      </c>
      <c r="K18" s="122">
        <f>'Other Regional'!K18</f>
        <v>0</v>
      </c>
      <c r="L18" s="113">
        <f t="shared" si="2"/>
        <v>1</v>
      </c>
    </row>
    <row r="19" spans="1:12" x14ac:dyDescent="0.2">
      <c r="A19" s="65" t="s">
        <v>63</v>
      </c>
      <c r="B19" s="124">
        <f>[4]Pinnacle!$DK$9</f>
        <v>3</v>
      </c>
      <c r="C19" s="125">
        <f>[4]Chautaqua_AA!$DK$9</f>
        <v>0</v>
      </c>
      <c r="D19" s="125">
        <f>[4]Chautaqua_Continental!$DK$9</f>
        <v>0</v>
      </c>
      <c r="E19" s="124">
        <f>[4]MESA_UA!$DK$9</f>
        <v>0</v>
      </c>
      <c r="F19" s="124">
        <f>'[4]Sky West'!$DK$9</f>
        <v>3</v>
      </c>
      <c r="G19" s="124">
        <f>'[4]Sky West_UA'!$DK$9</f>
        <v>0</v>
      </c>
      <c r="H19" s="124">
        <f>[4]Comair!$DK$9</f>
        <v>0</v>
      </c>
      <c r="I19" s="124">
        <f>[4]Republic!$DK$9</f>
        <v>0</v>
      </c>
      <c r="J19" s="124">
        <f>'[4]American Eagle'!$DK$9</f>
        <v>1</v>
      </c>
      <c r="K19" s="124">
        <f>'Other Regional'!K19</f>
        <v>2</v>
      </c>
      <c r="L19" s="119">
        <f t="shared" si="2"/>
        <v>9</v>
      </c>
    </row>
    <row r="20" spans="1:12" x14ac:dyDescent="0.2">
      <c r="A20" s="74" t="s">
        <v>64</v>
      </c>
      <c r="B20" s="120">
        <f t="shared" ref="B20:K20" si="4">SUM(B18:B19)</f>
        <v>3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3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2</v>
      </c>
      <c r="K20" s="120">
        <f t="shared" si="4"/>
        <v>2</v>
      </c>
      <c r="L20" s="121">
        <f t="shared" si="2"/>
        <v>10</v>
      </c>
    </row>
    <row r="21" spans="1:12" ht="15.75" thickBot="1" x14ac:dyDescent="0.3">
      <c r="A21" s="75" t="s">
        <v>31</v>
      </c>
      <c r="B21" s="126">
        <f t="shared" ref="B21:J21" si="5">SUM(B20,B17)</f>
        <v>6000</v>
      </c>
      <c r="C21" s="126">
        <f t="shared" si="5"/>
        <v>0</v>
      </c>
      <c r="D21" s="126">
        <f t="shared" si="5"/>
        <v>20</v>
      </c>
      <c r="E21" s="126">
        <f t="shared" si="5"/>
        <v>102</v>
      </c>
      <c r="F21" s="126">
        <f t="shared" si="5"/>
        <v>2660</v>
      </c>
      <c r="G21" s="126">
        <f t="shared" si="5"/>
        <v>108</v>
      </c>
      <c r="H21" s="126">
        <f t="shared" si="5"/>
        <v>0</v>
      </c>
      <c r="I21" s="126">
        <f t="shared" si="5"/>
        <v>147</v>
      </c>
      <c r="J21" s="126">
        <f t="shared" si="5"/>
        <v>430</v>
      </c>
      <c r="K21" s="126">
        <f>SUM(K20,K17)</f>
        <v>4349</v>
      </c>
      <c r="L21" s="127">
        <f t="shared" si="2"/>
        <v>13816</v>
      </c>
    </row>
    <row r="22" spans="1:12" ht="13.5" thickBot="1" x14ac:dyDescent="0.25"/>
    <row r="23" spans="1:12" ht="15.75" thickTop="1" x14ac:dyDescent="0.25">
      <c r="A23" s="68" t="s">
        <v>127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[4]Pinnacle!$DK$47</f>
        <v>0</v>
      </c>
      <c r="C25" s="136">
        <f>[4]Chautaqua_AA!$DK$47</f>
        <v>0</v>
      </c>
      <c r="D25" s="136">
        <f>[4]Chautaqua_Continental!$DK$47</f>
        <v>0</v>
      </c>
      <c r="E25" s="134">
        <f>[4]MESA_UA!$DK$47</f>
        <v>0</v>
      </c>
      <c r="F25" s="134">
        <f>'[4]Sky West'!$DK$47</f>
        <v>0</v>
      </c>
      <c r="G25" s="134">
        <f>'[4]Sky West_UA'!$DK$47</f>
        <v>0</v>
      </c>
      <c r="H25" s="134">
        <f>[4]Comair!$DK$47</f>
        <v>0</v>
      </c>
      <c r="I25" s="134">
        <f>[4]Republic!$DK$47</f>
        <v>0</v>
      </c>
      <c r="J25" s="134">
        <f>'[4]American Eagle'!$DK$47</f>
        <v>426</v>
      </c>
      <c r="K25" s="134">
        <f>'Other Regional'!K25</f>
        <v>0</v>
      </c>
      <c r="L25" s="113">
        <f>SUM(B25:K25)</f>
        <v>426</v>
      </c>
    </row>
    <row r="26" spans="1:12" x14ac:dyDescent="0.2">
      <c r="A26" s="78" t="s">
        <v>41</v>
      </c>
      <c r="B26" s="134">
        <f>[4]Pinnacle!$DK$48</f>
        <v>0</v>
      </c>
      <c r="C26" s="136">
        <f>[4]Chautaqua_AA!$DK$48</f>
        <v>0</v>
      </c>
      <c r="D26" s="136">
        <f>[4]Chautaqua_Continental!$DK$48</f>
        <v>0</v>
      </c>
      <c r="E26" s="134">
        <f>[4]MESA_UA!$DK$48</f>
        <v>0</v>
      </c>
      <c r="F26" s="134">
        <f>'[4]Sky West'!$DK$48</f>
        <v>0</v>
      </c>
      <c r="G26" s="134">
        <f>'[4]Sky West_UA'!$DK$48</f>
        <v>0</v>
      </c>
      <c r="H26" s="134">
        <f>[4]Comair!$DK$48</f>
        <v>0</v>
      </c>
      <c r="I26" s="134">
        <f>[4]Republic!$DK$48</f>
        <v>0</v>
      </c>
      <c r="J26" s="134">
        <f>'[4]American Eagle'!$DK$48</f>
        <v>0</v>
      </c>
      <c r="K26" s="134">
        <f>'Other Regional'!K26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426</v>
      </c>
      <c r="K27" s="137">
        <f t="shared" si="6"/>
        <v>0</v>
      </c>
      <c r="L27" s="138">
        <f>SUM(B27:K27)</f>
        <v>426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65</v>
      </c>
      <c r="B30" s="134">
        <f>[4]Pinnacle!$DK$52</f>
        <v>0</v>
      </c>
      <c r="C30" s="136">
        <f>[4]Chautaqua_AA!$DK$52</f>
        <v>0</v>
      </c>
      <c r="D30" s="136">
        <f>[4]Chautaqua_Continental!$DK$52</f>
        <v>0</v>
      </c>
      <c r="E30" s="134">
        <f>[4]MESA_UA!$DK$52</f>
        <v>0</v>
      </c>
      <c r="F30" s="134">
        <f>'[4]Sky West'!$DK$52</f>
        <v>0</v>
      </c>
      <c r="G30" s="134">
        <f>'[4]Sky West_UA'!$DK$52</f>
        <v>0</v>
      </c>
      <c r="H30" s="134">
        <f>[4]Comair!$DK$52</f>
        <v>0</v>
      </c>
      <c r="I30" s="134">
        <f>[4]Republic!$DK$52</f>
        <v>0</v>
      </c>
      <c r="J30" s="134">
        <f>'[4]American Eagle'!$DK$52</f>
        <v>5</v>
      </c>
      <c r="K30" s="134">
        <f>'Other Regional'!K30</f>
        <v>0</v>
      </c>
      <c r="L30" s="113">
        <f t="shared" ref="L30:L37" si="7">SUM(B30:K30)</f>
        <v>5</v>
      </c>
    </row>
    <row r="31" spans="1:12" x14ac:dyDescent="0.2">
      <c r="A31" s="78" t="s">
        <v>66</v>
      </c>
      <c r="B31" s="134">
        <f>[4]Pinnacle!$DK$53</f>
        <v>0</v>
      </c>
      <c r="C31" s="136">
        <f>[4]Chautaqua_AA!$DK$53</f>
        <v>0</v>
      </c>
      <c r="D31" s="136">
        <f>[4]Chautaqua_Continental!$DK$53</f>
        <v>0</v>
      </c>
      <c r="E31" s="134">
        <f>[4]MESA_UA!$DK$53</f>
        <v>0</v>
      </c>
      <c r="F31" s="134">
        <f>'[4]Sky West'!$DK$53</f>
        <v>0</v>
      </c>
      <c r="G31" s="134">
        <f>'[4]Sky West_UA'!$DK$53</f>
        <v>0</v>
      </c>
      <c r="H31" s="134">
        <f>[4]Comair!$DK$53</f>
        <v>0</v>
      </c>
      <c r="I31" s="134">
        <f>[4]Republic!$DK$53</f>
        <v>0</v>
      </c>
      <c r="J31" s="134">
        <f>'[4]American Eagle'!$DK$53</f>
        <v>0</v>
      </c>
      <c r="K31" s="134">
        <f>'Other Regional'!K31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5</v>
      </c>
      <c r="K32" s="137">
        <f>SUM(K30:K31)</f>
        <v>0</v>
      </c>
      <c r="L32" s="138">
        <f t="shared" si="7"/>
        <v>5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[4]Pinnacle!$DK$57</f>
        <v>0</v>
      </c>
      <c r="C35" s="136">
        <f>[4]Chautaqua_AA!$DK$57</f>
        <v>0</v>
      </c>
      <c r="D35" s="136">
        <f>[4]Chautaqua_Continental!$DK$57</f>
        <v>0</v>
      </c>
      <c r="E35" s="134">
        <f>[4]MESA_UA!$DK$57</f>
        <v>0</v>
      </c>
      <c r="F35" s="134">
        <f>'[4]Sky West'!$DK$57</f>
        <v>0</v>
      </c>
      <c r="G35" s="134">
        <f>'[4]Sky West_UA'!$DK$57</f>
        <v>0</v>
      </c>
      <c r="H35" s="134">
        <f>[4]Comair!$DK$57</f>
        <v>0</v>
      </c>
      <c r="I35" s="134">
        <f>[4]Republic!$DK$57</f>
        <v>0</v>
      </c>
      <c r="J35" s="134">
        <f>'[4]American Eagle'!$DK$57</f>
        <v>0</v>
      </c>
      <c r="K35" s="134">
        <f>'Other Regional'!K35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[4]Pinnacle!$DK$58</f>
        <v>0</v>
      </c>
      <c r="C36" s="136">
        <f>[4]Chautaqua_AA!$DK$58</f>
        <v>0</v>
      </c>
      <c r="D36" s="136">
        <f>[4]Chautaqua_Continental!$DK$58</f>
        <v>0</v>
      </c>
      <c r="E36" s="134">
        <f>[4]MESA_UA!$DK$58</f>
        <v>0</v>
      </c>
      <c r="F36" s="134">
        <f>'[4]Sky West'!$DK$58</f>
        <v>0</v>
      </c>
      <c r="G36" s="134">
        <f>'[4]Sky West_UA'!$DK$58</f>
        <v>0</v>
      </c>
      <c r="H36" s="134">
        <f>[4]Comair!$DK$58</f>
        <v>0</v>
      </c>
      <c r="I36" s="134">
        <f>[4]Republic!$DK$58</f>
        <v>0</v>
      </c>
      <c r="J36" s="134">
        <f>'[4]American Eagle'!$DK$58</f>
        <v>0</v>
      </c>
      <c r="K36" s="134">
        <f>'Other Regional'!K36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431</v>
      </c>
      <c r="K40" s="134">
        <f>K35+K30+K25</f>
        <v>0</v>
      </c>
      <c r="L40" s="113">
        <f>SUM(B40:K40)</f>
        <v>431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431</v>
      </c>
      <c r="K42" s="140">
        <f>SUM(K37,K32,K27)</f>
        <v>0</v>
      </c>
      <c r="L42" s="141">
        <f>SUM(B42:K42)</f>
        <v>431</v>
      </c>
    </row>
    <row r="44" spans="1:12" x14ac:dyDescent="0.2">
      <c r="A44" s="395" t="s">
        <v>136</v>
      </c>
      <c r="B44" s="327">
        <f>[4]Pinnacle!$DK$70+[4]Pinnacle!$DK$73</f>
        <v>41720</v>
      </c>
      <c r="F44" s="328">
        <f>'[4]Sky West'!$DK$70+'[4]Sky West'!$DK$73</f>
        <v>12484</v>
      </c>
      <c r="G44" s="328">
        <f>'[4]Sky West_UA'!$DK$70+'[4]Sky West_UA'!$DK$73</f>
        <v>0</v>
      </c>
      <c r="H44" s="328">
        <f>[4]Comair!$DK$70+[4]Comair!$DK$73</f>
        <v>0</v>
      </c>
      <c r="K44" s="5">
        <f>+'Other Regional'!K46</f>
        <v>35932</v>
      </c>
      <c r="L44" s="316">
        <f>SUM(B44:K44)</f>
        <v>90136</v>
      </c>
    </row>
    <row r="45" spans="1:12" x14ac:dyDescent="0.2">
      <c r="A45" s="411" t="s">
        <v>137</v>
      </c>
      <c r="B45" s="327">
        <f>[4]Pinnacle!$DK$71+[4]Pinnacle!$DK$74</f>
        <v>94185</v>
      </c>
      <c r="F45" s="328">
        <f>'[4]Sky West'!$DK$71+'[4]Sky West'!$DK$74</f>
        <v>39972</v>
      </c>
      <c r="G45" s="328">
        <f>'[4]Sky West_UA'!$DK$71+'[4]Sky West_UA'!$DK$74</f>
        <v>0</v>
      </c>
      <c r="H45" s="328">
        <f>[4]Comair!$DK$71+[4]Comair!$DK$74</f>
        <v>0</v>
      </c>
      <c r="K45" s="5">
        <f>+'Other Regional'!K47</f>
        <v>64527</v>
      </c>
      <c r="L45" s="316">
        <f>SUM(B45:K45)</f>
        <v>198684</v>
      </c>
    </row>
    <row r="46" spans="1:12" x14ac:dyDescent="0.2">
      <c r="A46" s="318" t="s">
        <v>138</v>
      </c>
      <c r="B46" s="319">
        <f>SUM(B44:B45)</f>
        <v>135905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February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opLeftCell="A22" zoomScaleNormal="100" zoomScaleSheetLayoutView="100" workbookViewId="0">
      <selection activeCell="H46" sqref="H4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8" width="11.42578125" customWidth="1"/>
    <col min="9" max="9" width="10.42578125" customWidth="1"/>
    <col min="10" max="10" width="6.42578125" bestFit="1" customWidth="1"/>
    <col min="11" max="11" width="12.140625" customWidth="1"/>
  </cols>
  <sheetData>
    <row r="1" spans="1:11" s="7" customFormat="1" ht="6" customHeight="1" x14ac:dyDescent="0.2">
      <c r="A1" s="407"/>
    </row>
    <row r="2" spans="1:11" s="7" customFormat="1" ht="55.5" customHeight="1" thickBot="1" x14ac:dyDescent="0.25">
      <c r="A2" s="400">
        <v>41671</v>
      </c>
      <c r="B2" s="19" t="s">
        <v>144</v>
      </c>
      <c r="C2" s="19" t="s">
        <v>170</v>
      </c>
      <c r="D2" s="19" t="s">
        <v>169</v>
      </c>
      <c r="E2" s="19" t="s">
        <v>147</v>
      </c>
      <c r="F2" s="19" t="s">
        <v>55</v>
      </c>
      <c r="G2" s="19" t="s">
        <v>178</v>
      </c>
      <c r="H2" s="19" t="s">
        <v>210</v>
      </c>
      <c r="I2" s="19" t="s">
        <v>129</v>
      </c>
      <c r="J2" s="19" t="s">
        <v>57</v>
      </c>
      <c r="K2" s="296" t="s">
        <v>24</v>
      </c>
    </row>
    <row r="3" spans="1:11" ht="15.75" thickTop="1" x14ac:dyDescent="0.25">
      <c r="A3" s="284" t="s">
        <v>3</v>
      </c>
      <c r="B3" s="423"/>
      <c r="C3" s="423"/>
      <c r="D3" s="423"/>
      <c r="E3" s="423"/>
      <c r="F3" s="424"/>
      <c r="G3" s="424"/>
      <c r="H3" s="424"/>
      <c r="I3" s="424"/>
      <c r="J3" s="423"/>
      <c r="K3" s="131"/>
    </row>
    <row r="4" spans="1:11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6"/>
      <c r="J4" s="134"/>
      <c r="K4" s="113"/>
    </row>
    <row r="5" spans="1:11" x14ac:dyDescent="0.2">
      <c r="A5" s="65" t="s">
        <v>33</v>
      </c>
      <c r="B5" s="135">
        <f>'[4]Shuttle America'!$DK$22</f>
        <v>6468</v>
      </c>
      <c r="C5" s="135">
        <f>'[4]Shuttle America_Delta'!$DK$22</f>
        <v>4787</v>
      </c>
      <c r="D5" s="135">
        <f>[4]AirCanada!$DK$32</f>
        <v>1994</v>
      </c>
      <c r="E5" s="22">
        <f>[4]Compass!$DK$22+[4]Compass!$DK$32</f>
        <v>73941</v>
      </c>
      <c r="F5" s="135">
        <f>'[4]Atlantic Southeast'!$DK$22+'[4]Atlantic Southeast'!$DK$32</f>
        <v>19212</v>
      </c>
      <c r="G5" s="135">
        <f>'[4]Continental Express'!$DK$22</f>
        <v>7512</v>
      </c>
      <c r="H5" s="134">
        <f>'[4]Go Jet_UA'!$DK$22</f>
        <v>6504</v>
      </c>
      <c r="I5" s="136">
        <f>'[4]Air Wisconsin'!$DK$22</f>
        <v>0</v>
      </c>
      <c r="J5" s="134">
        <f>[4]MESA!$DK$22</f>
        <v>0</v>
      </c>
      <c r="K5" s="113">
        <f>SUM(B5:J5)</f>
        <v>120418</v>
      </c>
    </row>
    <row r="6" spans="1:11" s="10" customFormat="1" x14ac:dyDescent="0.2">
      <c r="A6" s="65" t="s">
        <v>34</v>
      </c>
      <c r="B6" s="135">
        <f>'[4]Shuttle America'!$DK$23</f>
        <v>6494</v>
      </c>
      <c r="C6" s="135">
        <f>'[4]Shuttle America_Delta'!$DK$23</f>
        <v>5208</v>
      </c>
      <c r="D6" s="135">
        <f>[4]AirCanada!$DK$33</f>
        <v>1903</v>
      </c>
      <c r="E6" s="14">
        <f>[4]Compass!$DK$23+[4]Compass!$DK$33</f>
        <v>74956</v>
      </c>
      <c r="F6" s="135">
        <f>'[4]Atlantic Southeast'!$DK$23+'[4]Atlantic Southeast'!$DK$33</f>
        <v>20295</v>
      </c>
      <c r="G6" s="135">
        <f>'[4]Continental Express'!$DK$23</f>
        <v>6938</v>
      </c>
      <c r="H6" s="134">
        <f>'[4]Go Jet_UA'!$DK$23</f>
        <v>5942</v>
      </c>
      <c r="I6" s="136">
        <f>'[4]Air Wisconsin'!$DK$23</f>
        <v>0</v>
      </c>
      <c r="J6" s="134">
        <f>[4]MESA!$DK$23</f>
        <v>0</v>
      </c>
      <c r="K6" s="119">
        <f>SUM(B6:J6)</f>
        <v>121736</v>
      </c>
    </row>
    <row r="7" spans="1:11" ht="15" thickBot="1" x14ac:dyDescent="0.25">
      <c r="A7" s="76" t="s">
        <v>7</v>
      </c>
      <c r="B7" s="137">
        <f t="shared" ref="B7:J7" si="0">SUM(B5:B6)</f>
        <v>12962</v>
      </c>
      <c r="C7" s="137">
        <f t="shared" si="0"/>
        <v>9995</v>
      </c>
      <c r="D7" s="137">
        <f t="shared" si="0"/>
        <v>3897</v>
      </c>
      <c r="E7" s="137">
        <f>SUM(E5:E6)</f>
        <v>148897</v>
      </c>
      <c r="F7" s="137">
        <f t="shared" si="0"/>
        <v>39507</v>
      </c>
      <c r="G7" s="137">
        <f t="shared" si="0"/>
        <v>14450</v>
      </c>
      <c r="H7" s="137">
        <f t="shared" si="0"/>
        <v>12446</v>
      </c>
      <c r="I7" s="137">
        <f t="shared" si="0"/>
        <v>0</v>
      </c>
      <c r="J7" s="137">
        <f t="shared" si="0"/>
        <v>0</v>
      </c>
      <c r="K7" s="138">
        <f>SUM(K5:K6)</f>
        <v>242154</v>
      </c>
    </row>
    <row r="8" spans="1:11" ht="13.5" thickTop="1" x14ac:dyDescent="0.2">
      <c r="A8" s="65"/>
      <c r="B8" s="135"/>
      <c r="C8" s="135"/>
      <c r="D8" s="135"/>
      <c r="E8" s="341"/>
      <c r="F8" s="135"/>
      <c r="G8" s="135"/>
      <c r="H8" s="134"/>
      <c r="I8" s="136"/>
      <c r="J8" s="134"/>
      <c r="K8" s="139"/>
    </row>
    <row r="9" spans="1:11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6"/>
      <c r="J9" s="134"/>
      <c r="K9" s="113"/>
    </row>
    <row r="10" spans="1:11" x14ac:dyDescent="0.2">
      <c r="A10" s="65" t="s">
        <v>33</v>
      </c>
      <c r="B10" s="135">
        <f>'[4]Shuttle America'!$DK$27</f>
        <v>0</v>
      </c>
      <c r="C10" s="135">
        <f>'[4]Shuttle America_Delta'!$DK$27</f>
        <v>194</v>
      </c>
      <c r="D10" s="135">
        <f>[4]AirCanada!$DK$37</f>
        <v>22</v>
      </c>
      <c r="E10" s="22">
        <f>[4]Compass!$DK$27+[4]Compass!$DK$37</f>
        <v>2367</v>
      </c>
      <c r="F10" s="22">
        <f>'[4]Atlantic Southeast'!$DK$27+'[4]Atlantic Southeast'!$DK$37</f>
        <v>764</v>
      </c>
      <c r="G10" s="135">
        <f>'[4]Continental Express'!$DK$27</f>
        <v>276</v>
      </c>
      <c r="H10" s="134">
        <f>'[4]Go Jet_UA'!$DK$27</f>
        <v>197</v>
      </c>
      <c r="I10" s="136">
        <f>'[4]Air Wisconsin'!$DK$27</f>
        <v>0</v>
      </c>
      <c r="J10" s="134">
        <f>[4]MESA!$DK$27</f>
        <v>0</v>
      </c>
      <c r="K10" s="113">
        <f>SUM(B10:J10)</f>
        <v>3820</v>
      </c>
    </row>
    <row r="11" spans="1:11" x14ac:dyDescent="0.2">
      <c r="A11" s="65" t="s">
        <v>36</v>
      </c>
      <c r="B11" s="135">
        <f>'[4]Shuttle America'!$DK$28</f>
        <v>0</v>
      </c>
      <c r="C11" s="135">
        <f>'[4]Shuttle America_Delta'!$DK$28</f>
        <v>152</v>
      </c>
      <c r="D11" s="135">
        <f>[4]AirCanada!$DK$38</f>
        <v>22</v>
      </c>
      <c r="E11" s="14">
        <f>[4]Compass!$DK$28+[4]Compass!$DK$38</f>
        <v>2418</v>
      </c>
      <c r="F11" s="14">
        <f>'[4]Atlantic Southeast'!$DK$28+'[4]Atlantic Southeast'!$DK$38</f>
        <v>622</v>
      </c>
      <c r="G11" s="135">
        <f>'[4]Continental Express'!$DK$28</f>
        <v>316</v>
      </c>
      <c r="H11" s="134">
        <f>'[4]Go Jet_UA'!$DK$28</f>
        <v>144</v>
      </c>
      <c r="I11" s="136">
        <f>'[4]Air Wisconsin'!$DK$28</f>
        <v>0</v>
      </c>
      <c r="J11" s="134">
        <f>[4]MESA!$DK$28</f>
        <v>0</v>
      </c>
      <c r="K11" s="119">
        <f>SUM(B11:J11)</f>
        <v>3674</v>
      </c>
    </row>
    <row r="12" spans="1:11" ht="15" thickBot="1" x14ac:dyDescent="0.25">
      <c r="A12" s="77" t="s">
        <v>37</v>
      </c>
      <c r="B12" s="140">
        <f>SUM(B10:B11)</f>
        <v>0</v>
      </c>
      <c r="C12" s="140">
        <f>SUM(C10:C11)</f>
        <v>346</v>
      </c>
      <c r="D12" s="140">
        <f t="shared" ref="D12:J12" si="1">SUM(D10:D11)</f>
        <v>44</v>
      </c>
      <c r="E12" s="140">
        <f t="shared" si="1"/>
        <v>4785</v>
      </c>
      <c r="F12" s="140">
        <f t="shared" si="1"/>
        <v>1386</v>
      </c>
      <c r="G12" s="140">
        <f t="shared" si="1"/>
        <v>592</v>
      </c>
      <c r="H12" s="140">
        <f t="shared" si="1"/>
        <v>341</v>
      </c>
      <c r="I12" s="140">
        <f t="shared" si="1"/>
        <v>0</v>
      </c>
      <c r="J12" s="140">
        <f t="shared" si="1"/>
        <v>0</v>
      </c>
      <c r="K12" s="141">
        <f>SUM(B12:J12)</f>
        <v>7494</v>
      </c>
    </row>
    <row r="13" spans="1:11" ht="6" customHeight="1" thickBot="1" x14ac:dyDescent="0.25"/>
    <row r="14" spans="1:11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7"/>
      <c r="J14" s="106"/>
      <c r="K14" s="108"/>
    </row>
    <row r="15" spans="1:11" x14ac:dyDescent="0.2">
      <c r="A15" s="65" t="s">
        <v>59</v>
      </c>
      <c r="B15" s="109">
        <f>'[4]Shuttle America'!$DK$4</f>
        <v>111</v>
      </c>
      <c r="C15" s="109">
        <f>'[4]Shuttle America_Delta'!$DK$4</f>
        <v>88</v>
      </c>
      <c r="D15" s="110">
        <f>[4]AirCanada!$DK$15</f>
        <v>76</v>
      </c>
      <c r="E15" s="22">
        <f>[4]Compass!$DK$4+[4]Compass!$DK$15</f>
        <v>1237</v>
      </c>
      <c r="F15" s="110">
        <f>'[4]Atlantic Southeast'!$DK$4+'[4]Atlantic Southeast'!$DK$15</f>
        <v>362</v>
      </c>
      <c r="G15" s="110">
        <f>'[4]Continental Express'!$DK$4</f>
        <v>192</v>
      </c>
      <c r="H15" s="109">
        <f>'[4]Go Jet_UA'!$DK$4</f>
        <v>107</v>
      </c>
      <c r="I15" s="111">
        <f>'[4]Air Wisconsin'!$DK$4</f>
        <v>1</v>
      </c>
      <c r="J15" s="109">
        <f>[4]MESA!$DK$4</f>
        <v>0</v>
      </c>
      <c r="K15" s="113">
        <f t="shared" ref="K15:K21" si="2">SUM(B15:J15)</f>
        <v>2174</v>
      </c>
    </row>
    <row r="16" spans="1:11" x14ac:dyDescent="0.2">
      <c r="A16" s="65" t="s">
        <v>60</v>
      </c>
      <c r="B16" s="114">
        <f>'[4]Shuttle America'!$DK$5</f>
        <v>111</v>
      </c>
      <c r="C16" s="114">
        <f>'[4]Shuttle America_Delta'!$DK$5</f>
        <v>88</v>
      </c>
      <c r="D16" s="115">
        <f>[4]AirCanada!$DK$16</f>
        <v>76</v>
      </c>
      <c r="E16" s="14">
        <f>[4]Compass!$DK$5+[4]Compass!$DK$16</f>
        <v>1236</v>
      </c>
      <c r="F16" s="115">
        <f>'[4]Atlantic Southeast'!$DK$5+'[4]Atlantic Southeast'!$DK$16</f>
        <v>363</v>
      </c>
      <c r="G16" s="115">
        <f>'[4]Continental Express'!$DK$5</f>
        <v>192</v>
      </c>
      <c r="H16" s="114">
        <f>'[4]Go Jet_UA'!$DK$5</f>
        <v>107</v>
      </c>
      <c r="I16" s="116">
        <f>'[4]Air Wisconsin'!$DK$5</f>
        <v>0</v>
      </c>
      <c r="J16" s="114">
        <f>[4]MESA!$DK$5</f>
        <v>0</v>
      </c>
      <c r="K16" s="119">
        <f t="shared" si="2"/>
        <v>2173</v>
      </c>
    </row>
    <row r="17" spans="1:11" x14ac:dyDescent="0.2">
      <c r="A17" s="74" t="s">
        <v>61</v>
      </c>
      <c r="B17" s="120">
        <f>SUM(B15:B16)</f>
        <v>222</v>
      </c>
      <c r="C17" s="120">
        <f>SUM(C15:C16)</f>
        <v>176</v>
      </c>
      <c r="D17" s="120">
        <f t="shared" ref="D17:J17" si="3">SUM(D15:D16)</f>
        <v>152</v>
      </c>
      <c r="E17" s="291">
        <f>SUM(E15:E16)</f>
        <v>2473</v>
      </c>
      <c r="F17" s="120">
        <f t="shared" si="3"/>
        <v>725</v>
      </c>
      <c r="G17" s="120">
        <f t="shared" si="3"/>
        <v>384</v>
      </c>
      <c r="H17" s="120">
        <f t="shared" si="3"/>
        <v>214</v>
      </c>
      <c r="I17" s="120">
        <f t="shared" si="3"/>
        <v>1</v>
      </c>
      <c r="J17" s="120">
        <f t="shared" si="3"/>
        <v>0</v>
      </c>
      <c r="K17" s="121">
        <f t="shared" si="2"/>
        <v>4347</v>
      </c>
    </row>
    <row r="18" spans="1:11" x14ac:dyDescent="0.2">
      <c r="A18" s="65" t="s">
        <v>62</v>
      </c>
      <c r="B18" s="122">
        <f>'[4]Shuttle America'!$DK$8</f>
        <v>0</v>
      </c>
      <c r="C18" s="122">
        <f>'[4]Shuttle America_Delta'!$DK$8</f>
        <v>0</v>
      </c>
      <c r="D18" s="122">
        <f>[4]AirCanada!$DK$8</f>
        <v>0</v>
      </c>
      <c r="E18" s="22">
        <f>[4]Compass!$DK$8</f>
        <v>0</v>
      </c>
      <c r="F18" s="112">
        <f>'[4]Atlantic Southeast'!$DK$8</f>
        <v>0</v>
      </c>
      <c r="G18" s="112">
        <f>'[4]Continental Express'!$DK$8</f>
        <v>0</v>
      </c>
      <c r="H18" s="122">
        <f>'[4]Go Jet_UA'!$DK$8</f>
        <v>0</v>
      </c>
      <c r="I18" s="123">
        <f>'[4]Air Wisconsin'!$DK$8</f>
        <v>0</v>
      </c>
      <c r="J18" s="122">
        <f>[4]MESA!$DK$8</f>
        <v>0</v>
      </c>
      <c r="K18" s="113">
        <f t="shared" si="2"/>
        <v>0</v>
      </c>
    </row>
    <row r="19" spans="1:11" x14ac:dyDescent="0.2">
      <c r="A19" s="65" t="s">
        <v>63</v>
      </c>
      <c r="B19" s="124">
        <f>'[4]Shuttle America'!$DK$9</f>
        <v>0</v>
      </c>
      <c r="C19" s="124">
        <f>'[4]Shuttle America_Delta'!$DK$9</f>
        <v>0</v>
      </c>
      <c r="D19" s="124">
        <f>[4]AirCanada!$DK$9</f>
        <v>0</v>
      </c>
      <c r="E19" s="14">
        <f>[4]Compass!$DK$9</f>
        <v>2</v>
      </c>
      <c r="F19" s="117">
        <f>'[4]Atlantic Southeast'!$DK$9</f>
        <v>0</v>
      </c>
      <c r="G19" s="117">
        <f>'[4]Continental Express'!$DK$9</f>
        <v>0</v>
      </c>
      <c r="H19" s="124">
        <f>'[4]Go Jet_UA'!$DK$9</f>
        <v>0</v>
      </c>
      <c r="I19" s="125">
        <f>'[4]Air Wisconsin'!$DK$9</f>
        <v>0</v>
      </c>
      <c r="J19" s="124">
        <f>[4]MESA!$DK$9</f>
        <v>0</v>
      </c>
      <c r="K19" s="119">
        <f t="shared" si="2"/>
        <v>2</v>
      </c>
    </row>
    <row r="20" spans="1:11" x14ac:dyDescent="0.2">
      <c r="A20" s="74" t="s">
        <v>64</v>
      </c>
      <c r="B20" s="120">
        <f>SUM(B18:B19)</f>
        <v>0</v>
      </c>
      <c r="C20" s="120">
        <f>SUM(C18:C19)</f>
        <v>0</v>
      </c>
      <c r="D20" s="120">
        <f t="shared" ref="D20:J20" si="4">SUM(D18:D19)</f>
        <v>0</v>
      </c>
      <c r="E20" s="291">
        <f>SUM(E18:E19)</f>
        <v>2</v>
      </c>
      <c r="F20" s="120">
        <f t="shared" si="4"/>
        <v>0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1">
        <f t="shared" si="2"/>
        <v>2</v>
      </c>
    </row>
    <row r="21" spans="1:11" ht="15.75" thickBot="1" x14ac:dyDescent="0.3">
      <c r="A21" s="75" t="s">
        <v>31</v>
      </c>
      <c r="B21" s="126">
        <f>SUM(B20,B17)</f>
        <v>222</v>
      </c>
      <c r="C21" s="126">
        <f>SUM(C20,C17)</f>
        <v>176</v>
      </c>
      <c r="D21" s="126">
        <f t="shared" ref="D21:J21" si="5">SUM(D20,D17)</f>
        <v>152</v>
      </c>
      <c r="E21" s="126">
        <f t="shared" si="5"/>
        <v>2475</v>
      </c>
      <c r="F21" s="126">
        <f t="shared" si="5"/>
        <v>725</v>
      </c>
      <c r="G21" s="126">
        <f t="shared" si="5"/>
        <v>384</v>
      </c>
      <c r="H21" s="126">
        <f t="shared" si="5"/>
        <v>214</v>
      </c>
      <c r="I21" s="126">
        <f t="shared" si="5"/>
        <v>1</v>
      </c>
      <c r="J21" s="126">
        <f t="shared" si="5"/>
        <v>0</v>
      </c>
      <c r="K21" s="127">
        <f t="shared" si="2"/>
        <v>4349</v>
      </c>
    </row>
    <row r="22" spans="1:11" ht="3.75" customHeight="1" thickBot="1" x14ac:dyDescent="0.25"/>
    <row r="23" spans="1:11" ht="15.75" thickTop="1" x14ac:dyDescent="0.25">
      <c r="A23" s="68" t="s">
        <v>127</v>
      </c>
      <c r="B23" s="142"/>
      <c r="C23" s="142"/>
      <c r="D23" s="142"/>
      <c r="E23" s="142"/>
      <c r="F23" s="143"/>
      <c r="G23" s="143"/>
      <c r="H23" s="142"/>
      <c r="I23" s="143"/>
      <c r="J23" s="142"/>
      <c r="K23" s="144"/>
    </row>
    <row r="24" spans="1:11" x14ac:dyDescent="0.2">
      <c r="A24" s="78" t="s">
        <v>39</v>
      </c>
      <c r="B24" s="134"/>
      <c r="C24" s="134"/>
      <c r="D24" s="134"/>
      <c r="F24" s="135"/>
      <c r="G24" s="135"/>
      <c r="H24" s="134"/>
      <c r="I24" s="136"/>
      <c r="J24" s="134"/>
      <c r="K24" s="113"/>
    </row>
    <row r="25" spans="1:11" x14ac:dyDescent="0.2">
      <c r="A25" s="78" t="s">
        <v>40</v>
      </c>
      <c r="B25" s="134">
        <f>'[4]Shuttle America'!$DK$47</f>
        <v>0</v>
      </c>
      <c r="C25" s="134">
        <f>'[4]Shuttle America_Delta'!$DK$47</f>
        <v>0</v>
      </c>
      <c r="D25" s="134">
        <f>[4]AirCanada!$DK$47</f>
        <v>0</v>
      </c>
      <c r="E25" s="134">
        <f>[4]Compass!$DK$47</f>
        <v>0</v>
      </c>
      <c r="F25" s="135">
        <f>'[4]Atlantic Southeast'!$DK$47</f>
        <v>0</v>
      </c>
      <c r="G25" s="135">
        <f>'[4]Continental Express'!$DK$47</f>
        <v>0</v>
      </c>
      <c r="H25" s="134">
        <f>'[4]Go Jet_UA'!$DK$47</f>
        <v>0</v>
      </c>
      <c r="I25" s="136">
        <f>'[4]Air Wisconsin'!$DK$47</f>
        <v>0</v>
      </c>
      <c r="J25" s="134">
        <f>[4]MESA!$DK$47</f>
        <v>0</v>
      </c>
      <c r="K25" s="113">
        <f>SUM(B25:J25)</f>
        <v>0</v>
      </c>
    </row>
    <row r="26" spans="1:11" x14ac:dyDescent="0.2">
      <c r="A26" s="78" t="s">
        <v>41</v>
      </c>
      <c r="B26" s="134">
        <f>'[4]Shuttle America'!$DK$48</f>
        <v>0</v>
      </c>
      <c r="C26" s="134">
        <f>'[4]Shuttle America_Delta'!$DK$48</f>
        <v>0</v>
      </c>
      <c r="D26" s="134">
        <f>[4]AirCanada!$DK$48</f>
        <v>0</v>
      </c>
      <c r="E26" s="134">
        <f>[4]Compass!$DK$48</f>
        <v>0</v>
      </c>
      <c r="F26" s="135">
        <f>'[4]Atlantic Southeast'!$DK$48</f>
        <v>0</v>
      </c>
      <c r="G26" s="135">
        <f>'[4]Continental Express'!$DK$48</f>
        <v>0</v>
      </c>
      <c r="H26" s="134">
        <f>'[4]Go Jet_UA'!$DK$48</f>
        <v>0</v>
      </c>
      <c r="I26" s="136">
        <f>'[4]Air Wisconsin'!$DK$48</f>
        <v>0</v>
      </c>
      <c r="J26" s="134">
        <f>[4]MESA!$DK$48</f>
        <v>0</v>
      </c>
      <c r="K26" s="113">
        <f>SUM(B26:J26)</f>
        <v>0</v>
      </c>
    </row>
    <row r="27" spans="1:11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J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8">
        <f>SUM(B27:J27)</f>
        <v>0</v>
      </c>
    </row>
    <row r="28" spans="1:11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6"/>
      <c r="J28" s="134"/>
      <c r="K28" s="113"/>
    </row>
    <row r="29" spans="1:11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6"/>
      <c r="J29" s="134"/>
      <c r="K29" s="113"/>
    </row>
    <row r="30" spans="1:11" x14ac:dyDescent="0.2">
      <c r="A30" s="78" t="s">
        <v>65</v>
      </c>
      <c r="B30" s="134">
        <f>'[4]Shuttle America'!$DK$52</f>
        <v>0</v>
      </c>
      <c r="C30" s="134">
        <f>'[4]Shuttle America_Delta'!$DK$52</f>
        <v>0</v>
      </c>
      <c r="D30" s="134">
        <f>[4]AirCanada!$DK$52</f>
        <v>0</v>
      </c>
      <c r="E30" s="134">
        <f>[4]Compass!$DK$52</f>
        <v>0</v>
      </c>
      <c r="F30" s="135">
        <f>'[4]Atlantic Southeast'!$DK$52</f>
        <v>0</v>
      </c>
      <c r="G30" s="135">
        <f>'[4]Continental Express'!$DK$52</f>
        <v>0</v>
      </c>
      <c r="H30" s="134">
        <f>'[4]Go Jet_UA'!$DK$52</f>
        <v>0</v>
      </c>
      <c r="I30" s="136">
        <f>'[4]Air Wisconsin'!BH$52</f>
        <v>0</v>
      </c>
      <c r="J30" s="134">
        <f>[4]MESA!$DK$52</f>
        <v>0</v>
      </c>
      <c r="K30" s="113">
        <f>SUM(B30:J30)</f>
        <v>0</v>
      </c>
    </row>
    <row r="31" spans="1:11" x14ac:dyDescent="0.2">
      <c r="A31" s="78" t="s">
        <v>66</v>
      </c>
      <c r="B31" s="134">
        <f>'[4]Shuttle America'!$DK$53</f>
        <v>0</v>
      </c>
      <c r="C31" s="134">
        <f>'[4]Shuttle America_Delta'!$DK$53</f>
        <v>0</v>
      </c>
      <c r="D31" s="134">
        <f>[4]AirCanada!$DK$53</f>
        <v>0</v>
      </c>
      <c r="E31" s="134">
        <f>[4]Compass!$DK$53</f>
        <v>0</v>
      </c>
      <c r="F31" s="135">
        <f>'[4]Atlantic Southeast'!$DK$53</f>
        <v>0</v>
      </c>
      <c r="G31" s="135">
        <f>'[4]Continental Express'!$DK$53</f>
        <v>0</v>
      </c>
      <c r="H31" s="134">
        <f>'[4]Go Jet_UA'!$DK$53</f>
        <v>0</v>
      </c>
      <c r="I31" s="136">
        <f>'[4]Air Wisconsin'!$DK$53</f>
        <v>0</v>
      </c>
      <c r="J31" s="134">
        <f>[4]MESA!$DK$53</f>
        <v>0</v>
      </c>
      <c r="K31" s="113">
        <f>SUM(B31:J31)</f>
        <v>0</v>
      </c>
    </row>
    <row r="32" spans="1:11" ht="15" thickBot="1" x14ac:dyDescent="0.25">
      <c r="A32" s="76" t="s">
        <v>44</v>
      </c>
      <c r="B32" s="137">
        <f t="shared" ref="B32:J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8">
        <f>SUM(B32:J32)</f>
        <v>0</v>
      </c>
    </row>
    <row r="33" spans="1:11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6"/>
      <c r="J33" s="134"/>
      <c r="K33" s="113"/>
    </row>
    <row r="34" spans="1:11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6"/>
      <c r="J34" s="134"/>
      <c r="K34" s="113"/>
    </row>
    <row r="35" spans="1:11" ht="13.5" hidden="1" thickTop="1" x14ac:dyDescent="0.2">
      <c r="A35" s="78" t="s">
        <v>40</v>
      </c>
      <c r="B35" s="134">
        <f>'[4]Shuttle America'!$DK$57</f>
        <v>0</v>
      </c>
      <c r="C35" s="134">
        <f>'[4]Shuttle America_Delta'!$DK$57</f>
        <v>0</v>
      </c>
      <c r="D35" s="134">
        <f>[4]AirCanada!$DK$57</f>
        <v>0</v>
      </c>
      <c r="E35" s="134">
        <f>[4]Compass!$DK$57</f>
        <v>0</v>
      </c>
      <c r="F35" s="135">
        <f>'[4]Atlantic Southeast'!$DK$57</f>
        <v>0</v>
      </c>
      <c r="G35" s="135">
        <f>'[4]Continental Express'!$DK$57</f>
        <v>0</v>
      </c>
      <c r="H35" s="134">
        <f>'[4]Go Jet_UA'!$AJ$57</f>
        <v>0</v>
      </c>
      <c r="I35" s="136">
        <f>'[4]Air Wisconsin'!BG$57</f>
        <v>0</v>
      </c>
      <c r="J35" s="134">
        <f>[4]MESA!$AJ$57</f>
        <v>0</v>
      </c>
      <c r="K35" s="113">
        <f>SUM(B35:J35)</f>
        <v>0</v>
      </c>
    </row>
    <row r="36" spans="1:11" ht="13.5" hidden="1" thickTop="1" x14ac:dyDescent="0.2">
      <c r="A36" s="78" t="s">
        <v>41</v>
      </c>
      <c r="B36" s="134">
        <f>'[4]Shuttle America'!BG$58</f>
        <v>0</v>
      </c>
      <c r="C36" s="134">
        <f>'[4]Shuttle America_Delta'!BH$58</f>
        <v>0</v>
      </c>
      <c r="D36" s="134">
        <f>[4]AirCanada!BG$58</f>
        <v>0</v>
      </c>
      <c r="E36" s="134">
        <f>[4]Compass!BG$58</f>
        <v>0</v>
      </c>
      <c r="F36" s="135">
        <f>'[4]Atlantic Southeast'!BG$58</f>
        <v>0</v>
      </c>
      <c r="G36" s="135">
        <f>'[4]Continental Express'!BG$58</f>
        <v>0</v>
      </c>
      <c r="H36" s="134">
        <f>'[4]Go Jet_UA'!$AJ$58</f>
        <v>0</v>
      </c>
      <c r="I36" s="136">
        <f>'[4]Air Wisconsin'!BG$58</f>
        <v>0</v>
      </c>
      <c r="J36" s="134">
        <f>[4]MESA!$AJ$58</f>
        <v>0</v>
      </c>
      <c r="K36" s="113">
        <f>SUM(B36:J36)</f>
        <v>0</v>
      </c>
    </row>
    <row r="37" spans="1:11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J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7">
        <f>SUM(B37:J37)</f>
        <v>0</v>
      </c>
    </row>
    <row r="38" spans="1:11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6"/>
      <c r="J38" s="134"/>
      <c r="K38" s="113"/>
    </row>
    <row r="39" spans="1:11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6"/>
      <c r="J39" s="134"/>
      <c r="K39" s="113"/>
    </row>
    <row r="40" spans="1:11" x14ac:dyDescent="0.2">
      <c r="A40" s="78" t="s">
        <v>48</v>
      </c>
      <c r="B40" s="134">
        <f t="shared" ref="B40:J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 t="shared" si="9"/>
        <v>0</v>
      </c>
      <c r="J40" s="134">
        <f t="shared" si="9"/>
        <v>0</v>
      </c>
      <c r="K40" s="113">
        <f>SUM(B40:J40)</f>
        <v>0</v>
      </c>
    </row>
    <row r="41" spans="1:11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J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 t="shared" si="10"/>
        <v>0</v>
      </c>
      <c r="J41" s="134">
        <f t="shared" si="10"/>
        <v>0</v>
      </c>
      <c r="K41" s="113">
        <f>SUM(B41:J41)</f>
        <v>0</v>
      </c>
    </row>
    <row r="42" spans="1:11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J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1">
        <f>SUM(B42:J42)</f>
        <v>0</v>
      </c>
    </row>
    <row r="43" spans="1:11" ht="4.5" customHeight="1" x14ac:dyDescent="0.2"/>
    <row r="44" spans="1:11" hidden="1" x14ac:dyDescent="0.2">
      <c r="A44" s="329" t="s">
        <v>139</v>
      </c>
      <c r="E44" s="328">
        <f>[4]Compass!BG$70+[4]Compass!BG$73</f>
        <v>27782</v>
      </c>
      <c r="F44" s="314"/>
      <c r="K44" s="316">
        <f>SUM(E44:E44)</f>
        <v>27782</v>
      </c>
    </row>
    <row r="45" spans="1:11" hidden="1" x14ac:dyDescent="0.2">
      <c r="A45" s="329" t="s">
        <v>140</v>
      </c>
      <c r="E45" s="328">
        <f>[4]Compass!BG$71+[4]Compass!BG$74</f>
        <v>47176</v>
      </c>
      <c r="F45" s="332"/>
      <c r="K45" s="316">
        <f>SUM(E45:E45)</f>
        <v>47176</v>
      </c>
    </row>
    <row r="46" spans="1:11" x14ac:dyDescent="0.2">
      <c r="A46" s="395" t="s">
        <v>136</v>
      </c>
      <c r="C46" s="328">
        <f>'[4]Shuttle America_Delta'!$DK$70+'[4]Shuttle America_Delta'!$DK$73</f>
        <v>2078</v>
      </c>
      <c r="E46" s="328">
        <f>[4]Compass!$DK$70+[4]Compass!$DK$73</f>
        <v>26609</v>
      </c>
      <c r="F46" s="328">
        <f>'[4]Atlantic Southeast'!$DK$70+'[4]Atlantic Southeast'!$DK$73</f>
        <v>7245</v>
      </c>
      <c r="H46" s="328">
        <f>'[4]Go Jet'!$DK$70+'[4]Go Jet'!$DK$73</f>
        <v>0</v>
      </c>
      <c r="K46" s="410">
        <f>SUM(B46:J46)</f>
        <v>35932</v>
      </c>
    </row>
    <row r="47" spans="1:11" x14ac:dyDescent="0.2">
      <c r="A47" s="411" t="s">
        <v>137</v>
      </c>
      <c r="C47" s="328">
        <f>'[4]Shuttle America_Delta'!$DK$71+'[4]Shuttle America_Delta'!$DK$74</f>
        <v>3130</v>
      </c>
      <c r="E47" s="328">
        <f>[4]Compass!$DK$71+[4]Compass!$DK$74</f>
        <v>48347</v>
      </c>
      <c r="F47" s="328">
        <f>'[4]Atlantic Southeast'!$DK$71+'[4]Atlantic Southeast'!$DK$74</f>
        <v>13050</v>
      </c>
      <c r="H47" s="328">
        <f>'[4]Go Jet'!$DK$71+'[4]Go Jet'!$DK$74</f>
        <v>0</v>
      </c>
      <c r="K47" s="410">
        <f>SUM(B47:J47)</f>
        <v>64527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February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="115" workbookViewId="0">
      <selection activeCell="I15" sqref="I1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00">
        <v>41671</v>
      </c>
      <c r="B2" s="184" t="s">
        <v>130</v>
      </c>
      <c r="C2" s="184" t="s">
        <v>179</v>
      </c>
      <c r="D2" s="105" t="s">
        <v>84</v>
      </c>
      <c r="E2" s="105" t="s">
        <v>180</v>
      </c>
      <c r="F2" s="184" t="s">
        <v>146</v>
      </c>
      <c r="G2" s="178" t="s">
        <v>85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7"/>
      <c r="C4" s="188"/>
      <c r="D4" s="188"/>
      <c r="E4" s="188"/>
      <c r="F4" s="188"/>
      <c r="G4" s="253"/>
    </row>
    <row r="5" spans="1:17" x14ac:dyDescent="0.2">
      <c r="A5" s="65" t="s">
        <v>33</v>
      </c>
      <c r="B5" s="447">
        <f>'[4]Charter Misc'!$DK$22</f>
        <v>280</v>
      </c>
      <c r="C5" s="188">
        <f>[4]Ryan!$DK$22</f>
        <v>0</v>
      </c>
      <c r="D5" s="188">
        <f>'[4]Charter Misc'!$DK$32</f>
        <v>0</v>
      </c>
      <c r="E5" s="188">
        <f>[4]Omni!$DK$32</f>
        <v>0</v>
      </c>
      <c r="F5" s="188">
        <f>[4]Xtra!$DK$32+[4]Xtra!$DK$22</f>
        <v>0</v>
      </c>
      <c r="G5" s="340">
        <f>SUM(B5:F5)</f>
        <v>280</v>
      </c>
    </row>
    <row r="6" spans="1:17" x14ac:dyDescent="0.2">
      <c r="A6" s="65" t="s">
        <v>34</v>
      </c>
      <c r="B6" s="448">
        <f>'[4]Charter Misc'!$DK$23</f>
        <v>235</v>
      </c>
      <c r="C6" s="191">
        <f>[4]Ryan!$DK$23</f>
        <v>0</v>
      </c>
      <c r="D6" s="191">
        <f>'[4]Charter Misc'!$DK$33</f>
        <v>0</v>
      </c>
      <c r="E6" s="191">
        <f>[4]Omni!$DK$33</f>
        <v>0</v>
      </c>
      <c r="F6" s="191">
        <f>[4]Xtra!$DK$33+[4]Xtra!$DK$23</f>
        <v>0</v>
      </c>
      <c r="G6" s="339">
        <f>SUM(B6:F6)</f>
        <v>235</v>
      </c>
    </row>
    <row r="7" spans="1:17" ht="15.75" thickBot="1" x14ac:dyDescent="0.3">
      <c r="A7" s="187" t="s">
        <v>7</v>
      </c>
      <c r="B7" s="449">
        <f>SUM(B5:B6)</f>
        <v>515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515</v>
      </c>
    </row>
    <row r="8" spans="1:17" ht="13.5" thickBot="1" x14ac:dyDescent="0.25"/>
    <row r="9" spans="1:17" x14ac:dyDescent="0.2">
      <c r="A9" s="185" t="s">
        <v>9</v>
      </c>
      <c r="B9" s="450"/>
      <c r="C9" s="47"/>
      <c r="D9" s="47"/>
      <c r="E9" s="47"/>
      <c r="F9" s="47"/>
      <c r="G9" s="60"/>
    </row>
    <row r="10" spans="1:17" x14ac:dyDescent="0.2">
      <c r="A10" s="186" t="s">
        <v>86</v>
      </c>
      <c r="B10" s="447">
        <f>'[4]Charter Misc'!$DK$4</f>
        <v>7</v>
      </c>
      <c r="C10" s="188">
        <f>[4]Ryan!$DK$4</f>
        <v>0</v>
      </c>
      <c r="D10" s="188">
        <f>'[4]Charter Misc'!$DK$15</f>
        <v>0</v>
      </c>
      <c r="E10" s="188">
        <f>[4]Omni!$DK$15</f>
        <v>0</v>
      </c>
      <c r="F10" s="188">
        <f>[4]Xtra!$DK$15+[4]Xtra!$DK$4</f>
        <v>0</v>
      </c>
      <c r="G10" s="339">
        <f>SUM(B10:F10)</f>
        <v>7</v>
      </c>
    </row>
    <row r="11" spans="1:17" x14ac:dyDescent="0.2">
      <c r="A11" s="186" t="s">
        <v>87</v>
      </c>
      <c r="B11" s="447">
        <f>'[4]Charter Misc'!$DK$5</f>
        <v>5</v>
      </c>
      <c r="C11" s="188">
        <f>[4]Ryan!$DK$5</f>
        <v>0</v>
      </c>
      <c r="D11" s="188">
        <f>'[4]Charter Misc'!$DK$16</f>
        <v>0</v>
      </c>
      <c r="E11" s="188">
        <f>[4]Omni!$DK$16</f>
        <v>0</v>
      </c>
      <c r="F11" s="188">
        <f>[4]Xtra!$DK$16+[4]Xtra!$DK$5</f>
        <v>0</v>
      </c>
      <c r="G11" s="339">
        <f>SUM(B11:F11)</f>
        <v>5</v>
      </c>
    </row>
    <row r="12" spans="1:17" ht="15.75" thickBot="1" x14ac:dyDescent="0.3">
      <c r="A12" s="282" t="s">
        <v>31</v>
      </c>
      <c r="B12" s="451">
        <f>SUM(B10:B11)</f>
        <v>12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12</v>
      </c>
      <c r="Q12" s="134"/>
    </row>
    <row r="17" spans="1:16" x14ac:dyDescent="0.2">
      <c r="B17" s="486" t="s">
        <v>176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8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5"/>
      <c r="B19" s="489" t="s">
        <v>133</v>
      </c>
      <c r="C19" s="490"/>
      <c r="D19" s="490"/>
      <c r="E19" s="491"/>
      <c r="G19" s="489" t="s">
        <v>134</v>
      </c>
      <c r="H19" s="492"/>
      <c r="I19" s="492"/>
      <c r="J19" s="493"/>
      <c r="L19" s="494" t="s">
        <v>135</v>
      </c>
      <c r="M19" s="495"/>
      <c r="N19" s="495"/>
      <c r="O19" s="496"/>
    </row>
    <row r="20" spans="1:16" ht="13.5" thickBot="1" x14ac:dyDescent="0.25">
      <c r="A20" s="241" t="s">
        <v>112</v>
      </c>
      <c r="B20" s="466" t="s">
        <v>113</v>
      </c>
      <c r="C20" s="8" t="s">
        <v>114</v>
      </c>
      <c r="D20" s="8" t="s">
        <v>197</v>
      </c>
      <c r="E20" s="8" t="s">
        <v>190</v>
      </c>
      <c r="F20" s="477" t="s">
        <v>108</v>
      </c>
      <c r="G20" s="466" t="s">
        <v>113</v>
      </c>
      <c r="H20" s="8" t="s">
        <v>114</v>
      </c>
      <c r="I20" s="8" t="s">
        <v>197</v>
      </c>
      <c r="J20" s="8" t="s">
        <v>190</v>
      </c>
      <c r="K20" s="244" t="s">
        <v>108</v>
      </c>
      <c r="L20" s="466" t="s">
        <v>113</v>
      </c>
      <c r="M20" s="240" t="s">
        <v>114</v>
      </c>
      <c r="N20" s="8" t="s">
        <v>197</v>
      </c>
      <c r="O20" s="8" t="s">
        <v>190</v>
      </c>
      <c r="P20" s="244" t="s">
        <v>108</v>
      </c>
    </row>
    <row r="21" spans="1:16" ht="14.1" customHeight="1" thickBot="1" x14ac:dyDescent="0.25">
      <c r="A21" s="246" t="s">
        <v>115</v>
      </c>
      <c r="B21" s="463">
        <f>[2]Charter!B21</f>
        <v>109706</v>
      </c>
      <c r="C21" s="462">
        <f>[2]Charter!C21</f>
        <v>106761</v>
      </c>
      <c r="D21" s="462">
        <f t="shared" ref="D21:D32" si="0">SUM(B21:C21)</f>
        <v>216467</v>
      </c>
      <c r="E21" s="476">
        <f>[3]Charter!$D$21</f>
        <v>188869</v>
      </c>
      <c r="F21" s="461">
        <f t="shared" ref="F21:F32" si="1">(D21-E21)/E21</f>
        <v>0.14612244465740803</v>
      </c>
      <c r="G21" s="463">
        <f>[2]Charter!G21</f>
        <v>1158780</v>
      </c>
      <c r="H21" s="462">
        <f>[2]Charter!H21</f>
        <v>1183104</v>
      </c>
      <c r="I21" s="462">
        <f>SUM(G21:H21)</f>
        <v>2341884</v>
      </c>
      <c r="J21" s="464">
        <f>[3]Charter!$I21</f>
        <v>2215560</v>
      </c>
      <c r="K21" s="471">
        <f t="shared" ref="K21:K32" si="2">(I21-J21)/J21</f>
        <v>5.7016736175052811E-2</v>
      </c>
      <c r="L21" s="463">
        <f>[2]Charter!$L$21</f>
        <v>1268486</v>
      </c>
      <c r="M21" s="462">
        <f>[2]Charter!$M$21</f>
        <v>1289865</v>
      </c>
      <c r="N21" s="462">
        <f t="shared" ref="N21:N32" si="3">SUM(L21:M21)</f>
        <v>2558351</v>
      </c>
      <c r="O21" s="474">
        <f>[3]Charter!$N$21</f>
        <v>2404429</v>
      </c>
      <c r="P21" s="247">
        <f>(N21-O21)/O21</f>
        <v>6.4016030417200928E-2</v>
      </c>
    </row>
    <row r="22" spans="1:16" ht="14.1" customHeight="1" x14ac:dyDescent="0.2">
      <c r="A22" s="248" t="s">
        <v>116</v>
      </c>
      <c r="B22" s="463">
        <f>'Intl Detail'!$M$4+'Intl Detail'!$M$9</f>
        <v>109972</v>
      </c>
      <c r="C22" s="462">
        <f>'Intl Detail'!$M$5+'Intl Detail'!$M$10</f>
        <v>111618</v>
      </c>
      <c r="D22" s="462">
        <f>SUM(B22:C22)</f>
        <v>221590</v>
      </c>
      <c r="E22" s="465">
        <f>[1]Charter!$D22</f>
        <v>206738</v>
      </c>
      <c r="F22" s="467">
        <f t="shared" si="1"/>
        <v>7.1839719838636337E-2</v>
      </c>
      <c r="G22" s="463">
        <f>L22-B22</f>
        <v>1106888</v>
      </c>
      <c r="H22" s="462">
        <f>M22-C22</f>
        <v>1123416</v>
      </c>
      <c r="I22" s="462">
        <f>SUM(G22:H22)</f>
        <v>2230304</v>
      </c>
      <c r="J22" s="464">
        <f>[1]Charter!$I22</f>
        <v>2137287</v>
      </c>
      <c r="K22" s="472">
        <f t="shared" si="2"/>
        <v>4.3521061981848949E-2</v>
      </c>
      <c r="L22" s="463">
        <f>'Monthly Summary'!B11</f>
        <v>1216860</v>
      </c>
      <c r="M22" s="462">
        <f>+'Monthly Summary'!C11</f>
        <v>1235034</v>
      </c>
      <c r="N22" s="462">
        <f t="shared" si="3"/>
        <v>2451894</v>
      </c>
      <c r="O22" s="475">
        <f>[1]Charter!$N22</f>
        <v>2344025</v>
      </c>
      <c r="P22" s="249">
        <f t="shared" ref="P22:P32" si="4">(N22-O22)/O22</f>
        <v>4.6018707138362432E-2</v>
      </c>
    </row>
    <row r="23" spans="1:16" ht="14.1" customHeight="1" x14ac:dyDescent="0.2">
      <c r="A23" s="248" t="s">
        <v>117</v>
      </c>
      <c r="B23" s="463"/>
      <c r="C23" s="462"/>
      <c r="D23" s="462">
        <f t="shared" si="0"/>
        <v>0</v>
      </c>
      <c r="E23" s="465"/>
      <c r="F23" s="468" t="e">
        <f t="shared" si="1"/>
        <v>#DIV/0!</v>
      </c>
      <c r="G23" s="463"/>
      <c r="H23" s="462"/>
      <c r="I23" s="462">
        <f>SUM(G23:H23)</f>
        <v>0</v>
      </c>
      <c r="J23" s="465"/>
      <c r="K23" s="472" t="e">
        <f t="shared" si="2"/>
        <v>#DIV/0!</v>
      </c>
      <c r="L23" s="463"/>
      <c r="M23" s="462"/>
      <c r="N23" s="462">
        <f t="shared" si="3"/>
        <v>0</v>
      </c>
      <c r="O23" s="465"/>
      <c r="P23" s="249" t="e">
        <f t="shared" si="4"/>
        <v>#DIV/0!</v>
      </c>
    </row>
    <row r="24" spans="1:16" ht="14.1" customHeight="1" x14ac:dyDescent="0.2">
      <c r="A24" s="248" t="s">
        <v>118</v>
      </c>
      <c r="B24" s="463"/>
      <c r="C24" s="462"/>
      <c r="D24" s="462">
        <f t="shared" si="0"/>
        <v>0</v>
      </c>
      <c r="E24" s="465"/>
      <c r="F24" s="468" t="e">
        <f t="shared" si="1"/>
        <v>#DIV/0!</v>
      </c>
      <c r="G24" s="463"/>
      <c r="H24" s="462"/>
      <c r="I24" s="462">
        <f>SUM(G24:H24)</f>
        <v>0</v>
      </c>
      <c r="J24" s="465"/>
      <c r="K24" s="472" t="e">
        <f t="shared" si="2"/>
        <v>#DIV/0!</v>
      </c>
      <c r="L24" s="463"/>
      <c r="M24" s="462"/>
      <c r="N24" s="462">
        <f t="shared" si="3"/>
        <v>0</v>
      </c>
      <c r="O24" s="465"/>
      <c r="P24" s="249" t="e">
        <f t="shared" si="4"/>
        <v>#DIV/0!</v>
      </c>
    </row>
    <row r="25" spans="1:16" ht="14.1" customHeight="1" x14ac:dyDescent="0.2">
      <c r="A25" s="239" t="s">
        <v>82</v>
      </c>
      <c r="B25" s="463"/>
      <c r="C25" s="462"/>
      <c r="D25" s="462">
        <f t="shared" si="0"/>
        <v>0</v>
      </c>
      <c r="E25" s="465"/>
      <c r="F25" s="469" t="e">
        <f t="shared" si="1"/>
        <v>#DIV/0!</v>
      </c>
      <c r="G25" s="463"/>
      <c r="H25" s="462"/>
      <c r="I25" s="462">
        <f t="shared" ref="I25:I32" si="5">SUM(G25:H25)</f>
        <v>0</v>
      </c>
      <c r="J25" s="465"/>
      <c r="K25" s="473" t="e">
        <f t="shared" si="2"/>
        <v>#DIV/0!</v>
      </c>
      <c r="L25" s="463"/>
      <c r="M25" s="462"/>
      <c r="N25" s="462">
        <f t="shared" si="3"/>
        <v>0</v>
      </c>
      <c r="O25" s="465"/>
      <c r="P25" s="242" t="e">
        <f t="shared" si="4"/>
        <v>#DIV/0!</v>
      </c>
    </row>
    <row r="26" spans="1:16" ht="14.1" customHeight="1" x14ac:dyDescent="0.2">
      <c r="A26" s="248" t="s">
        <v>119</v>
      </c>
      <c r="B26" s="463"/>
      <c r="C26" s="462"/>
      <c r="D26" s="462">
        <f t="shared" si="0"/>
        <v>0</v>
      </c>
      <c r="E26" s="465"/>
      <c r="F26" s="468" t="e">
        <f t="shared" si="1"/>
        <v>#DIV/0!</v>
      </c>
      <c r="G26" s="463"/>
      <c r="H26" s="462"/>
      <c r="I26" s="462">
        <f t="shared" si="5"/>
        <v>0</v>
      </c>
      <c r="J26" s="465"/>
      <c r="K26" s="472" t="e">
        <f t="shared" si="2"/>
        <v>#DIV/0!</v>
      </c>
      <c r="L26" s="463"/>
      <c r="M26" s="462"/>
      <c r="N26" s="462">
        <f t="shared" si="3"/>
        <v>0</v>
      </c>
      <c r="O26" s="465"/>
      <c r="P26" s="249" t="e">
        <f t="shared" si="4"/>
        <v>#DIV/0!</v>
      </c>
    </row>
    <row r="27" spans="1:16" ht="14.1" customHeight="1" x14ac:dyDescent="0.2">
      <c r="A27" s="239" t="s">
        <v>120</v>
      </c>
      <c r="B27" s="463"/>
      <c r="C27" s="462"/>
      <c r="D27" s="462">
        <f t="shared" si="0"/>
        <v>0</v>
      </c>
      <c r="E27" s="465"/>
      <c r="F27" s="469" t="e">
        <f t="shared" si="1"/>
        <v>#DIV/0!</v>
      </c>
      <c r="G27" s="463"/>
      <c r="H27" s="462"/>
      <c r="I27" s="462">
        <f t="shared" si="5"/>
        <v>0</v>
      </c>
      <c r="J27" s="465"/>
      <c r="K27" s="473" t="e">
        <f t="shared" si="2"/>
        <v>#DIV/0!</v>
      </c>
      <c r="L27" s="463"/>
      <c r="M27" s="462"/>
      <c r="N27" s="462">
        <f t="shared" si="3"/>
        <v>0</v>
      </c>
      <c r="O27" s="465"/>
      <c r="P27" s="242" t="e">
        <f t="shared" si="4"/>
        <v>#DIV/0!</v>
      </c>
    </row>
    <row r="28" spans="1:16" ht="14.1" customHeight="1" x14ac:dyDescent="0.2">
      <c r="A28" s="248" t="s">
        <v>121</v>
      </c>
      <c r="B28" s="463"/>
      <c r="C28" s="462"/>
      <c r="D28" s="462">
        <f t="shared" si="0"/>
        <v>0</v>
      </c>
      <c r="E28" s="465"/>
      <c r="F28" s="468" t="e">
        <f t="shared" si="1"/>
        <v>#DIV/0!</v>
      </c>
      <c r="G28" s="463"/>
      <c r="H28" s="462"/>
      <c r="I28" s="462">
        <f t="shared" si="5"/>
        <v>0</v>
      </c>
      <c r="J28" s="465"/>
      <c r="K28" s="472" t="e">
        <f t="shared" si="2"/>
        <v>#DIV/0!</v>
      </c>
      <c r="L28" s="463"/>
      <c r="M28" s="462"/>
      <c r="N28" s="462">
        <f t="shared" si="3"/>
        <v>0</v>
      </c>
      <c r="O28" s="465"/>
      <c r="P28" s="249" t="e">
        <f t="shared" si="4"/>
        <v>#DIV/0!</v>
      </c>
    </row>
    <row r="29" spans="1:16" ht="14.1" customHeight="1" x14ac:dyDescent="0.2">
      <c r="A29" s="239" t="s">
        <v>122</v>
      </c>
      <c r="B29" s="463"/>
      <c r="C29" s="462"/>
      <c r="D29" s="462">
        <f t="shared" si="0"/>
        <v>0</v>
      </c>
      <c r="E29" s="465"/>
      <c r="F29" s="469" t="e">
        <f t="shared" si="1"/>
        <v>#DIV/0!</v>
      </c>
      <c r="G29" s="463"/>
      <c r="H29" s="462"/>
      <c r="I29" s="462">
        <f t="shared" si="5"/>
        <v>0</v>
      </c>
      <c r="J29" s="465"/>
      <c r="K29" s="473" t="e">
        <f t="shared" si="2"/>
        <v>#DIV/0!</v>
      </c>
      <c r="L29" s="463"/>
      <c r="M29" s="462"/>
      <c r="N29" s="462">
        <f t="shared" si="3"/>
        <v>0</v>
      </c>
      <c r="O29" s="465"/>
      <c r="P29" s="242" t="e">
        <f t="shared" si="4"/>
        <v>#DIV/0!</v>
      </c>
    </row>
    <row r="30" spans="1:16" ht="14.1" customHeight="1" x14ac:dyDescent="0.2">
      <c r="A30" s="248" t="s">
        <v>123</v>
      </c>
      <c r="B30" s="463"/>
      <c r="C30" s="462"/>
      <c r="D30" s="462">
        <f>SUM(B30:C30)</f>
        <v>0</v>
      </c>
      <c r="E30" s="465"/>
      <c r="F30" s="468" t="e">
        <f t="shared" si="1"/>
        <v>#DIV/0!</v>
      </c>
      <c r="G30" s="463"/>
      <c r="H30" s="462"/>
      <c r="I30" s="462">
        <f>SUM(G30:H30)</f>
        <v>0</v>
      </c>
      <c r="J30" s="465"/>
      <c r="K30" s="472" t="e">
        <f t="shared" si="2"/>
        <v>#DIV/0!</v>
      </c>
      <c r="L30" s="463"/>
      <c r="M30" s="462"/>
      <c r="N30" s="462">
        <f>SUM(L30:M30)</f>
        <v>0</v>
      </c>
      <c r="O30" s="465"/>
      <c r="P30" s="249" t="e">
        <f t="shared" si="4"/>
        <v>#DIV/0!</v>
      </c>
    </row>
    <row r="31" spans="1:16" ht="14.1" customHeight="1" x14ac:dyDescent="0.2">
      <c r="A31" s="239" t="s">
        <v>124</v>
      </c>
      <c r="B31" s="463"/>
      <c r="C31" s="462"/>
      <c r="D31" s="462">
        <f>SUM(B31:C31)</f>
        <v>0</v>
      </c>
      <c r="E31" s="465"/>
      <c r="F31" s="469" t="e">
        <f t="shared" si="1"/>
        <v>#DIV/0!</v>
      </c>
      <c r="G31" s="463"/>
      <c r="H31" s="462"/>
      <c r="I31" s="462">
        <f t="shared" si="5"/>
        <v>0</v>
      </c>
      <c r="J31" s="465"/>
      <c r="K31" s="473" t="e">
        <f t="shared" si="2"/>
        <v>#DIV/0!</v>
      </c>
      <c r="L31" s="463"/>
      <c r="M31" s="462"/>
      <c r="N31" s="462">
        <f>SUM(L31:M31)</f>
        <v>0</v>
      </c>
      <c r="O31" s="465"/>
      <c r="P31" s="242" t="e">
        <f t="shared" si="4"/>
        <v>#DIV/0!</v>
      </c>
    </row>
    <row r="32" spans="1:16" ht="14.1" customHeight="1" x14ac:dyDescent="0.2">
      <c r="A32" s="250" t="s">
        <v>125</v>
      </c>
      <c r="B32" s="463"/>
      <c r="C32" s="462"/>
      <c r="D32" s="462">
        <f t="shared" si="0"/>
        <v>0</v>
      </c>
      <c r="E32" s="465"/>
      <c r="F32" s="470" t="e">
        <f t="shared" si="1"/>
        <v>#DIV/0!</v>
      </c>
      <c r="G32" s="463"/>
      <c r="H32" s="462"/>
      <c r="I32" s="462">
        <f t="shared" si="5"/>
        <v>0</v>
      </c>
      <c r="J32" s="465"/>
      <c r="K32" s="470" t="e">
        <f t="shared" si="2"/>
        <v>#DIV/0!</v>
      </c>
      <c r="L32" s="463"/>
      <c r="M32" s="462"/>
      <c r="N32" s="462">
        <f t="shared" si="3"/>
        <v>0</v>
      </c>
      <c r="O32" s="465"/>
      <c r="P32" s="251" t="e">
        <f t="shared" si="4"/>
        <v>#DIV/0!</v>
      </c>
    </row>
    <row r="33" spans="1:16" ht="13.5" thickBot="1" x14ac:dyDescent="0.25">
      <c r="A33" s="245" t="s">
        <v>83</v>
      </c>
      <c r="B33" s="254">
        <f>SUM(B21:B32)</f>
        <v>219678</v>
      </c>
      <c r="C33" s="255">
        <f>SUM(C21:C32)</f>
        <v>218379</v>
      </c>
      <c r="D33" s="255">
        <f>SUM(D21:D32)</f>
        <v>438057</v>
      </c>
      <c r="E33" s="256">
        <f>SUM(E21:E32)</f>
        <v>395607</v>
      </c>
      <c r="F33" s="478">
        <f>(D33-E33)/E33</f>
        <v>0.10730346025222001</v>
      </c>
      <c r="G33" s="257">
        <f>SUM(G21:G32)</f>
        <v>2265668</v>
      </c>
      <c r="H33" s="255">
        <f>SUM(H21:H32)</f>
        <v>2306520</v>
      </c>
      <c r="I33" s="255">
        <f>SUM(I21:I32)</f>
        <v>4572188</v>
      </c>
      <c r="J33" s="258">
        <f>SUM(J21:J32)</f>
        <v>4352847</v>
      </c>
      <c r="K33" s="479">
        <f>(I33-J33)/J33</f>
        <v>5.039023884827562E-2</v>
      </c>
      <c r="L33" s="257">
        <f>SUM(L21:L32)</f>
        <v>2485346</v>
      </c>
      <c r="M33" s="255">
        <f>SUM(M21:M32)</f>
        <v>2524899</v>
      </c>
      <c r="N33" s="255">
        <f>SUM(N21:N32)</f>
        <v>5010245</v>
      </c>
      <c r="O33" s="256">
        <f>SUM(O21:O32)</f>
        <v>4748454</v>
      </c>
      <c r="P33" s="243">
        <f>(N33-O33)/O33</f>
        <v>5.5131838699500932E-2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February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opLeftCell="A7" zoomScaleNormal="100" workbookViewId="0">
      <selection activeCell="P34" sqref="P3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500" t="s">
        <v>103</v>
      </c>
      <c r="C1" s="501"/>
      <c r="D1" s="501"/>
      <c r="E1" s="501"/>
      <c r="F1" s="264"/>
      <c r="G1" s="500" t="s">
        <v>102</v>
      </c>
      <c r="H1" s="502"/>
      <c r="I1" s="502"/>
      <c r="J1" s="502"/>
      <c r="K1" s="502"/>
      <c r="L1" s="503"/>
    </row>
    <row r="2" spans="1:20" s="195" customFormat="1" ht="30.75" customHeight="1" thickBot="1" x14ac:dyDescent="0.25">
      <c r="A2" s="400">
        <v>41671</v>
      </c>
      <c r="B2" s="8" t="s">
        <v>88</v>
      </c>
      <c r="C2" s="8" t="s">
        <v>89</v>
      </c>
      <c r="D2" s="8" t="s">
        <v>90</v>
      </c>
      <c r="E2" s="8" t="s">
        <v>91</v>
      </c>
      <c r="F2" s="203"/>
      <c r="G2" s="184" t="s">
        <v>92</v>
      </c>
      <c r="H2" s="184" t="s">
        <v>211</v>
      </c>
      <c r="I2" s="105" t="s">
        <v>93</v>
      </c>
      <c r="J2" s="8" t="s">
        <v>94</v>
      </c>
      <c r="K2" s="184" t="s">
        <v>95</v>
      </c>
      <c r="L2" s="184" t="s">
        <v>142</v>
      </c>
      <c r="M2" s="184" t="s">
        <v>24</v>
      </c>
    </row>
    <row r="3" spans="1:20" ht="15" x14ac:dyDescent="0.25">
      <c r="A3" s="204" t="s">
        <v>9</v>
      </c>
      <c r="B3" s="426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59</v>
      </c>
      <c r="B4" s="252">
        <f>[4]Airborne!$DK$4</f>
        <v>0</v>
      </c>
      <c r="C4" s="165">
        <f>[4]DHL!$DK$4</f>
        <v>19</v>
      </c>
      <c r="D4" s="165">
        <f>[4]FedEx!$DK$4+[4]FedEx!$DK$15</f>
        <v>93</v>
      </c>
      <c r="E4" s="165">
        <f>[4]UPS!$DK$4</f>
        <v>85</v>
      </c>
      <c r="F4" s="196"/>
      <c r="G4" s="122">
        <f>[4]ATI_BAX!$DK$4</f>
        <v>0</v>
      </c>
      <c r="H4" s="122">
        <f>'[4]Suburban Air Freight'!$DK$15</f>
        <v>19</v>
      </c>
      <c r="I4" s="122">
        <f>[4]Bemidji!$DK$4</f>
        <v>220</v>
      </c>
      <c r="J4" s="122">
        <f>'[4]CSA Air'!$DK$4</f>
        <v>0</v>
      </c>
      <c r="K4" s="122">
        <f>'[4]Mountain Cargo'!$DK$4</f>
        <v>20</v>
      </c>
      <c r="L4" s="122">
        <f>'[4]Misc Cargo'!$DK$4</f>
        <v>20</v>
      </c>
      <c r="M4" s="208">
        <f>SUM(B4:L4)</f>
        <v>476</v>
      </c>
    </row>
    <row r="5" spans="1:20" x14ac:dyDescent="0.2">
      <c r="A5" s="55" t="s">
        <v>60</v>
      </c>
      <c r="B5" s="427">
        <f>[4]Airborne!$DK$5</f>
        <v>0</v>
      </c>
      <c r="C5" s="202">
        <f>[4]DHL!$DK$5</f>
        <v>19</v>
      </c>
      <c r="D5" s="202">
        <f>[4]FedEx!$DK$5</f>
        <v>93</v>
      </c>
      <c r="E5" s="202">
        <f>[4]UPS!$DK$5</f>
        <v>85</v>
      </c>
      <c r="F5" s="196"/>
      <c r="G5" s="124">
        <f>[4]ATI_BAX!$DK$5</f>
        <v>0</v>
      </c>
      <c r="H5" s="124">
        <f>'[4]Suburban Air Freight'!$DK$16</f>
        <v>19</v>
      </c>
      <c r="I5" s="124">
        <f>[4]Bemidji!$DK$5</f>
        <v>220</v>
      </c>
      <c r="J5" s="124">
        <f>'[4]CSA Air'!$DK$5</f>
        <v>0</v>
      </c>
      <c r="K5" s="124">
        <f>'[4]Mountain Cargo'!$DK$5</f>
        <v>20</v>
      </c>
      <c r="L5" s="124">
        <f>'[4]Misc Cargo'!$DK$5</f>
        <v>20</v>
      </c>
      <c r="M5" s="212">
        <f>SUM(B5:L5)</f>
        <v>476</v>
      </c>
    </row>
    <row r="6" spans="1:20" s="193" customFormat="1" x14ac:dyDescent="0.2">
      <c r="A6" s="209" t="s">
        <v>61</v>
      </c>
      <c r="B6" s="428">
        <f>SUM(B4:B5)</f>
        <v>0</v>
      </c>
      <c r="C6" s="210">
        <f>SUM(C4:C5)</f>
        <v>38</v>
      </c>
      <c r="D6" s="210">
        <f>SUM(D4:D5)</f>
        <v>186</v>
      </c>
      <c r="E6" s="210">
        <f>SUM(E4:E5)</f>
        <v>170</v>
      </c>
      <c r="F6" s="197"/>
      <c r="G6" s="192">
        <f t="shared" ref="G6:L6" si="0">SUM(G4:G5)</f>
        <v>0</v>
      </c>
      <c r="H6" s="192">
        <f t="shared" si="0"/>
        <v>38</v>
      </c>
      <c r="I6" s="192">
        <f t="shared" si="0"/>
        <v>440</v>
      </c>
      <c r="J6" s="192">
        <f t="shared" si="0"/>
        <v>0</v>
      </c>
      <c r="K6" s="192">
        <f t="shared" si="0"/>
        <v>40</v>
      </c>
      <c r="L6" s="192">
        <f t="shared" si="0"/>
        <v>40</v>
      </c>
      <c r="M6" s="211">
        <f>SUM(B6:L6)</f>
        <v>952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62</v>
      </c>
      <c r="B8" s="252">
        <f>[4]Airborne!$DK$8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'[4]Misc Cargo'!$DK$8</f>
        <v>0</v>
      </c>
      <c r="M8" s="208">
        <f>SUM(B8:L8)</f>
        <v>0</v>
      </c>
    </row>
    <row r="9" spans="1:20" ht="15" x14ac:dyDescent="0.25">
      <c r="A9" s="55" t="s">
        <v>63</v>
      </c>
      <c r="B9" s="427">
        <f>[4]Airborne!$DK$9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'[4]Misc Cargo'!$DK$9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64</v>
      </c>
      <c r="B10" s="428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9">
        <f>B6+B10</f>
        <v>0</v>
      </c>
      <c r="C12" s="214">
        <f>C6+C10</f>
        <v>38</v>
      </c>
      <c r="D12" s="214">
        <f>D6+D10</f>
        <v>186</v>
      </c>
      <c r="E12" s="214">
        <f>E6+E10</f>
        <v>170</v>
      </c>
      <c r="F12" s="215"/>
      <c r="G12" s="216">
        <f t="shared" ref="G12:L12" si="2">G6+G10</f>
        <v>0</v>
      </c>
      <c r="H12" s="216">
        <f t="shared" si="2"/>
        <v>38</v>
      </c>
      <c r="I12" s="216">
        <f t="shared" si="2"/>
        <v>440</v>
      </c>
      <c r="J12" s="216">
        <f t="shared" si="2"/>
        <v>0</v>
      </c>
      <c r="K12" s="216">
        <f t="shared" si="2"/>
        <v>40</v>
      </c>
      <c r="L12" s="216">
        <f t="shared" si="2"/>
        <v>40</v>
      </c>
      <c r="M12" s="217">
        <f>SUM(B12:L12)</f>
        <v>952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104</v>
      </c>
      <c r="B14" s="430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105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[4]Airborne!$DK$47</f>
        <v>0</v>
      </c>
      <c r="C16" s="165">
        <f>[4]DHL!$DK$47</f>
        <v>455722</v>
      </c>
      <c r="D16" s="165">
        <f>[4]FedEx!$DK$47</f>
        <v>5448946</v>
      </c>
      <c r="E16" s="165">
        <f>[4]UPS!$DK$47</f>
        <v>4751646</v>
      </c>
      <c r="F16" s="196"/>
      <c r="G16" s="122">
        <f>[4]ATI_BAX!$DK$47</f>
        <v>0</v>
      </c>
      <c r="H16" s="122">
        <f>'[4]Suburban Air Freight'!$DK$47</f>
        <v>15885</v>
      </c>
      <c r="I16" s="497" t="s">
        <v>96</v>
      </c>
      <c r="J16" s="122">
        <f>'[4]CSA Air'!$DK$47</f>
        <v>0</v>
      </c>
      <c r="K16" s="122">
        <f>'[4]Mountain Cargo'!$DK$47</f>
        <v>39023</v>
      </c>
      <c r="L16" s="122">
        <f>'[4]Misc Cargo'!$DK$47</f>
        <v>19803</v>
      </c>
      <c r="M16" s="208">
        <f>SUM(B16:H16)+SUM(J16:L16)</f>
        <v>10731025</v>
      </c>
    </row>
    <row r="17" spans="1:14" x14ac:dyDescent="0.2">
      <c r="A17" s="55" t="s">
        <v>41</v>
      </c>
      <c r="B17" s="252">
        <f>[4]Airborne!$DK$48</f>
        <v>0</v>
      </c>
      <c r="C17" s="165">
        <f>[4]DHL!$DK$48</f>
        <v>0</v>
      </c>
      <c r="D17" s="165">
        <f>[4]FedEx!$DK$48</f>
        <v>0</v>
      </c>
      <c r="E17" s="165">
        <f>[4]UPS!$DK$48</f>
        <v>33832</v>
      </c>
      <c r="F17" s="196"/>
      <c r="G17" s="122">
        <f>[4]ATI_BAX!$DK$48</f>
        <v>0</v>
      </c>
      <c r="H17" s="122">
        <f>'[4]Suburban Air Freight'!$DK$48</f>
        <v>0</v>
      </c>
      <c r="I17" s="498"/>
      <c r="J17" s="122">
        <f>'[4]CSA Air'!$DK$48</f>
        <v>0</v>
      </c>
      <c r="K17" s="122">
        <f>'[4]Mountain Cargo'!$DK$48</f>
        <v>0</v>
      </c>
      <c r="L17" s="122">
        <f>'[4]Misc Cargo'!$DK$48</f>
        <v>0</v>
      </c>
      <c r="M17" s="208">
        <f t="shared" ref="M17:M18" si="3">SUM(B17:H17)+SUM(J17:L17)</f>
        <v>33832</v>
      </c>
    </row>
    <row r="18" spans="1:14" ht="18" customHeight="1" x14ac:dyDescent="0.2">
      <c r="A18" s="223" t="s">
        <v>42</v>
      </c>
      <c r="B18" s="431">
        <f>SUM(B16:B17)</f>
        <v>0</v>
      </c>
      <c r="C18" s="308">
        <f>SUM(C16:C17)</f>
        <v>455722</v>
      </c>
      <c r="D18" s="308">
        <f>SUM(D16:D17)</f>
        <v>5448946</v>
      </c>
      <c r="E18" s="308">
        <f>SUM(E16:E17)</f>
        <v>4785478</v>
      </c>
      <c r="F18" s="201"/>
      <c r="G18" s="309">
        <f>SUM(G16:G17)</f>
        <v>0</v>
      </c>
      <c r="H18" s="309">
        <f>SUM(H16:H17)</f>
        <v>15885</v>
      </c>
      <c r="I18" s="498"/>
      <c r="J18" s="309">
        <f>SUM(J16:J17)</f>
        <v>0</v>
      </c>
      <c r="K18" s="309">
        <f>SUM(K16:K17)</f>
        <v>39023</v>
      </c>
      <c r="L18" s="309">
        <f>SUM(L16:L17)</f>
        <v>19803</v>
      </c>
      <c r="M18" s="224">
        <f t="shared" si="3"/>
        <v>10764857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8"/>
      <c r="J19" s="122"/>
      <c r="K19" s="122"/>
      <c r="L19" s="122"/>
      <c r="M19" s="208"/>
    </row>
    <row r="20" spans="1:14" x14ac:dyDescent="0.2">
      <c r="A20" s="225" t="s">
        <v>97</v>
      </c>
      <c r="B20" s="252"/>
      <c r="C20" s="165"/>
      <c r="D20" s="165"/>
      <c r="E20" s="165"/>
      <c r="F20" s="196"/>
      <c r="G20" s="122"/>
      <c r="H20" s="122"/>
      <c r="I20" s="498"/>
      <c r="J20" s="122"/>
      <c r="K20" s="122"/>
      <c r="L20" s="122"/>
      <c r="M20" s="208"/>
    </row>
    <row r="21" spans="1:14" x14ac:dyDescent="0.2">
      <c r="A21" s="55" t="s">
        <v>65</v>
      </c>
      <c r="B21" s="252">
        <f>[4]Airborne!$DK$52</f>
        <v>0</v>
      </c>
      <c r="C21" s="165">
        <f>[4]DHL!$DK$52</f>
        <v>331232</v>
      </c>
      <c r="D21" s="165">
        <f>[4]FedEx!$DK$52</f>
        <v>8224706</v>
      </c>
      <c r="E21" s="165">
        <f>[4]UPS!$DK$52</f>
        <v>4477449</v>
      </c>
      <c r="F21" s="196"/>
      <c r="G21" s="122">
        <f>[4]ATI_BAX!$DK$52</f>
        <v>0</v>
      </c>
      <c r="H21" s="122">
        <f>'[4]Suburban Air Freight'!$DK$52</f>
        <v>40087</v>
      </c>
      <c r="I21" s="498"/>
      <c r="J21" s="122">
        <f>'[4]CSA Air'!$DK$52</f>
        <v>0</v>
      </c>
      <c r="K21" s="122">
        <f>'[4]Mountain Cargo'!$DK$52</f>
        <v>114742</v>
      </c>
      <c r="L21" s="122">
        <f>'[4]Misc Cargo'!$DK$52</f>
        <v>22894</v>
      </c>
      <c r="M21" s="208">
        <f t="shared" ref="M21:M23" si="4">SUM(B21:H21)+SUM(J21:L21)</f>
        <v>13211110</v>
      </c>
    </row>
    <row r="22" spans="1:14" x14ac:dyDescent="0.2">
      <c r="A22" s="55" t="s">
        <v>66</v>
      </c>
      <c r="B22" s="252">
        <f>[4]Airborne!$DK$53</f>
        <v>0</v>
      </c>
      <c r="C22" s="165">
        <f>[4]DHL!$DK$53</f>
        <v>0</v>
      </c>
      <c r="D22" s="165">
        <f>[4]FedEx!$DK$53</f>
        <v>0</v>
      </c>
      <c r="E22" s="165">
        <f>[4]UPS!$DK$53</f>
        <v>92641</v>
      </c>
      <c r="F22" s="196"/>
      <c r="G22" s="122">
        <f>[4]ATI_BAX!$DK$53</f>
        <v>0</v>
      </c>
      <c r="H22" s="122">
        <f>'[4]Suburban Air Freight'!$DK$53</f>
        <v>0</v>
      </c>
      <c r="I22" s="498"/>
      <c r="J22" s="122">
        <f>'[4]CSA Air'!$DK$53</f>
        <v>0</v>
      </c>
      <c r="K22" s="122">
        <f>'[4]Mountain Cargo'!$DK$53</f>
        <v>0</v>
      </c>
      <c r="L22" s="122">
        <f>'[4]Misc Cargo'!$DK$53</f>
        <v>0</v>
      </c>
      <c r="M22" s="208">
        <f t="shared" si="4"/>
        <v>92641</v>
      </c>
    </row>
    <row r="23" spans="1:14" ht="18" customHeight="1" x14ac:dyDescent="0.2">
      <c r="A23" s="223" t="s">
        <v>44</v>
      </c>
      <c r="B23" s="431">
        <f>SUM(B21:B22)</f>
        <v>0</v>
      </c>
      <c r="C23" s="308">
        <f>SUM(C21:C22)</f>
        <v>331232</v>
      </c>
      <c r="D23" s="308">
        <f>SUM(D21:D22)</f>
        <v>8224706</v>
      </c>
      <c r="E23" s="308">
        <f>SUM(E21:E22)</f>
        <v>4570090</v>
      </c>
      <c r="F23" s="201"/>
      <c r="G23" s="309">
        <f>SUM(G21:G22)</f>
        <v>0</v>
      </c>
      <c r="H23" s="309">
        <f>SUM(H21:H22)</f>
        <v>40087</v>
      </c>
      <c r="I23" s="498"/>
      <c r="J23" s="309">
        <f>SUM(J21:J22)</f>
        <v>0</v>
      </c>
      <c r="K23" s="309">
        <f>SUM(K21:K22)</f>
        <v>114742</v>
      </c>
      <c r="L23" s="309">
        <f>SUM(L21:L22)</f>
        <v>22894</v>
      </c>
      <c r="M23" s="224">
        <f t="shared" si="4"/>
        <v>13303751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8"/>
      <c r="J24" s="122"/>
      <c r="K24" s="122"/>
      <c r="L24" s="122"/>
      <c r="M24" s="208"/>
    </row>
    <row r="25" spans="1:14" x14ac:dyDescent="0.2">
      <c r="A25" s="225" t="s">
        <v>106</v>
      </c>
      <c r="B25" s="252"/>
      <c r="C25" s="165"/>
      <c r="D25" s="165"/>
      <c r="E25" s="165"/>
      <c r="F25" s="196"/>
      <c r="G25" s="122"/>
      <c r="H25" s="122"/>
      <c r="I25" s="498"/>
      <c r="J25" s="122"/>
      <c r="K25" s="122"/>
      <c r="L25" s="122"/>
      <c r="M25" s="208"/>
    </row>
    <row r="26" spans="1:14" x14ac:dyDescent="0.2">
      <c r="A26" s="55" t="s">
        <v>65</v>
      </c>
      <c r="B26" s="252">
        <f>[4]Airborne!$DK$57</f>
        <v>0</v>
      </c>
      <c r="C26" s="165">
        <f>[4]DHL!$DK$57</f>
        <v>0</v>
      </c>
      <c r="D26" s="165">
        <f>[4]FedEx!$DK$57</f>
        <v>0</v>
      </c>
      <c r="E26" s="165">
        <f>[4]UPS!$DK$57</f>
        <v>0</v>
      </c>
      <c r="F26" s="196"/>
      <c r="G26" s="122">
        <f>[4]ATI_BAX!$DK$57</f>
        <v>0</v>
      </c>
      <c r="H26" s="122">
        <f>'[4]Suburban Air Freight'!$DK$57</f>
        <v>0</v>
      </c>
      <c r="I26" s="498"/>
      <c r="J26" s="122">
        <f>'[4]CSA Air'!$DK$57</f>
        <v>0</v>
      </c>
      <c r="K26" s="122">
        <f>'[4]Mountain Cargo'!$DK$57</f>
        <v>0</v>
      </c>
      <c r="L26" s="122">
        <f>'[4]Misc Cargo'!$DK$57</f>
        <v>0</v>
      </c>
      <c r="M26" s="208">
        <f t="shared" ref="M26:M28" si="5">SUM(B26:H26)+SUM(J26:L26)</f>
        <v>0</v>
      </c>
    </row>
    <row r="27" spans="1:14" x14ac:dyDescent="0.2">
      <c r="A27" s="55" t="s">
        <v>66</v>
      </c>
      <c r="B27" s="252">
        <f>[4]Airborne!$DK$58</f>
        <v>0</v>
      </c>
      <c r="C27" s="165">
        <f>[4]DHL!$DK$58</f>
        <v>0</v>
      </c>
      <c r="D27" s="165">
        <f>[4]FedEx!$DK$58</f>
        <v>0</v>
      </c>
      <c r="E27" s="165">
        <f>[4]UPS!$DK$58</f>
        <v>0</v>
      </c>
      <c r="F27" s="196"/>
      <c r="G27" s="122">
        <f>[4]ATI_BAX!$DK$58</f>
        <v>0</v>
      </c>
      <c r="H27" s="122">
        <f>'[4]Suburban Air Freight'!$DK$58</f>
        <v>0</v>
      </c>
      <c r="I27" s="498"/>
      <c r="J27" s="122">
        <f>'[4]CSA Air'!$DK$58</f>
        <v>0</v>
      </c>
      <c r="K27" s="122">
        <f>'[4]Mountain Cargo'!$DK$58</f>
        <v>0</v>
      </c>
      <c r="L27" s="122">
        <f>'[4]Misc Cargo'!$DK$58</f>
        <v>0</v>
      </c>
      <c r="M27" s="208">
        <f t="shared" si="5"/>
        <v>0</v>
      </c>
    </row>
    <row r="28" spans="1:14" ht="18" customHeight="1" x14ac:dyDescent="0.2">
      <c r="A28" s="223" t="s">
        <v>46</v>
      </c>
      <c r="B28" s="431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8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 t="shared" si="5"/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8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8"/>
      <c r="J30" s="122"/>
      <c r="K30" s="122"/>
      <c r="L30" s="122"/>
      <c r="M30" s="208"/>
    </row>
    <row r="31" spans="1:14" x14ac:dyDescent="0.2">
      <c r="A31" s="55" t="s">
        <v>98</v>
      </c>
      <c r="B31" s="252">
        <f t="shared" ref="B31:E33" si="6">B26+B21+B16</f>
        <v>0</v>
      </c>
      <c r="C31" s="165">
        <f t="shared" si="6"/>
        <v>786954</v>
      </c>
      <c r="D31" s="165">
        <f t="shared" si="6"/>
        <v>13673652</v>
      </c>
      <c r="E31" s="165">
        <f t="shared" si="6"/>
        <v>9229095</v>
      </c>
      <c r="F31" s="196"/>
      <c r="G31" s="122">
        <f t="shared" ref="G31:H33" si="7">G26+G21+G16</f>
        <v>0</v>
      </c>
      <c r="H31" s="122">
        <f t="shared" si="7"/>
        <v>55972</v>
      </c>
      <c r="I31" s="498"/>
      <c r="J31" s="122">
        <f t="shared" ref="J31:L33" si="8">J26+J21+J16</f>
        <v>0</v>
      </c>
      <c r="K31" s="122">
        <f t="shared" si="8"/>
        <v>153765</v>
      </c>
      <c r="L31" s="122">
        <f>L26+L21+L16</f>
        <v>42697</v>
      </c>
      <c r="M31" s="208">
        <f t="shared" ref="M31:M33" si="9">SUM(B31:H31)+SUM(J31:L31)</f>
        <v>23942135</v>
      </c>
    </row>
    <row r="32" spans="1:14" x14ac:dyDescent="0.2">
      <c r="A32" s="55" t="s">
        <v>66</v>
      </c>
      <c r="B32" s="252">
        <f t="shared" si="6"/>
        <v>0</v>
      </c>
      <c r="C32" s="165">
        <f t="shared" si="6"/>
        <v>0</v>
      </c>
      <c r="D32" s="165">
        <f t="shared" si="6"/>
        <v>0</v>
      </c>
      <c r="E32" s="165">
        <f t="shared" si="6"/>
        <v>126473</v>
      </c>
      <c r="F32" s="196"/>
      <c r="G32" s="122">
        <f t="shared" si="7"/>
        <v>0</v>
      </c>
      <c r="H32" s="122">
        <f t="shared" si="7"/>
        <v>0</v>
      </c>
      <c r="I32" s="499"/>
      <c r="J32" s="122">
        <f t="shared" si="8"/>
        <v>0</v>
      </c>
      <c r="K32" s="122">
        <f t="shared" si="8"/>
        <v>0</v>
      </c>
      <c r="L32" s="122">
        <f>L27+L22+L17</f>
        <v>0</v>
      </c>
      <c r="M32" s="212">
        <f t="shared" si="9"/>
        <v>126473</v>
      </c>
    </row>
    <row r="33" spans="1:13" ht="18" customHeight="1" thickBot="1" x14ac:dyDescent="0.25">
      <c r="A33" s="213" t="s">
        <v>49</v>
      </c>
      <c r="B33" s="429">
        <f t="shared" si="6"/>
        <v>0</v>
      </c>
      <c r="C33" s="214">
        <f t="shared" si="6"/>
        <v>786954</v>
      </c>
      <c r="D33" s="214">
        <f t="shared" si="6"/>
        <v>13673652</v>
      </c>
      <c r="E33" s="214">
        <f t="shared" si="6"/>
        <v>9355568</v>
      </c>
      <c r="F33" s="227"/>
      <c r="G33" s="216">
        <f t="shared" si="7"/>
        <v>0</v>
      </c>
      <c r="H33" s="216">
        <f t="shared" si="7"/>
        <v>55972</v>
      </c>
      <c r="I33" s="310">
        <f>I28+I23+I18</f>
        <v>0</v>
      </c>
      <c r="J33" s="216">
        <f t="shared" si="8"/>
        <v>0</v>
      </c>
      <c r="K33" s="216">
        <f t="shared" si="8"/>
        <v>153765</v>
      </c>
      <c r="L33" s="216">
        <f t="shared" si="8"/>
        <v>42697</v>
      </c>
      <c r="M33" s="217">
        <f t="shared" si="9"/>
        <v>24068608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February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G15" sqref="G1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00">
        <v>41671</v>
      </c>
      <c r="B2" s="80" t="s">
        <v>69</v>
      </c>
      <c r="C2" s="80" t="s">
        <v>70</v>
      </c>
      <c r="D2" s="80" t="s">
        <v>71</v>
      </c>
      <c r="E2" s="322" t="s">
        <v>81</v>
      </c>
      <c r="F2" s="81" t="s">
        <v>198</v>
      </c>
      <c r="G2" s="81" t="s">
        <v>191</v>
      </c>
      <c r="H2" s="82" t="s">
        <v>72</v>
      </c>
      <c r="I2" s="83" t="s">
        <v>195</v>
      </c>
      <c r="J2" s="83" t="s">
        <v>189</v>
      </c>
      <c r="K2" s="93" t="s">
        <v>2</v>
      </c>
    </row>
    <row r="3" spans="1:18" ht="20.25" customHeight="1" x14ac:dyDescent="0.2">
      <c r="A3" s="90" t="s">
        <v>73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74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75</v>
      </c>
      <c r="B5" s="173">
        <f>'Major Airline Stats'!H28</f>
        <v>4271077</v>
      </c>
      <c r="C5" s="122">
        <f>'Regional Major'!L25</f>
        <v>426</v>
      </c>
      <c r="D5" s="122">
        <f>Cargo!M16</f>
        <v>10731025</v>
      </c>
      <c r="E5" s="122">
        <f>SUM(B5:D5)</f>
        <v>15002528</v>
      </c>
      <c r="F5" s="122">
        <f>E5*0.00045359237</f>
        <v>6805.0322315113599</v>
      </c>
      <c r="G5" s="150">
        <f>'[1]Cargo Summary'!F5</f>
        <v>7474.7495724147402</v>
      </c>
      <c r="H5" s="101">
        <f>(F5-G5)/G5</f>
        <v>-8.9597294787633411E-2</v>
      </c>
      <c r="I5" s="150">
        <f>+F5+'[2]Cargo Summary'!I5</f>
        <v>13757.42709859595</v>
      </c>
      <c r="J5" s="150">
        <f>'[1]Cargo Summary'!I5</f>
        <v>15348.716675883359</v>
      </c>
      <c r="K5" s="88">
        <f>(I5-J5)/J5</f>
        <v>-0.10367574116393194</v>
      </c>
      <c r="M5" s="37"/>
    </row>
    <row r="6" spans="1:18" x14ac:dyDescent="0.2">
      <c r="A6" s="65" t="s">
        <v>18</v>
      </c>
      <c r="B6" s="173">
        <f>'Major Airline Stats'!H29</f>
        <v>1243651</v>
      </c>
      <c r="C6" s="122">
        <f>'Regional Major'!L26</f>
        <v>0</v>
      </c>
      <c r="D6" s="122">
        <f>Cargo!M17</f>
        <v>33832</v>
      </c>
      <c r="E6" s="122">
        <f>SUM(B6:D6)</f>
        <v>1277483</v>
      </c>
      <c r="F6" s="122">
        <f>E6*0.00045359237</f>
        <v>579.45654160470997</v>
      </c>
      <c r="G6" s="150">
        <f>'[1]Cargo Summary'!F6</f>
        <v>425.16029306365999</v>
      </c>
      <c r="H6" s="39">
        <f>(F6-G6)/G6</f>
        <v>0.36291312020040151</v>
      </c>
      <c r="I6" s="150">
        <f>+F6+'[2]Cargo Summary'!I6</f>
        <v>1295.1808494124498</v>
      </c>
      <c r="J6" s="150">
        <f>'[1]Cargo Summary'!I6</f>
        <v>939.47643441266996</v>
      </c>
      <c r="K6" s="88">
        <f>(I6-J6)/J6</f>
        <v>0.3786198375717158</v>
      </c>
      <c r="M6" s="37"/>
    </row>
    <row r="7" spans="1:18" ht="18" customHeight="1" thickBot="1" x14ac:dyDescent="0.25">
      <c r="A7" s="76" t="s">
        <v>78</v>
      </c>
      <c r="B7" s="175">
        <f>SUM(B5:B6)</f>
        <v>5514728</v>
      </c>
      <c r="C7" s="137">
        <f t="shared" ref="C7:J7" si="0">SUM(C5:C6)</f>
        <v>426</v>
      </c>
      <c r="D7" s="137">
        <f t="shared" si="0"/>
        <v>10764857</v>
      </c>
      <c r="E7" s="137">
        <f t="shared" si="0"/>
        <v>16280011</v>
      </c>
      <c r="F7" s="137">
        <f t="shared" si="0"/>
        <v>7384.4887731160698</v>
      </c>
      <c r="G7" s="137">
        <f t="shared" si="0"/>
        <v>7899.9098654784002</v>
      </c>
      <c r="H7" s="46">
        <f>(F7-G7)/G7</f>
        <v>-6.5243920644544942E-2</v>
      </c>
      <c r="I7" s="137">
        <f t="shared" si="0"/>
        <v>15052.607948008401</v>
      </c>
      <c r="J7" s="137">
        <f t="shared" si="0"/>
        <v>16288.19311029603</v>
      </c>
      <c r="K7" s="324">
        <f>(I7-J7)/J7</f>
        <v>-7.5857718159455981E-2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76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75</v>
      </c>
      <c r="B10" s="173">
        <f>'Major Airline Stats'!H33</f>
        <v>2712398</v>
      </c>
      <c r="C10" s="122">
        <f>'Regional Major'!L30</f>
        <v>5</v>
      </c>
      <c r="D10" s="122">
        <f>Cargo!M21</f>
        <v>13211110</v>
      </c>
      <c r="E10" s="122">
        <f>SUM(B10:D10)</f>
        <v>15923513</v>
      </c>
      <c r="F10" s="122">
        <f>E10*0.00045359237</f>
        <v>7222.7840003958099</v>
      </c>
      <c r="G10" s="150">
        <f>'[1]Cargo Summary'!F10</f>
        <v>7020.3665909138299</v>
      </c>
      <c r="H10" s="39">
        <f>(F10-G10)/G10</f>
        <v>2.8832883135185634E-2</v>
      </c>
      <c r="I10" s="150">
        <f>+F10+'[2]Cargo Summary'!I10</f>
        <v>15453.72512390784</v>
      </c>
      <c r="J10" s="150">
        <f>'[1]Cargo Summary'!I10</f>
        <v>14453.587513893221</v>
      </c>
      <c r="K10" s="88">
        <f>(I10-J10)/J10</f>
        <v>6.9196495960138396E-2</v>
      </c>
      <c r="M10" s="37"/>
    </row>
    <row r="11" spans="1:18" x14ac:dyDescent="0.2">
      <c r="A11" s="65" t="s">
        <v>18</v>
      </c>
      <c r="B11" s="173">
        <f>'Major Airline Stats'!H34</f>
        <v>1751758</v>
      </c>
      <c r="C11" s="122">
        <f>'Regional Major'!L31</f>
        <v>0</v>
      </c>
      <c r="D11" s="122">
        <f>Cargo!M22</f>
        <v>92641</v>
      </c>
      <c r="E11" s="122">
        <f>SUM(B11:D11)</f>
        <v>1844399</v>
      </c>
      <c r="F11" s="122">
        <f>E11*0.00045359237</f>
        <v>836.60531363562995</v>
      </c>
      <c r="G11" s="150">
        <f>'[1]Cargo Summary'!F11</f>
        <v>925.37742277595999</v>
      </c>
      <c r="H11" s="37">
        <f>(F11-G11)/G11</f>
        <v>-9.5930705629309859E-2</v>
      </c>
      <c r="I11" s="150">
        <f>+F11+'[2]Cargo Summary'!I11</f>
        <v>1246.20330607696</v>
      </c>
      <c r="J11" s="150">
        <f>'[1]Cargo Summary'!I11</f>
        <v>1964.05768365422</v>
      </c>
      <c r="K11" s="88">
        <f>(I11-J11)/J11</f>
        <v>-0.36549556744263173</v>
      </c>
      <c r="M11" s="37"/>
    </row>
    <row r="12" spans="1:18" ht="18" customHeight="1" thickBot="1" x14ac:dyDescent="0.25">
      <c r="A12" s="76" t="s">
        <v>79</v>
      </c>
      <c r="B12" s="175">
        <f>SUM(B10:B11)</f>
        <v>4464156</v>
      </c>
      <c r="C12" s="137">
        <f t="shared" ref="C12:J12" si="1">SUM(C10:C11)</f>
        <v>5</v>
      </c>
      <c r="D12" s="137">
        <f t="shared" si="1"/>
        <v>13303751</v>
      </c>
      <c r="E12" s="137">
        <f t="shared" si="1"/>
        <v>17767912</v>
      </c>
      <c r="F12" s="137">
        <f t="shared" si="1"/>
        <v>8059.3893140314394</v>
      </c>
      <c r="G12" s="137">
        <f t="shared" si="1"/>
        <v>7945.7440136897894</v>
      </c>
      <c r="H12" s="46">
        <f>(F12-G12)/G12</f>
        <v>1.4302663179917394E-2</v>
      </c>
      <c r="I12" s="137">
        <f t="shared" si="1"/>
        <v>16699.9284299848</v>
      </c>
      <c r="J12" s="137">
        <f t="shared" si="1"/>
        <v>16417.645197547441</v>
      </c>
      <c r="K12" s="324">
        <f>(I12-J12)/J12</f>
        <v>1.7193892853740587E-2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77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75</v>
      </c>
      <c r="B15" s="173">
        <f>'Major Airline Stats'!H38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2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Stats'!H39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80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75</v>
      </c>
      <c r="B20" s="173">
        <f t="shared" ref="B20:D21" si="3">B15+B10+B5</f>
        <v>6983475</v>
      </c>
      <c r="C20" s="122">
        <f t="shared" si="3"/>
        <v>431</v>
      </c>
      <c r="D20" s="122">
        <f t="shared" si="3"/>
        <v>23942135</v>
      </c>
      <c r="E20" s="122">
        <f>SUM(B20:D20)</f>
        <v>30926041</v>
      </c>
      <c r="F20" s="122">
        <f>E20*0.00045359237</f>
        <v>14027.816231907169</v>
      </c>
      <c r="G20" s="150">
        <f>'[1]Cargo Summary'!F20</f>
        <v>14495.11616332857</v>
      </c>
      <c r="H20" s="39">
        <f>(F20-G20)/G20</f>
        <v>-3.2238439910100954E-2</v>
      </c>
      <c r="I20" s="150">
        <f>+I5+I10+I15</f>
        <v>29211.152222503792</v>
      </c>
      <c r="J20" s="150">
        <f>+J5+J10+J15</f>
        <v>29802.30418977658</v>
      </c>
      <c r="K20" s="88">
        <f>(I20-J20)/J20</f>
        <v>-1.9835780599661745E-2</v>
      </c>
      <c r="M20" s="37"/>
    </row>
    <row r="21" spans="1:13" x14ac:dyDescent="0.2">
      <c r="A21" s="65" t="s">
        <v>18</v>
      </c>
      <c r="B21" s="173">
        <f t="shared" si="3"/>
        <v>2995409</v>
      </c>
      <c r="C21" s="124">
        <f t="shared" si="3"/>
        <v>0</v>
      </c>
      <c r="D21" s="124">
        <f t="shared" si="3"/>
        <v>126473</v>
      </c>
      <c r="E21" s="122">
        <f>SUM(B21:D21)</f>
        <v>3121882</v>
      </c>
      <c r="F21" s="122">
        <f>E21*0.00045359237</f>
        <v>1416.06185524034</v>
      </c>
      <c r="G21" s="150">
        <f>'[1]Cargo Summary'!F21</f>
        <v>1350.53771583962</v>
      </c>
      <c r="H21" s="39">
        <f>(F21-G21)/G21</f>
        <v>4.8517074815629384E-2</v>
      </c>
      <c r="I21" s="150">
        <f>+I6+I11+I16</f>
        <v>2541.3841554894097</v>
      </c>
      <c r="J21" s="150">
        <f>+J6+J11+J16</f>
        <v>2903.5341180668902</v>
      </c>
      <c r="K21" s="88">
        <f>(I21-J21)/J21</f>
        <v>-0.12472729709771484</v>
      </c>
      <c r="M21" s="37"/>
    </row>
    <row r="22" spans="1:13" ht="18" customHeight="1" thickBot="1" x14ac:dyDescent="0.25">
      <c r="A22" s="91" t="s">
        <v>68</v>
      </c>
      <c r="B22" s="176">
        <f>SUM(B20:B21)</f>
        <v>9978884</v>
      </c>
      <c r="C22" s="177">
        <f t="shared" ref="C22:J22" si="4">SUM(C20:C21)</f>
        <v>431</v>
      </c>
      <c r="D22" s="177">
        <f t="shared" si="4"/>
        <v>24068608</v>
      </c>
      <c r="E22" s="177">
        <f t="shared" si="4"/>
        <v>34047923</v>
      </c>
      <c r="F22" s="177">
        <f t="shared" si="4"/>
        <v>15443.878087147508</v>
      </c>
      <c r="G22" s="177">
        <f t="shared" si="4"/>
        <v>15845.653879168191</v>
      </c>
      <c r="H22" s="330">
        <f>(F22-G22)/G22</f>
        <v>-2.5355582993573079E-2</v>
      </c>
      <c r="I22" s="177">
        <f t="shared" si="4"/>
        <v>31752.536377993201</v>
      </c>
      <c r="J22" s="177">
        <f t="shared" si="4"/>
        <v>32705.838307843471</v>
      </c>
      <c r="K22" s="331">
        <f>(I22-J22)/J22</f>
        <v>-2.9147760130082034E-2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February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zoomScaleSheetLayoutView="100" workbookViewId="0">
      <selection activeCell="M23" activeCellId="1" sqref="M18 M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1" width="11.28515625" customWidth="1"/>
    <col min="12" max="12" width="8.5703125" bestFit="1" customWidth="1"/>
    <col min="13" max="13" width="13.85546875" customWidth="1"/>
  </cols>
  <sheetData>
    <row r="1" spans="1:13" ht="26.25" thickBot="1" x14ac:dyDescent="0.25">
      <c r="A1" s="400">
        <v>41671</v>
      </c>
      <c r="B1" s="460" t="s">
        <v>20</v>
      </c>
      <c r="C1" s="459" t="s">
        <v>55</v>
      </c>
      <c r="D1" s="19" t="s">
        <v>204</v>
      </c>
      <c r="E1" s="460" t="s">
        <v>132</v>
      </c>
      <c r="F1" s="460" t="s">
        <v>110</v>
      </c>
      <c r="G1" s="460" t="s">
        <v>53</v>
      </c>
      <c r="H1" s="460" t="s">
        <v>126</v>
      </c>
      <c r="I1" s="460" t="s">
        <v>111</v>
      </c>
      <c r="J1" s="460" t="s">
        <v>199</v>
      </c>
      <c r="K1" s="460" t="s">
        <v>56</v>
      </c>
      <c r="L1" s="460" t="s">
        <v>159</v>
      </c>
      <c r="M1" s="277" t="s">
        <v>24</v>
      </c>
    </row>
    <row r="2" spans="1:13" ht="15" x14ac:dyDescent="0.25">
      <c r="A2" s="504" t="s">
        <v>160</v>
      </c>
      <c r="B2" s="505"/>
      <c r="C2" s="505"/>
      <c r="D2" s="506"/>
      <c r="E2" s="505"/>
      <c r="F2" s="505"/>
      <c r="G2" s="505"/>
      <c r="H2" s="505"/>
      <c r="I2" s="505"/>
      <c r="J2" s="505"/>
      <c r="K2" s="505"/>
      <c r="L2" s="505"/>
      <c r="M2" s="507"/>
    </row>
    <row r="3" spans="1:13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58"/>
    </row>
    <row r="4" spans="1:13" x14ac:dyDescent="0.2">
      <c r="A4" s="65" t="s">
        <v>33</v>
      </c>
      <c r="B4" s="22">
        <f>[4]Delta!$DK$32</f>
        <v>57351</v>
      </c>
      <c r="C4" s="22">
        <f>'[4]Atlantic Southeast'!$DK$32</f>
        <v>0</v>
      </c>
      <c r="D4" s="22">
        <f>[4]Pinnacle!$DK$32</f>
        <v>7192</v>
      </c>
      <c r="E4" s="22">
        <f>[4]Compass!$DK$32</f>
        <v>14549</v>
      </c>
      <c r="F4" s="22">
        <f>'[4]Sky West'!$DK$32</f>
        <v>4443</v>
      </c>
      <c r="G4" s="22">
        <f>'[4]Sun Country'!$DK$32</f>
        <v>22209</v>
      </c>
      <c r="H4" s="22">
        <f>[4]Icelandair!$DK$32</f>
        <v>0</v>
      </c>
      <c r="I4" s="22">
        <f>[4]AirCanada!$DK$32</f>
        <v>1994</v>
      </c>
      <c r="J4" s="22">
        <f>'[4]Air France'!$DK$32</f>
        <v>0</v>
      </c>
      <c r="K4" s="22">
        <f>[4]Comair!$DK$32</f>
        <v>0</v>
      </c>
      <c r="L4" s="22">
        <f>'[4]Charter Misc'!$DK$32+[4]Ryan!$DK$32+[4]Omni!$DK$32</f>
        <v>0</v>
      </c>
      <c r="M4" s="286">
        <f>SUM(B4:L4)</f>
        <v>107738</v>
      </c>
    </row>
    <row r="5" spans="1:13" x14ac:dyDescent="0.2">
      <c r="A5" s="65" t="s">
        <v>34</v>
      </c>
      <c r="B5" s="14">
        <f>[4]Delta!$DK$33</f>
        <v>57794</v>
      </c>
      <c r="C5" s="14">
        <f>'[4]Atlantic Southeast'!$DK$33</f>
        <v>0</v>
      </c>
      <c r="D5" s="14">
        <f>[4]Pinnacle!$DK$33</f>
        <v>6677</v>
      </c>
      <c r="E5" s="14">
        <f>[4]Compass!$DK$33</f>
        <v>14860</v>
      </c>
      <c r="F5" s="14">
        <f>'[4]Sky West'!$DK$33</f>
        <v>4292</v>
      </c>
      <c r="G5" s="14">
        <f>'[4]Sun Country'!$DK$33</f>
        <v>23879</v>
      </c>
      <c r="H5" s="14">
        <f>[4]Icelandair!$DK$33</f>
        <v>0</v>
      </c>
      <c r="I5" s="14">
        <f>[4]AirCanada!$DK$33</f>
        <v>1903</v>
      </c>
      <c r="J5" s="14">
        <f>'[4]Air France'!$DK$33</f>
        <v>0</v>
      </c>
      <c r="K5" s="14">
        <f>[4]Comair!$DK$33</f>
        <v>0</v>
      </c>
      <c r="L5" s="14">
        <f>'[4]Charter Misc'!$DK$33++[4]Ryan!$DK$33+[4]Omni!$DK$33</f>
        <v>0</v>
      </c>
      <c r="M5" s="287">
        <f>SUM(B5:L5)</f>
        <v>109405</v>
      </c>
    </row>
    <row r="6" spans="1:13" ht="15" x14ac:dyDescent="0.25">
      <c r="A6" s="63" t="s">
        <v>7</v>
      </c>
      <c r="B6" s="36">
        <f t="shared" ref="B6:L6" si="0">SUM(B4:B5)</f>
        <v>115145</v>
      </c>
      <c r="C6" s="36">
        <f t="shared" si="0"/>
        <v>0</v>
      </c>
      <c r="D6" s="36">
        <f t="shared" si="0"/>
        <v>13869</v>
      </c>
      <c r="E6" s="36">
        <f t="shared" si="0"/>
        <v>29409</v>
      </c>
      <c r="F6" s="36">
        <f t="shared" si="0"/>
        <v>8735</v>
      </c>
      <c r="G6" s="36">
        <f t="shared" si="0"/>
        <v>46088</v>
      </c>
      <c r="H6" s="36">
        <f t="shared" si="0"/>
        <v>0</v>
      </c>
      <c r="I6" s="36">
        <f t="shared" si="0"/>
        <v>3897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288">
        <f>SUM(B6:L6)</f>
        <v>217143</v>
      </c>
    </row>
    <row r="7" spans="1:13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86"/>
    </row>
    <row r="8" spans="1:13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86">
        <f>SUM(B8:L8)</f>
        <v>0</v>
      </c>
    </row>
    <row r="9" spans="1:13" x14ac:dyDescent="0.2">
      <c r="A9" s="65" t="s">
        <v>33</v>
      </c>
      <c r="B9" s="22">
        <f>[4]Delta!$DK$37</f>
        <v>1668</v>
      </c>
      <c r="C9" s="22">
        <f>'[4]Atlantic Southeast'!$DK$37</f>
        <v>0</v>
      </c>
      <c r="D9" s="22">
        <f>[4]Pinnacle!$DK$37</f>
        <v>158</v>
      </c>
      <c r="E9" s="22">
        <f>[4]Compass!$DK$37</f>
        <v>189</v>
      </c>
      <c r="F9" s="22">
        <f>'[4]Sky West'!$DK$37</f>
        <v>28</v>
      </c>
      <c r="G9" s="22">
        <f>'[4]Sun Country'!$DK$37</f>
        <v>169</v>
      </c>
      <c r="H9" s="22">
        <f>[4]Icelandair!$DK$37</f>
        <v>0</v>
      </c>
      <c r="I9" s="22">
        <f>[4]AirCanada!$DK$37</f>
        <v>22</v>
      </c>
      <c r="J9" s="22">
        <f>'[4]Air France'!$DK$37</f>
        <v>0</v>
      </c>
      <c r="K9" s="22">
        <f>[4]Comair!$DK$37</f>
        <v>0</v>
      </c>
      <c r="L9" s="22">
        <f>'[4]Charter Misc'!$DK$37+[4]Ryan!$DK$37+[4]Omni!$DK$37</f>
        <v>0</v>
      </c>
      <c r="M9" s="286">
        <f>SUM(B9:L9)</f>
        <v>2234</v>
      </c>
    </row>
    <row r="10" spans="1:13" x14ac:dyDescent="0.2">
      <c r="A10" s="65" t="s">
        <v>36</v>
      </c>
      <c r="B10" s="14">
        <f>[4]Delta!$DK$38</f>
        <v>1675</v>
      </c>
      <c r="C10" s="14">
        <f>'[4]Atlantic Southeast'!$DK$38</f>
        <v>0</v>
      </c>
      <c r="D10" s="14">
        <f>[4]Pinnacle!$DK$38</f>
        <v>98</v>
      </c>
      <c r="E10" s="14">
        <f>[4]Compass!$DK$38</f>
        <v>169</v>
      </c>
      <c r="F10" s="14">
        <f>'[4]Sky West'!$DK$38</f>
        <v>29</v>
      </c>
      <c r="G10" s="14">
        <f>'[4]Sun Country'!$DK$38</f>
        <v>220</v>
      </c>
      <c r="H10" s="14">
        <f>[4]Icelandair!$DK$38</f>
        <v>0</v>
      </c>
      <c r="I10" s="14">
        <f>[4]AirCanada!$DK$38</f>
        <v>22</v>
      </c>
      <c r="J10" s="14">
        <f>'[4]Air France'!$DK$38</f>
        <v>0</v>
      </c>
      <c r="K10" s="14">
        <f>[4]Comair!$DK$38</f>
        <v>0</v>
      </c>
      <c r="L10" s="14">
        <f>'[4]Charter Misc'!$DK$38+[4]Ryan!$DK$38+[4]Omni!$DK$38</f>
        <v>0</v>
      </c>
      <c r="M10" s="287">
        <f>SUM(B10:L10)</f>
        <v>2213</v>
      </c>
    </row>
    <row r="11" spans="1:13" ht="15.75" thickBot="1" x14ac:dyDescent="0.3">
      <c r="A11" s="66" t="s">
        <v>37</v>
      </c>
      <c r="B11" s="289">
        <f t="shared" ref="B11:G11" si="1">SUM(B9:B10)</f>
        <v>3343</v>
      </c>
      <c r="C11" s="289">
        <f t="shared" si="1"/>
        <v>0</v>
      </c>
      <c r="D11" s="289">
        <f t="shared" si="1"/>
        <v>256</v>
      </c>
      <c r="E11" s="289">
        <f t="shared" si="1"/>
        <v>358</v>
      </c>
      <c r="F11" s="289">
        <f t="shared" si="1"/>
        <v>57</v>
      </c>
      <c r="G11" s="289">
        <f t="shared" si="1"/>
        <v>389</v>
      </c>
      <c r="H11" s="289">
        <f>SUM(H9:H10)</f>
        <v>0</v>
      </c>
      <c r="I11" s="289">
        <f>SUM(I9:I10)</f>
        <v>44</v>
      </c>
      <c r="J11" s="289">
        <f>SUM(J9:J10)</f>
        <v>0</v>
      </c>
      <c r="K11" s="289">
        <f>SUM(K9:K10)</f>
        <v>0</v>
      </c>
      <c r="L11" s="289">
        <f>SUM(L9:L10)</f>
        <v>0</v>
      </c>
      <c r="M11" s="290">
        <f>SUM(B11:L11)</f>
        <v>4447</v>
      </c>
    </row>
    <row r="12" spans="1:13" ht="15" x14ac:dyDescent="0.25">
      <c r="A12" s="405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2"/>
    </row>
    <row r="13" spans="1:13" ht="26.25" thickBot="1" x14ac:dyDescent="0.25">
      <c r="B13" s="460" t="s">
        <v>20</v>
      </c>
      <c r="C13" s="459" t="s">
        <v>55</v>
      </c>
      <c r="D13" s="19" t="s">
        <v>204</v>
      </c>
      <c r="E13" s="460" t="s">
        <v>132</v>
      </c>
      <c r="F13" s="460" t="s">
        <v>110</v>
      </c>
      <c r="G13" s="460" t="s">
        <v>158</v>
      </c>
      <c r="H13" s="460" t="s">
        <v>126</v>
      </c>
      <c r="I13" s="460" t="s">
        <v>111</v>
      </c>
      <c r="J13" s="460" t="s">
        <v>199</v>
      </c>
      <c r="K13" s="460" t="s">
        <v>56</v>
      </c>
      <c r="L13" s="460" t="s">
        <v>159</v>
      </c>
      <c r="M13" s="277" t="s">
        <v>161</v>
      </c>
    </row>
    <row r="14" spans="1:13" ht="15" x14ac:dyDescent="0.25">
      <c r="A14" s="508" t="s">
        <v>162</v>
      </c>
      <c r="B14" s="509"/>
      <c r="C14" s="509"/>
      <c r="D14" s="510"/>
      <c r="E14" s="509"/>
      <c r="F14" s="509"/>
      <c r="G14" s="509"/>
      <c r="H14" s="509"/>
      <c r="I14" s="509"/>
      <c r="J14" s="509"/>
      <c r="K14" s="509"/>
      <c r="L14" s="509"/>
      <c r="M14" s="511"/>
    </row>
    <row r="15" spans="1:13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8"/>
    </row>
    <row r="16" spans="1:13" x14ac:dyDescent="0.2">
      <c r="A16" s="65" t="s">
        <v>33</v>
      </c>
      <c r="B16" s="22">
        <f>SUM([4]Delta!$DJ$32:$DK$32)</f>
        <v>118557</v>
      </c>
      <c r="C16" s="22">
        <f>SUM('[4]Atlantic Southeast'!$DJ$32:$DK$32)</f>
        <v>0</v>
      </c>
      <c r="D16" s="22">
        <f>SUM([4]Pinnacle!$DJ$32:$DK$32)</f>
        <v>13994</v>
      </c>
      <c r="E16" s="22">
        <f>SUM([4]Compass!$DJ$32:$DK$32)</f>
        <v>28695</v>
      </c>
      <c r="F16" s="22">
        <f>SUM('[4]Sky West'!$DJ$32:$DK$32)</f>
        <v>11088</v>
      </c>
      <c r="G16" s="22">
        <f>SUM('[4]Sun Country'!$DJ$32:$DK$32)</f>
        <v>38738</v>
      </c>
      <c r="H16" s="22">
        <f>SUM([4]Icelandair!$DJ$32:$DK$32)</f>
        <v>0</v>
      </c>
      <c r="I16" s="22">
        <f>SUM([4]AirCanada!$DJ$32:$DK$32)</f>
        <v>4203</v>
      </c>
      <c r="J16" s="22">
        <f>SUM('[4]Air France'!$DJ$32:$DK$32)</f>
        <v>0</v>
      </c>
      <c r="K16" s="22">
        <f>SUM([4]Comair!$DJ$32:$DK$32)</f>
        <v>0</v>
      </c>
      <c r="L16" s="22">
        <f>SUM('[4]Charter Misc'!$DJ$32:$DK$32)+SUM([4]Ryan!$DJ$32:$DK$32)+SUM([4]Omni!$DJ$32:$DK$32)</f>
        <v>0</v>
      </c>
      <c r="M16" s="286">
        <f>SUM(B16:L16)</f>
        <v>215275</v>
      </c>
    </row>
    <row r="17" spans="1:13" x14ac:dyDescent="0.2">
      <c r="A17" s="65" t="s">
        <v>34</v>
      </c>
      <c r="B17" s="14">
        <f>SUM([4]Delta!$DJ$33:$DK$33)</f>
        <v>115778</v>
      </c>
      <c r="C17" s="14">
        <f>SUM('[4]Atlantic Southeast'!$DJ$33:$DK$33)</f>
        <v>0</v>
      </c>
      <c r="D17" s="14">
        <f>SUM([4]Pinnacle!$DJ$33:$DK$33)</f>
        <v>13291</v>
      </c>
      <c r="E17" s="14">
        <f>SUM([4]Compass!$DJ$33:$DK$33)</f>
        <v>29059</v>
      </c>
      <c r="F17" s="14">
        <f>SUM('[4]Sky West'!$DJ$33:$DK$33)</f>
        <v>10887</v>
      </c>
      <c r="G17" s="14">
        <f>SUM('[4]Sun Country'!$DJ$33:$DK$33)</f>
        <v>41144</v>
      </c>
      <c r="H17" s="14">
        <f>SUM([4]Icelandair!$DJ$33:$DK$33)</f>
        <v>0</v>
      </c>
      <c r="I17" s="14">
        <f>SUM([4]AirCanada!$DJ$33:$DK$33)</f>
        <v>3811</v>
      </c>
      <c r="J17" s="14">
        <f>SUM('[4]Air France'!$DJ$33:$DK$33)</f>
        <v>0</v>
      </c>
      <c r="K17" s="14">
        <f>SUM([4]Comair!$DJ$33:$DK$33)</f>
        <v>0</v>
      </c>
      <c r="L17" s="14">
        <f>SUM('[4]Charter Misc'!$DJ$33:$DK$33)++SUM([4]Ryan!$DJ$33:$DK$33)+SUM([4]Omni!$DJ$33:$DK$33)</f>
        <v>0</v>
      </c>
      <c r="M17" s="287">
        <f>SUM(B17:L17)</f>
        <v>213970</v>
      </c>
    </row>
    <row r="18" spans="1:13" ht="15" x14ac:dyDescent="0.25">
      <c r="A18" s="63" t="s">
        <v>7</v>
      </c>
      <c r="B18" s="36">
        <f t="shared" ref="B18:L18" si="2">SUM(B16:B17)</f>
        <v>234335</v>
      </c>
      <c r="C18" s="36">
        <f t="shared" si="2"/>
        <v>0</v>
      </c>
      <c r="D18" s="36">
        <f t="shared" si="2"/>
        <v>27285</v>
      </c>
      <c r="E18" s="36">
        <f t="shared" si="2"/>
        <v>57754</v>
      </c>
      <c r="F18" s="36">
        <f t="shared" si="2"/>
        <v>21975</v>
      </c>
      <c r="G18" s="36">
        <f t="shared" si="2"/>
        <v>79882</v>
      </c>
      <c r="H18" s="36">
        <f t="shared" si="2"/>
        <v>0</v>
      </c>
      <c r="I18" s="36">
        <f t="shared" si="2"/>
        <v>8014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288">
        <f>SUM(B18:L18)</f>
        <v>429245</v>
      </c>
    </row>
    <row r="19" spans="1:13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86"/>
    </row>
    <row r="20" spans="1:13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86">
        <f>SUM(B20:L20)</f>
        <v>0</v>
      </c>
    </row>
    <row r="21" spans="1:13" x14ac:dyDescent="0.2">
      <c r="A21" s="65" t="s">
        <v>33</v>
      </c>
      <c r="B21" s="22">
        <f>SUM([4]Delta!$DJ$37:$DK$37)</f>
        <v>3247</v>
      </c>
      <c r="C21" s="22">
        <f>SUM('[4]Atlantic Southeast'!$DJ$37:$DK$37)</f>
        <v>0</v>
      </c>
      <c r="D21" s="22">
        <f>SUM([4]Pinnacle!$DJ$37:$DK$37)</f>
        <v>328</v>
      </c>
      <c r="E21" s="22">
        <f>SUM([4]Compass!$DJ$37:$DK$37)</f>
        <v>377</v>
      </c>
      <c r="F21" s="22">
        <f>SUM('[4]Sky West'!$DJ$37:$DK$37)</f>
        <v>101</v>
      </c>
      <c r="G21" s="22">
        <f>SUM('[4]Sun Country'!$DJ$37:$DK$37)</f>
        <v>290</v>
      </c>
      <c r="H21" s="22">
        <f>SUM([4]Icelandair!$DJ$37:$DK$37)</f>
        <v>0</v>
      </c>
      <c r="I21" s="22">
        <f>SUM([4]AirCanada!$DJ$37:$DK$37)</f>
        <v>60</v>
      </c>
      <c r="J21" s="22">
        <f>SUM('[4]Air France'!$DJ$37:$DK$37)</f>
        <v>0</v>
      </c>
      <c r="K21" s="22">
        <f>SUM([4]Comair!$DJ$37:$DK$37)</f>
        <v>0</v>
      </c>
      <c r="L21" s="22">
        <f>SUM('[4]Charter Misc'!$DJ$37:$DK$37)++SUM([4]Ryan!$DJ$37:$DK$37)+SUM([4]Omni!$DJ$37:$DK$37)</f>
        <v>0</v>
      </c>
      <c r="M21" s="286">
        <f>SUM(B21:L21)</f>
        <v>4403</v>
      </c>
    </row>
    <row r="22" spans="1:13" x14ac:dyDescent="0.2">
      <c r="A22" s="65" t="s">
        <v>36</v>
      </c>
      <c r="B22" s="14">
        <f>SUM([4]Delta!$DJ$38:$DK$38)</f>
        <v>3235</v>
      </c>
      <c r="C22" s="14">
        <f>SUM('[4]Atlantic Southeast'!$DJ$38:$DK$38)</f>
        <v>0</v>
      </c>
      <c r="D22" s="14">
        <f>SUM([4]Pinnacle!$DJ$38:$DK$38)</f>
        <v>239</v>
      </c>
      <c r="E22" s="14">
        <f>SUM([4]Compass!$DJ$38:$DK$38)</f>
        <v>356</v>
      </c>
      <c r="F22" s="14">
        <f>SUM('[4]Sky West'!$DJ$38:$DK$38)</f>
        <v>113</v>
      </c>
      <c r="G22" s="14">
        <f>SUM('[4]Sun Country'!$DJ$38:$DK$38)</f>
        <v>414</v>
      </c>
      <c r="H22" s="14">
        <f>SUM([4]Icelandair!$DJ$38:$DK$38)</f>
        <v>0</v>
      </c>
      <c r="I22" s="14">
        <f>SUM([4]AirCanada!$DJ$38:$DK$38)</f>
        <v>52</v>
      </c>
      <c r="J22" s="14">
        <f>SUM('[4]Air France'!$DJ$38:$DK$38)</f>
        <v>0</v>
      </c>
      <c r="K22" s="14">
        <f>SUM([4]Comair!$DJ$38:$DK$38)</f>
        <v>0</v>
      </c>
      <c r="L22" s="14">
        <f>SUM('[4]Charter Misc'!$DJ$38:$DK$38)++SUM([4]Ryan!$DJ$38:$DK$38)+SUM([4]Omni!$DJ$38:$DK$38)</f>
        <v>0</v>
      </c>
      <c r="M22" s="287">
        <f>SUM(B22:L22)</f>
        <v>4409</v>
      </c>
    </row>
    <row r="23" spans="1:13" ht="15.75" thickBot="1" x14ac:dyDescent="0.3">
      <c r="A23" s="66" t="s">
        <v>37</v>
      </c>
      <c r="B23" s="289">
        <f t="shared" ref="B23:L23" si="3">SUM(B21:B22)</f>
        <v>6482</v>
      </c>
      <c r="C23" s="289">
        <f t="shared" si="3"/>
        <v>0</v>
      </c>
      <c r="D23" s="289">
        <f t="shared" si="3"/>
        <v>567</v>
      </c>
      <c r="E23" s="289">
        <f t="shared" si="3"/>
        <v>733</v>
      </c>
      <c r="F23" s="289">
        <f t="shared" si="3"/>
        <v>214</v>
      </c>
      <c r="G23" s="289">
        <f t="shared" si="3"/>
        <v>704</v>
      </c>
      <c r="H23" s="289">
        <f t="shared" si="3"/>
        <v>0</v>
      </c>
      <c r="I23" s="289">
        <f t="shared" si="3"/>
        <v>112</v>
      </c>
      <c r="J23" s="289">
        <f t="shared" si="3"/>
        <v>0</v>
      </c>
      <c r="K23" s="289">
        <f t="shared" si="3"/>
        <v>0</v>
      </c>
      <c r="L23" s="289">
        <f t="shared" si="3"/>
        <v>0</v>
      </c>
      <c r="M23" s="290">
        <f>SUM(B23:L23)</f>
        <v>8812</v>
      </c>
    </row>
    <row r="25" spans="1:13" ht="26.25" thickBot="1" x14ac:dyDescent="0.25">
      <c r="B25" s="460" t="s">
        <v>20</v>
      </c>
      <c r="C25" s="459" t="s">
        <v>55</v>
      </c>
      <c r="D25" s="19" t="s">
        <v>204</v>
      </c>
      <c r="E25" s="460" t="s">
        <v>132</v>
      </c>
      <c r="F25" s="460" t="s">
        <v>110</v>
      </c>
      <c r="G25" s="460" t="s">
        <v>158</v>
      </c>
      <c r="H25" s="460" t="s">
        <v>126</v>
      </c>
      <c r="I25" s="460" t="s">
        <v>111</v>
      </c>
      <c r="J25" s="460" t="s">
        <v>199</v>
      </c>
      <c r="K25" s="460" t="s">
        <v>56</v>
      </c>
      <c r="L25" s="460" t="s">
        <v>159</v>
      </c>
      <c r="M25" s="277" t="s">
        <v>24</v>
      </c>
    </row>
    <row r="26" spans="1:13" ht="15" x14ac:dyDescent="0.25">
      <c r="A26" s="512" t="s">
        <v>163</v>
      </c>
      <c r="B26" s="513"/>
      <c r="C26" s="513"/>
      <c r="D26" s="514"/>
      <c r="E26" s="513"/>
      <c r="F26" s="513"/>
      <c r="G26" s="513"/>
      <c r="H26" s="513"/>
      <c r="I26" s="513"/>
      <c r="J26" s="513"/>
      <c r="K26" s="513"/>
      <c r="L26" s="513"/>
      <c r="M26" s="515"/>
    </row>
    <row r="27" spans="1:13" x14ac:dyDescent="0.2">
      <c r="A27" s="65" t="s">
        <v>25</v>
      </c>
      <c r="B27" s="22">
        <f>[4]Delta!$DK$15</f>
        <v>371</v>
      </c>
      <c r="C27" s="22">
        <f>'[4]Atlantic Southeast'!$DK$15</f>
        <v>0</v>
      </c>
      <c r="D27" s="22">
        <f>[4]Pinnacle!$DK$15</f>
        <v>169</v>
      </c>
      <c r="E27" s="22">
        <f>[4]Compass!$DK$15</f>
        <v>234</v>
      </c>
      <c r="F27" s="22">
        <f>'[4]Sky West'!$DK$15</f>
        <v>101</v>
      </c>
      <c r="G27" s="22">
        <f>'[4]Sun Country'!$DK$15</f>
        <v>174</v>
      </c>
      <c r="H27" s="22">
        <f>[4]Icelandair!$DK$15</f>
        <v>0</v>
      </c>
      <c r="I27" s="22">
        <f>[4]AirCanada!$DK$15</f>
        <v>76</v>
      </c>
      <c r="J27" s="22">
        <f>'[4]Air France'!$DK$15</f>
        <v>0</v>
      </c>
      <c r="K27" s="22">
        <f>[4]Comair!$DK$15</f>
        <v>0</v>
      </c>
      <c r="L27" s="22">
        <f>'[4]Charter Misc'!$DK$15+[4]Ryan!$DK$15+[4]Omni!$DK$15</f>
        <v>0</v>
      </c>
      <c r="M27" s="286">
        <f>SUM(B27:L27)</f>
        <v>1125</v>
      </c>
    </row>
    <row r="28" spans="1:13" x14ac:dyDescent="0.2">
      <c r="A28" s="65" t="s">
        <v>26</v>
      </c>
      <c r="B28" s="22">
        <f>[4]Delta!$DK$16</f>
        <v>371</v>
      </c>
      <c r="C28" s="22">
        <f>'[4]Atlantic Southeast'!$DK$16</f>
        <v>0</v>
      </c>
      <c r="D28" s="22">
        <f>[4]Pinnacle!$DK$16</f>
        <v>168</v>
      </c>
      <c r="E28" s="22">
        <f>[4]Compass!$DK$16</f>
        <v>235</v>
      </c>
      <c r="F28" s="22">
        <f>'[4]Sky West'!$DK$16</f>
        <v>98</v>
      </c>
      <c r="G28" s="22">
        <f>'[4]Sun Country'!$DK$16</f>
        <v>180</v>
      </c>
      <c r="H28" s="22">
        <f>[4]Icelandair!$DK$16</f>
        <v>0</v>
      </c>
      <c r="I28" s="22">
        <f>[4]AirCanada!$DK$16</f>
        <v>76</v>
      </c>
      <c r="J28" s="22">
        <f>'[4]Air France'!$DK$16</f>
        <v>0</v>
      </c>
      <c r="K28" s="22">
        <f>[4]Comair!$DK$16</f>
        <v>0</v>
      </c>
      <c r="L28" s="22">
        <f>'[4]Charter Misc'!$DK$16+[4]Ryan!$DK$16+[4]Omni!$DK$16</f>
        <v>0</v>
      </c>
      <c r="M28" s="286">
        <f>SUM(B28:L28)</f>
        <v>1128</v>
      </c>
    </row>
    <row r="29" spans="1:13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86"/>
    </row>
    <row r="30" spans="1:13" ht="15.75" thickBot="1" x14ac:dyDescent="0.3">
      <c r="A30" s="66" t="s">
        <v>31</v>
      </c>
      <c r="B30" s="403">
        <f t="shared" ref="B30:I30" si="4">SUM(B27:B28)</f>
        <v>742</v>
      </c>
      <c r="C30" s="403">
        <f t="shared" si="4"/>
        <v>0</v>
      </c>
      <c r="D30" s="403">
        <f t="shared" si="4"/>
        <v>337</v>
      </c>
      <c r="E30" s="403">
        <f t="shared" si="4"/>
        <v>469</v>
      </c>
      <c r="F30" s="403">
        <f>SUM(F27:F28)</f>
        <v>199</v>
      </c>
      <c r="G30" s="403">
        <f t="shared" si="4"/>
        <v>354</v>
      </c>
      <c r="H30" s="403">
        <f t="shared" si="4"/>
        <v>0</v>
      </c>
      <c r="I30" s="403">
        <f t="shared" si="4"/>
        <v>152</v>
      </c>
      <c r="J30" s="403">
        <f>SUM(J27:J28)</f>
        <v>0</v>
      </c>
      <c r="K30" s="403">
        <f>SUM(K27:K28)</f>
        <v>0</v>
      </c>
      <c r="L30" s="403">
        <f>SUM(L27:L28)</f>
        <v>0</v>
      </c>
      <c r="M30" s="404">
        <f>SUM(B30:L30)</f>
        <v>2253</v>
      </c>
    </row>
    <row r="31" spans="1:13" ht="15" x14ac:dyDescent="0.25">
      <c r="A31" s="405"/>
    </row>
    <row r="32" spans="1:13" ht="26.25" thickBot="1" x14ac:dyDescent="0.25">
      <c r="B32" s="460" t="s">
        <v>20</v>
      </c>
      <c r="C32" s="459" t="s">
        <v>55</v>
      </c>
      <c r="D32" s="19" t="s">
        <v>204</v>
      </c>
      <c r="E32" s="460" t="s">
        <v>132</v>
      </c>
      <c r="F32" s="460" t="s">
        <v>110</v>
      </c>
      <c r="G32" s="460" t="s">
        <v>158</v>
      </c>
      <c r="H32" s="460" t="s">
        <v>126</v>
      </c>
      <c r="I32" s="460" t="s">
        <v>111</v>
      </c>
      <c r="J32" s="460" t="s">
        <v>199</v>
      </c>
      <c r="K32" s="460" t="s">
        <v>56</v>
      </c>
      <c r="L32" s="460" t="s">
        <v>159</v>
      </c>
      <c r="M32" s="277" t="s">
        <v>161</v>
      </c>
    </row>
    <row r="33" spans="1:13" ht="15" x14ac:dyDescent="0.25">
      <c r="A33" s="516" t="s">
        <v>164</v>
      </c>
      <c r="B33" s="517"/>
      <c r="C33" s="517"/>
      <c r="D33" s="517"/>
      <c r="E33" s="517"/>
      <c r="F33" s="517"/>
      <c r="G33" s="517"/>
      <c r="H33" s="517"/>
      <c r="I33" s="517"/>
      <c r="J33" s="517"/>
      <c r="K33" s="517"/>
      <c r="L33" s="517"/>
      <c r="M33" s="518"/>
    </row>
    <row r="34" spans="1:13" x14ac:dyDescent="0.2">
      <c r="A34" s="65" t="s">
        <v>25</v>
      </c>
      <c r="B34" s="22">
        <f>SUM([4]Delta!$DJ$15:$DK$15)</f>
        <v>729</v>
      </c>
      <c r="C34" s="22">
        <f>SUM('[4]Atlantic Southeast'!$DJ$15:$DK$15)</f>
        <v>0</v>
      </c>
      <c r="D34" s="22">
        <f>SUM([4]Pinnacle!$DJ$15:$DK$15)</f>
        <v>336</v>
      </c>
      <c r="E34" s="22">
        <f>SUM([4]Compass!$DJ$15:$DK$15)</f>
        <v>468</v>
      </c>
      <c r="F34" s="22">
        <f>SUM('[4]Sky West'!$DJ$15:$DK$15)</f>
        <v>247</v>
      </c>
      <c r="G34" s="22">
        <f>SUM('[4]Sun Country'!$DJ$15:$DK$15)</f>
        <v>314</v>
      </c>
      <c r="H34" s="22">
        <f>SUM([4]Icelandair!$DJ$15:$DK$15)</f>
        <v>0</v>
      </c>
      <c r="I34" s="22">
        <f>SUM([4]AirCanada!$DJ$15:$DK$15)</f>
        <v>156</v>
      </c>
      <c r="J34" s="22">
        <f>SUM('[4]Air France'!$DJ$15:$DK$15)</f>
        <v>0</v>
      </c>
      <c r="K34" s="22">
        <f>SUM([4]Comair!$DJ$15:$DK$15)</f>
        <v>0</v>
      </c>
      <c r="L34" s="22">
        <f>SUM('[4]Charter Misc'!$DJ$15:$DK$15)+SUM([4]Ryan!$DJ$15:$DK$15)+SUM([4]Omni!$DJ$15:$DK$15)</f>
        <v>0</v>
      </c>
      <c r="M34" s="286">
        <f>SUM(B34:L34)</f>
        <v>2250</v>
      </c>
    </row>
    <row r="35" spans="1:13" x14ac:dyDescent="0.2">
      <c r="A35" s="65" t="s">
        <v>26</v>
      </c>
      <c r="B35" s="22">
        <f>SUM([4]Delta!$DJ$16:$DK$16)</f>
        <v>728</v>
      </c>
      <c r="C35" s="14">
        <f>SUM('[4]Atlantic Southeast'!$DJ$16:$DK$16)</f>
        <v>0</v>
      </c>
      <c r="D35" s="14">
        <f>SUM([4]Pinnacle!$DJ$16:$DK$16)</f>
        <v>335</v>
      </c>
      <c r="E35" s="14">
        <f>SUM([4]Compass!$DJ$16:$DK$16)</f>
        <v>467</v>
      </c>
      <c r="F35" s="14">
        <f>SUM('[4]Sky West'!$DJ$16:$DK$16)</f>
        <v>245</v>
      </c>
      <c r="G35" s="14">
        <f>SUM('[4]Sun Country'!$DJ$16:$DK$16)</f>
        <v>321</v>
      </c>
      <c r="H35" s="14">
        <f>SUM([4]Icelandair!$DJ$16:$DK$16)</f>
        <v>0</v>
      </c>
      <c r="I35" s="14">
        <f>SUM([4]AirCanada!$DJ$16:$DK$16)</f>
        <v>155</v>
      </c>
      <c r="J35" s="14">
        <f>SUM('[4]Air France'!$DJ$16:$DK$16)</f>
        <v>0</v>
      </c>
      <c r="K35" s="14">
        <f>SUM([4]Comair!$DJ$16:$DK$16)</f>
        <v>0</v>
      </c>
      <c r="L35" s="14">
        <f>SUM('[4]Charter Misc'!$DJ$16:$DK$16)++SUM([4]Ryan!$DJ$16:$DK$16)+SUM([4]Omni!$DJ$16:$DK$16)</f>
        <v>0</v>
      </c>
      <c r="M35" s="286">
        <f>SUM(B35:L35)</f>
        <v>2251</v>
      </c>
    </row>
    <row r="36" spans="1:13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86"/>
    </row>
    <row r="37" spans="1:13" ht="15.75" thickBot="1" x14ac:dyDescent="0.3">
      <c r="A37" s="66" t="s">
        <v>31</v>
      </c>
      <c r="B37" s="403">
        <f t="shared" ref="B37:I37" si="5">+SUM(B34:B35)</f>
        <v>1457</v>
      </c>
      <c r="C37" s="403">
        <f t="shared" si="5"/>
        <v>0</v>
      </c>
      <c r="D37" s="403">
        <f t="shared" si="5"/>
        <v>671</v>
      </c>
      <c r="E37" s="403">
        <f t="shared" si="5"/>
        <v>935</v>
      </c>
      <c r="F37" s="403">
        <f>+SUM(F34:F35)</f>
        <v>492</v>
      </c>
      <c r="G37" s="403">
        <f t="shared" si="5"/>
        <v>635</v>
      </c>
      <c r="H37" s="403">
        <f t="shared" si="5"/>
        <v>0</v>
      </c>
      <c r="I37" s="403">
        <f t="shared" si="5"/>
        <v>311</v>
      </c>
      <c r="J37" s="403">
        <f>+SUM(J34:J35)</f>
        <v>0</v>
      </c>
      <c r="K37" s="403">
        <f>+SUM(K34:K35)</f>
        <v>0</v>
      </c>
      <c r="L37" s="403">
        <f>+SUM(L34:L35)</f>
        <v>0</v>
      </c>
      <c r="M37" s="404">
        <f>SUM(B37:L37)</f>
        <v>4501</v>
      </c>
    </row>
  </sheetData>
  <mergeCells count="4">
    <mergeCell ref="A2:M2"/>
    <mergeCell ref="A14:M14"/>
    <mergeCell ref="A26:M26"/>
    <mergeCell ref="A33:M33"/>
  </mergeCells>
  <phoneticPr fontId="6" type="noConversion"/>
  <pageMargins left="0.75" right="0.75" top="1" bottom="1" header="0.5" footer="0.5"/>
  <pageSetup scale="76" orientation="landscape" r:id="rId1"/>
  <headerFooter alignWithMargins="0">
    <oddHeader>&amp;LSchedule 9&amp;CMinneapolis-St. Paul International Airport
&amp;"Arial,Bold"International Detail&amp;"Arial,Regular"
&amp;"Arial,Bold"February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2014-03-13T16:49:38Z</cp:lastPrinted>
  <dcterms:created xsi:type="dcterms:W3CDTF">2007-09-24T12:26:24Z</dcterms:created>
  <dcterms:modified xsi:type="dcterms:W3CDTF">2018-11-14T00:50:28Z</dcterms:modified>
</cp:coreProperties>
</file>