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644FD20F-058D-4C06-917C-0C0DA79343A7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49" i="9"/>
  <c r="P49" i="9"/>
  <c r="N49" i="9"/>
  <c r="L49" i="9"/>
  <c r="H49" i="9"/>
  <c r="G49" i="9"/>
  <c r="E49" i="9"/>
  <c r="C49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0" i="9"/>
  <c r="P50" i="9"/>
  <c r="N50" i="9"/>
  <c r="L50" i="9"/>
  <c r="H50" i="9"/>
  <c r="G50" i="9"/>
  <c r="E50" i="9"/>
  <c r="C50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18" i="9"/>
  <c r="P18" i="9"/>
  <c r="N18" i="9"/>
  <c r="L18" i="9"/>
  <c r="H18" i="9"/>
  <c r="G18" i="9"/>
  <c r="E18" i="9"/>
  <c r="C18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1" i="9"/>
  <c r="P41" i="9"/>
  <c r="N41" i="9"/>
  <c r="L41" i="9"/>
  <c r="H41" i="9"/>
  <c r="G41" i="9"/>
  <c r="E41" i="9"/>
  <c r="C41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0" i="9"/>
  <c r="P40" i="9"/>
  <c r="N40" i="9"/>
  <c r="L40" i="9"/>
  <c r="H40" i="9"/>
  <c r="G40" i="9"/>
  <c r="E40" i="9"/>
  <c r="C40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1" i="9"/>
  <c r="P21" i="9"/>
  <c r="N21" i="9"/>
  <c r="L21" i="9"/>
  <c r="H21" i="9"/>
  <c r="G21" i="9"/>
  <c r="E21" i="9"/>
  <c r="C21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6" i="9"/>
  <c r="P16" i="9"/>
  <c r="N16" i="9"/>
  <c r="L16" i="9"/>
  <c r="H16" i="9"/>
  <c r="G16" i="9"/>
  <c r="E16" i="9"/>
  <c r="C16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0" i="9"/>
  <c r="P20" i="9"/>
  <c r="N20" i="9"/>
  <c r="L20" i="9"/>
  <c r="H20" i="9"/>
  <c r="G20" i="9"/>
  <c r="E20" i="9"/>
  <c r="C20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4" i="9"/>
  <c r="P44" i="9"/>
  <c r="N44" i="9"/>
  <c r="L44" i="9"/>
  <c r="H44" i="9"/>
  <c r="G44" i="9"/>
  <c r="E44" i="9"/>
  <c r="C44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48" i="9"/>
  <c r="P48" i="9"/>
  <c r="N48" i="9"/>
  <c r="L48" i="9"/>
  <c r="H48" i="9"/>
  <c r="G48" i="9"/>
  <c r="E48" i="9"/>
  <c r="C48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3" i="9"/>
  <c r="P43" i="9"/>
  <c r="N43" i="9"/>
  <c r="L43" i="9"/>
  <c r="H43" i="9"/>
  <c r="G43" i="9"/>
  <c r="E43" i="9"/>
  <c r="C43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19" i="9"/>
  <c r="P19" i="9"/>
  <c r="N19" i="9"/>
  <c r="L19" i="9"/>
  <c r="H19" i="9"/>
  <c r="G19" i="9"/>
  <c r="E19" i="9"/>
  <c r="C19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2" i="9"/>
  <c r="P42" i="9"/>
  <c r="N42" i="9"/>
  <c r="L42" i="9"/>
  <c r="H42" i="9"/>
  <c r="G42" i="9"/>
  <c r="E42" i="9"/>
  <c r="C42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39" i="9"/>
  <c r="P39" i="9"/>
  <c r="N39" i="9"/>
  <c r="L39" i="9"/>
  <c r="H39" i="9"/>
  <c r="G39" i="9"/>
  <c r="E39" i="9"/>
  <c r="C39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7" i="9"/>
  <c r="P17" i="9"/>
  <c r="N17" i="9"/>
  <c r="L17" i="9"/>
  <c r="H17" i="9"/>
  <c r="G17" i="9"/>
  <c r="E17" i="9"/>
  <c r="C17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5" i="9"/>
  <c r="P35" i="9"/>
  <c r="N35" i="9"/>
  <c r="L35" i="9"/>
  <c r="H35" i="9"/>
  <c r="G35" i="9"/>
  <c r="E35" i="9"/>
  <c r="C35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0" i="9"/>
  <c r="P30" i="9"/>
  <c r="N30" i="9"/>
  <c r="L30" i="9"/>
  <c r="H30" i="9"/>
  <c r="G30" i="9"/>
  <c r="E30" i="9"/>
  <c r="C30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7" i="9"/>
  <c r="P27" i="9"/>
  <c r="N27" i="9"/>
  <c r="L27" i="9"/>
  <c r="H27" i="9"/>
  <c r="G27" i="9"/>
  <c r="E27" i="9"/>
  <c r="C27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5" i="9"/>
  <c r="P25" i="9"/>
  <c r="N25" i="9"/>
  <c r="L25" i="9"/>
  <c r="H25" i="9"/>
  <c r="G25" i="9"/>
  <c r="E25" i="9"/>
  <c r="C25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3" i="9"/>
  <c r="P23" i="9"/>
  <c r="N23" i="9"/>
  <c r="L23" i="9"/>
  <c r="H23" i="9"/>
  <c r="G23" i="9"/>
  <c r="E23" i="9"/>
  <c r="C23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1" i="9"/>
  <c r="P31" i="9"/>
  <c r="N31" i="9"/>
  <c r="L31" i="9"/>
  <c r="H31" i="9"/>
  <c r="G31" i="9"/>
  <c r="E31" i="9"/>
  <c r="C31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3" i="9"/>
  <c r="P33" i="9"/>
  <c r="N33" i="9"/>
  <c r="L33" i="9"/>
  <c r="H33" i="9"/>
  <c r="G33" i="9"/>
  <c r="E33" i="9"/>
  <c r="C33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7" i="9"/>
  <c r="P47" i="9"/>
  <c r="N47" i="9"/>
  <c r="L47" i="9"/>
  <c r="H47" i="9"/>
  <c r="G47" i="9"/>
  <c r="E47" i="9"/>
  <c r="C47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38" i="9"/>
  <c r="P38" i="9"/>
  <c r="N38" i="9"/>
  <c r="L38" i="9"/>
  <c r="H38" i="9"/>
  <c r="G38" i="9"/>
  <c r="E38" i="9"/>
  <c r="C38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5" i="9"/>
  <c r="P15" i="9"/>
  <c r="N15" i="9"/>
  <c r="L15" i="9"/>
  <c r="H15" i="9"/>
  <c r="G15" i="9"/>
  <c r="E15" i="9"/>
  <c r="C15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J16" i="5" l="1"/>
  <c r="J15" i="5"/>
  <c r="J11" i="5"/>
  <c r="J10" i="5"/>
  <c r="J12" i="5" s="1"/>
  <c r="J6" i="5"/>
  <c r="J5" i="5"/>
  <c r="G21" i="5"/>
  <c r="G20" i="5"/>
  <c r="G22" i="5" s="1"/>
  <c r="G16" i="5"/>
  <c r="G15" i="5"/>
  <c r="G11" i="5"/>
  <c r="G10" i="5"/>
  <c r="G12" i="5" s="1"/>
  <c r="G6" i="5"/>
  <c r="G5" i="5"/>
  <c r="D37" i="1"/>
  <c r="B37" i="1"/>
  <c r="D36" i="1"/>
  <c r="B36" i="1"/>
  <c r="H28" i="1"/>
  <c r="E28" i="1"/>
  <c r="H27" i="1"/>
  <c r="H29" i="1" s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M21" i="7"/>
  <c r="L21" i="7"/>
  <c r="N21" i="7" s="1"/>
  <c r="O22" i="7"/>
  <c r="J22" i="7"/>
  <c r="E22" i="7"/>
  <c r="C21" i="7"/>
  <c r="B21" i="7"/>
  <c r="R43" i="9"/>
  <c r="F23" i="9"/>
  <c r="I42" i="9"/>
  <c r="O44" i="9"/>
  <c r="F44" i="9"/>
  <c r="F43" i="9"/>
  <c r="O40" i="9"/>
  <c r="O33" i="9"/>
  <c r="F31" i="9"/>
  <c r="O25" i="9"/>
  <c r="O19" i="9"/>
  <c r="F18" i="9"/>
  <c r="O15" i="9"/>
  <c r="O6" i="9"/>
  <c r="F4" i="9"/>
  <c r="M30" i="16"/>
  <c r="F30" i="16"/>
  <c r="E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H11" i="16"/>
  <c r="N20" i="16"/>
  <c r="J23" i="16"/>
  <c r="B23" i="16"/>
  <c r="I23" i="16"/>
  <c r="E23" i="16"/>
  <c r="M23" i="16"/>
  <c r="H37" i="4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H17" i="4"/>
  <c r="G17" i="4"/>
  <c r="F17" i="4"/>
  <c r="E17" i="4"/>
  <c r="D17" i="4"/>
  <c r="C17" i="4"/>
  <c r="B17" i="4"/>
  <c r="E12" i="4"/>
  <c r="D12" i="4"/>
  <c r="C12" i="4"/>
  <c r="B12" i="4"/>
  <c r="I7" i="4"/>
  <c r="H7" i="4"/>
  <c r="G7" i="4"/>
  <c r="F7" i="4"/>
  <c r="E7" i="4"/>
  <c r="D7" i="4"/>
  <c r="C7" i="4"/>
  <c r="B7" i="4"/>
  <c r="J48" i="2"/>
  <c r="J47" i="2"/>
  <c r="O21" i="7"/>
  <c r="J21" i="7"/>
  <c r="E21" i="7"/>
  <c r="H10" i="8"/>
  <c r="D37" i="15"/>
  <c r="K37" i="15"/>
  <c r="N30" i="7"/>
  <c r="P30" i="7"/>
  <c r="N31" i="7"/>
  <c r="P31" i="7" s="1"/>
  <c r="D30" i="7"/>
  <c r="F30" i="7"/>
  <c r="D31" i="7"/>
  <c r="N29" i="7"/>
  <c r="P29" i="7" s="1"/>
  <c r="D29" i="7"/>
  <c r="F29" i="7" s="1"/>
  <c r="N27" i="7"/>
  <c r="P27" i="7" s="1"/>
  <c r="N28" i="7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/>
  <c r="D23" i="7"/>
  <c r="F23" i="7" s="1"/>
  <c r="N32" i="7"/>
  <c r="P32" i="7"/>
  <c r="I32" i="7"/>
  <c r="K32" i="7" s="1"/>
  <c r="D32" i="7"/>
  <c r="F32" i="7" s="1"/>
  <c r="I31" i="7"/>
  <c r="K31" i="7"/>
  <c r="F31" i="7"/>
  <c r="I30" i="7"/>
  <c r="K30" i="7" s="1"/>
  <c r="I29" i="7"/>
  <c r="K29" i="7" s="1"/>
  <c r="P28" i="7"/>
  <c r="I28" i="7"/>
  <c r="K28" i="7"/>
  <c r="I27" i="7"/>
  <c r="K27" i="7" s="1"/>
  <c r="N26" i="7"/>
  <c r="P26" i="7"/>
  <c r="I26" i="7"/>
  <c r="K26" i="7"/>
  <c r="D26" i="7"/>
  <c r="F26" i="7" s="1"/>
  <c r="I25" i="7"/>
  <c r="K25" i="7" s="1"/>
  <c r="I24" i="7"/>
  <c r="K24" i="7"/>
  <c r="I23" i="7"/>
  <c r="K23" i="7" s="1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C6" i="2"/>
  <c r="D6" i="8"/>
  <c r="D12" i="8" s="1"/>
  <c r="P21" i="7" l="1"/>
  <c r="I30" i="16"/>
  <c r="R11" i="9"/>
  <c r="D17" i="15"/>
  <c r="B30" i="16"/>
  <c r="J30" i="16"/>
  <c r="F12" i="9"/>
  <c r="F39" i="9"/>
  <c r="F49" i="9"/>
  <c r="R49" i="9"/>
  <c r="C30" i="16"/>
  <c r="K30" i="16"/>
  <c r="L30" i="16"/>
  <c r="H40" i="4"/>
  <c r="G40" i="4"/>
  <c r="B40" i="15"/>
  <c r="I40" i="9"/>
  <c r="R6" i="9"/>
  <c r="G17" i="5"/>
  <c r="R50" i="9"/>
  <c r="G10" i="9"/>
  <c r="E10" i="9"/>
  <c r="O27" i="9"/>
  <c r="O41" i="9"/>
  <c r="D21" i="7"/>
  <c r="F21" i="7" s="1"/>
  <c r="G21" i="7"/>
  <c r="G37" i="4"/>
  <c r="I19" i="9"/>
  <c r="I21" i="9"/>
  <c r="O30" i="9"/>
  <c r="R15" i="9"/>
  <c r="D38" i="1"/>
  <c r="E37" i="1" s="1"/>
  <c r="J21" i="5"/>
  <c r="F37" i="15"/>
  <c r="O33" i="7"/>
  <c r="C40" i="3"/>
  <c r="K6" i="16"/>
  <c r="G7" i="5"/>
  <c r="J17" i="5"/>
  <c r="H21" i="7"/>
  <c r="O17" i="9"/>
  <c r="O21" i="9"/>
  <c r="R40" i="9"/>
  <c r="E33" i="7"/>
  <c r="G40" i="2"/>
  <c r="C35" i="3"/>
  <c r="D41" i="4"/>
  <c r="H41" i="4"/>
  <c r="K12" i="15"/>
  <c r="K20" i="15"/>
  <c r="F12" i="7"/>
  <c r="G18" i="8"/>
  <c r="F6" i="9"/>
  <c r="F50" i="9"/>
  <c r="H10" i="9"/>
  <c r="I10" i="9" s="1"/>
  <c r="O39" i="9"/>
  <c r="E22" i="1"/>
  <c r="J20" i="5"/>
  <c r="D6" i="2"/>
  <c r="H6" i="2"/>
  <c r="F11" i="2"/>
  <c r="H17" i="2"/>
  <c r="F21" i="2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42" i="9"/>
  <c r="I12" i="15"/>
  <c r="I20" i="15"/>
  <c r="F44" i="2"/>
  <c r="F44" i="3"/>
  <c r="D27" i="15"/>
  <c r="H27" i="15"/>
  <c r="F27" i="15"/>
  <c r="L10" i="8"/>
  <c r="C31" i="8"/>
  <c r="G32" i="8"/>
  <c r="F20" i="9"/>
  <c r="O8" i="9"/>
  <c r="O16" i="9"/>
  <c r="O20" i="9"/>
  <c r="O35" i="9"/>
  <c r="O47" i="9"/>
  <c r="B38" i="1"/>
  <c r="C37" i="1" s="1"/>
  <c r="I7" i="15"/>
  <c r="J7" i="5"/>
  <c r="G37" i="15"/>
  <c r="C37" i="15"/>
  <c r="D20" i="1"/>
  <c r="F20" i="1" s="1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F12" i="4"/>
  <c r="G12" i="4"/>
  <c r="D7" i="15"/>
  <c r="H7" i="15"/>
  <c r="F12" i="15"/>
  <c r="F20" i="15"/>
  <c r="E32" i="15"/>
  <c r="I32" i="15"/>
  <c r="F40" i="15"/>
  <c r="D7" i="7"/>
  <c r="B12" i="7"/>
  <c r="J6" i="8"/>
  <c r="J12" i="8" s="1"/>
  <c r="M8" i="8"/>
  <c r="B18" i="8"/>
  <c r="L18" i="8"/>
  <c r="D23" i="8"/>
  <c r="J23" i="8"/>
  <c r="B28" i="8"/>
  <c r="G28" i="8"/>
  <c r="L28" i="8"/>
  <c r="L10" i="9"/>
  <c r="L14" i="9"/>
  <c r="L29" i="9"/>
  <c r="L37" i="9"/>
  <c r="L53" i="9"/>
  <c r="M40" i="9" s="1"/>
  <c r="I11" i="9"/>
  <c r="I17" i="9"/>
  <c r="I30" i="9"/>
  <c r="I38" i="9"/>
  <c r="I48" i="9"/>
  <c r="I25" i="9"/>
  <c r="I33" i="9"/>
  <c r="I44" i="9"/>
  <c r="I50" i="9"/>
  <c r="E29" i="9"/>
  <c r="E37" i="9"/>
  <c r="N37" i="9"/>
  <c r="P10" i="9"/>
  <c r="R17" i="9"/>
  <c r="R21" i="9"/>
  <c r="R30" i="9"/>
  <c r="R42" i="9"/>
  <c r="R48" i="9"/>
  <c r="R33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19" i="9"/>
  <c r="F25" i="9"/>
  <c r="F33" i="9"/>
  <c r="F40" i="9"/>
  <c r="I8" i="9"/>
  <c r="I20" i="9"/>
  <c r="I27" i="9"/>
  <c r="I35" i="9"/>
  <c r="N29" i="9"/>
  <c r="R8" i="9"/>
  <c r="R20" i="9"/>
  <c r="R27" i="9"/>
  <c r="R35" i="9"/>
  <c r="C21" i="4"/>
  <c r="O50" i="9"/>
  <c r="G29" i="9"/>
  <c r="H42" i="4"/>
  <c r="P29" i="9"/>
  <c r="C40" i="4"/>
  <c r="H41" i="15"/>
  <c r="D41" i="15"/>
  <c r="O38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7" i="9"/>
  <c r="F21" i="9"/>
  <c r="F42" i="9"/>
  <c r="I4" i="9"/>
  <c r="I12" i="9"/>
  <c r="I18" i="9"/>
  <c r="I23" i="9"/>
  <c r="I43" i="9"/>
  <c r="E14" i="9"/>
  <c r="R41" i="9"/>
  <c r="R4" i="9"/>
  <c r="B12" i="15"/>
  <c r="H8" i="1"/>
  <c r="H11" i="1" s="1"/>
  <c r="H22" i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7" i="9"/>
  <c r="F35" i="9"/>
  <c r="F41" i="9"/>
  <c r="F47" i="9"/>
  <c r="O4" i="9"/>
  <c r="O23" i="9"/>
  <c r="O43" i="9"/>
  <c r="R23" i="9"/>
  <c r="R44" i="9"/>
  <c r="G21" i="4"/>
  <c r="H21" i="4"/>
  <c r="D21" i="4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6" i="3"/>
  <c r="I15" i="2" s="1"/>
  <c r="J15" i="2" s="1"/>
  <c r="E21" i="4"/>
  <c r="E42" i="4"/>
  <c r="I37" i="4"/>
  <c r="I42" i="4" s="1"/>
  <c r="I40" i="4"/>
  <c r="K40" i="15"/>
  <c r="K27" i="15"/>
  <c r="C40" i="15"/>
  <c r="D31" i="8"/>
  <c r="C10" i="9"/>
  <c r="F11" i="9"/>
  <c r="C14" i="9"/>
  <c r="F15" i="9"/>
  <c r="C29" i="9"/>
  <c r="F30" i="9"/>
  <c r="F38" i="9"/>
  <c r="C37" i="9"/>
  <c r="C46" i="9"/>
  <c r="F48" i="9"/>
  <c r="G14" i="9"/>
  <c r="I16" i="9"/>
  <c r="G37" i="9"/>
  <c r="I41" i="9"/>
  <c r="G46" i="9"/>
  <c r="I47" i="9"/>
  <c r="H37" i="9"/>
  <c r="I39" i="9"/>
  <c r="I49" i="9"/>
  <c r="H46" i="9"/>
  <c r="O18" i="9"/>
  <c r="N14" i="9"/>
  <c r="R16" i="9"/>
  <c r="P14" i="9"/>
  <c r="P53" i="9"/>
  <c r="R47" i="9"/>
  <c r="P46" i="9"/>
  <c r="R12" i="9"/>
  <c r="Q10" i="9"/>
  <c r="R18" i="9"/>
  <c r="Q14" i="9"/>
  <c r="Q29" i="9"/>
  <c r="R31" i="9"/>
  <c r="Q37" i="9"/>
  <c r="R39" i="9"/>
  <c r="J33" i="7"/>
  <c r="L6" i="15"/>
  <c r="J6" i="4" s="1"/>
  <c r="K6" i="4" s="1"/>
  <c r="C6" i="1" s="1"/>
  <c r="H14" i="9"/>
  <c r="N35" i="16"/>
  <c r="G22" i="3"/>
  <c r="H17" i="15"/>
  <c r="B18" i="16"/>
  <c r="F18" i="16"/>
  <c r="I17" i="15"/>
  <c r="C17" i="15"/>
  <c r="D21" i="1"/>
  <c r="F21" i="1" s="1"/>
  <c r="E6" i="2"/>
  <c r="C11" i="2"/>
  <c r="G11" i="2"/>
  <c r="E17" i="2"/>
  <c r="C21" i="2"/>
  <c r="G21" i="2"/>
  <c r="E30" i="2"/>
  <c r="G35" i="2"/>
  <c r="E40" i="2"/>
  <c r="C7" i="3"/>
  <c r="G7" i="3"/>
  <c r="E12" i="3"/>
  <c r="I11" i="3"/>
  <c r="I10" i="2" s="1"/>
  <c r="J10" i="2" s="1"/>
  <c r="C18" i="3"/>
  <c r="G18" i="3"/>
  <c r="E22" i="3"/>
  <c r="I21" i="3"/>
  <c r="I20" i="2" s="1"/>
  <c r="J20" i="2" s="1"/>
  <c r="C30" i="3"/>
  <c r="E35" i="3"/>
  <c r="G40" i="3"/>
  <c r="I12" i="4"/>
  <c r="B46" i="4"/>
  <c r="B47" i="4" s="1"/>
  <c r="F7" i="15"/>
  <c r="K7" i="15"/>
  <c r="D12" i="15"/>
  <c r="H12" i="15"/>
  <c r="F17" i="15"/>
  <c r="F21" i="15" s="1"/>
  <c r="D20" i="15"/>
  <c r="D21" i="15" s="1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19" i="9"/>
  <c r="R25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10" i="3"/>
  <c r="I9" i="2" s="1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G42" i="4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5" i="3"/>
  <c r="I4" i="2" s="1"/>
  <c r="I6" i="3"/>
  <c r="I5" i="2" s="1"/>
  <c r="J5" i="2" s="1"/>
  <c r="C5" i="1" s="1"/>
  <c r="I17" i="3"/>
  <c r="I16" i="2" s="1"/>
  <c r="J16" i="2" s="1"/>
  <c r="I20" i="3"/>
  <c r="I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42" i="15" s="1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C53" i="9"/>
  <c r="H29" i="9"/>
  <c r="I31" i="9"/>
  <c r="N10" i="9"/>
  <c r="O12" i="9"/>
  <c r="O49" i="9"/>
  <c r="N46" i="9"/>
  <c r="Q53" i="9"/>
  <c r="L10" i="15"/>
  <c r="J10" i="4" s="1"/>
  <c r="G53" i="9"/>
  <c r="H53" i="9"/>
  <c r="E46" i="9"/>
  <c r="Q46" i="9"/>
  <c r="N53" i="9"/>
  <c r="F16" i="9"/>
  <c r="E41" i="15"/>
  <c r="O29" i="9"/>
  <c r="L46" i="9"/>
  <c r="O48" i="9"/>
  <c r="E53" i="9"/>
  <c r="R38" i="9"/>
  <c r="P37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1" i="9"/>
  <c r="I15" i="9"/>
  <c r="O37" i="9" l="1"/>
  <c r="B42" i="15"/>
  <c r="E23" i="3"/>
  <c r="I21" i="2"/>
  <c r="E23" i="2"/>
  <c r="M10" i="8"/>
  <c r="D23" i="2"/>
  <c r="F37" i="9"/>
  <c r="H23" i="2"/>
  <c r="J22" i="5"/>
  <c r="O53" i="9"/>
  <c r="J27" i="4"/>
  <c r="K27" i="4" s="1"/>
  <c r="F45" i="2"/>
  <c r="F23" i="3"/>
  <c r="I21" i="7"/>
  <c r="K21" i="7" s="1"/>
  <c r="C36" i="1"/>
  <c r="F10" i="9"/>
  <c r="N30" i="16"/>
  <c r="E21" i="15"/>
  <c r="H23" i="3"/>
  <c r="E36" i="1"/>
  <c r="G33" i="8"/>
  <c r="H33" i="8"/>
  <c r="L33" i="8"/>
  <c r="G12" i="7"/>
  <c r="O14" i="9"/>
  <c r="D42" i="15"/>
  <c r="D45" i="3"/>
  <c r="I21" i="15"/>
  <c r="H21" i="15"/>
  <c r="C23" i="2"/>
  <c r="F14" i="9"/>
  <c r="G21" i="15"/>
  <c r="F23" i="2"/>
  <c r="L12" i="8"/>
  <c r="F45" i="3"/>
  <c r="E45" i="3"/>
  <c r="G20" i="1"/>
  <c r="I20" i="1" s="1"/>
  <c r="R29" i="9"/>
  <c r="J42" i="15"/>
  <c r="I12" i="3"/>
  <c r="O10" i="9"/>
  <c r="G42" i="15"/>
  <c r="I42" i="15"/>
  <c r="D23" i="3"/>
  <c r="J21" i="15"/>
  <c r="R10" i="9"/>
  <c r="E54" i="9"/>
  <c r="E52" i="9" s="1"/>
  <c r="H42" i="15"/>
  <c r="G45" i="3"/>
  <c r="G45" i="2"/>
  <c r="K33" i="8"/>
  <c r="D45" i="2"/>
  <c r="C42" i="15"/>
  <c r="R37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H54" i="9"/>
  <c r="H52" i="9" s="1"/>
  <c r="I35" i="2"/>
  <c r="R53" i="9"/>
  <c r="G21" i="1"/>
  <c r="I21" i="1" s="1"/>
  <c r="G23" i="2"/>
  <c r="R14" i="9"/>
  <c r="K25" i="4"/>
  <c r="C5" i="5" s="1"/>
  <c r="C7" i="5" s="1"/>
  <c r="D19" i="1"/>
  <c r="J21" i="2"/>
  <c r="C22" i="7"/>
  <c r="C33" i="7" s="1"/>
  <c r="D7" i="1"/>
  <c r="F7" i="1" s="1"/>
  <c r="J9" i="2"/>
  <c r="D18" i="1"/>
  <c r="F18" i="1" s="1"/>
  <c r="L12" i="15"/>
  <c r="I14" i="9"/>
  <c r="N18" i="16"/>
  <c r="B22" i="7"/>
  <c r="B33" i="7" s="1"/>
  <c r="J33" i="8"/>
  <c r="M18" i="8"/>
  <c r="I18" i="3"/>
  <c r="L37" i="15"/>
  <c r="I17" i="2"/>
  <c r="J17" i="2" s="1"/>
  <c r="I46" i="9"/>
  <c r="G54" i="9"/>
  <c r="G52" i="9" s="1"/>
  <c r="K42" i="15"/>
  <c r="C16" i="1"/>
  <c r="C45" i="3"/>
  <c r="N11" i="16"/>
  <c r="C8" i="1"/>
  <c r="C10" i="1"/>
  <c r="I7" i="3"/>
  <c r="I37" i="9"/>
  <c r="C54" i="9"/>
  <c r="D53" i="9" s="1"/>
  <c r="F29" i="9"/>
  <c r="L17" i="15"/>
  <c r="N6" i="16"/>
  <c r="G7" i="7"/>
  <c r="B33" i="1"/>
  <c r="D33" i="1" s="1"/>
  <c r="I6" i="2"/>
  <c r="J6" i="2" s="1"/>
  <c r="D5" i="1" s="1"/>
  <c r="J33" i="2"/>
  <c r="B10" i="5" s="1"/>
  <c r="B20" i="5" s="1"/>
  <c r="B33" i="8"/>
  <c r="M23" i="8"/>
  <c r="I43" i="3"/>
  <c r="B45" i="3"/>
  <c r="I22" i="3"/>
  <c r="B23" i="3"/>
  <c r="J4" i="2"/>
  <c r="B5" i="1" s="1"/>
  <c r="E15" i="5"/>
  <c r="B17" i="5"/>
  <c r="B11" i="5"/>
  <c r="E11" i="5" s="1"/>
  <c r="F11" i="5" s="1"/>
  <c r="C28" i="1"/>
  <c r="I44" i="2"/>
  <c r="J44" i="2" s="1"/>
  <c r="N37" i="16"/>
  <c r="D10" i="5"/>
  <c r="D12" i="5" s="1"/>
  <c r="L40" i="15"/>
  <c r="M32" i="8"/>
  <c r="C17" i="1"/>
  <c r="C45" i="2"/>
  <c r="C33" i="8"/>
  <c r="P54" i="9"/>
  <c r="D5" i="5"/>
  <c r="L32" i="15"/>
  <c r="B7" i="5"/>
  <c r="M28" i="8"/>
  <c r="D33" i="8"/>
  <c r="L20" i="15"/>
  <c r="B21" i="15"/>
  <c r="I35" i="3"/>
  <c r="N54" i="9"/>
  <c r="N52" i="9" s="1"/>
  <c r="N23" i="16"/>
  <c r="B12" i="8"/>
  <c r="M6" i="8"/>
  <c r="H45" i="3"/>
  <c r="B45" i="2"/>
  <c r="J20" i="4"/>
  <c r="K18" i="4"/>
  <c r="B17" i="1" s="1"/>
  <c r="D17" i="1" s="1"/>
  <c r="L7" i="15"/>
  <c r="J5" i="4"/>
  <c r="E42" i="15"/>
  <c r="L27" i="15"/>
  <c r="L54" i="9"/>
  <c r="M46" i="9" s="1"/>
  <c r="O46" i="9"/>
  <c r="I53" i="9"/>
  <c r="B28" i="1"/>
  <c r="D6" i="5"/>
  <c r="D21" i="5" s="1"/>
  <c r="D42" i="4"/>
  <c r="Q54" i="9"/>
  <c r="Q52" i="9" s="1"/>
  <c r="R46" i="9"/>
  <c r="F53" i="9"/>
  <c r="D40" i="9"/>
  <c r="D17" i="5"/>
  <c r="M31" i="8"/>
  <c r="L41" i="15"/>
  <c r="I40" i="2"/>
  <c r="J40" i="2" s="1"/>
  <c r="I30" i="3"/>
  <c r="J35" i="2"/>
  <c r="H45" i="2"/>
  <c r="J19" i="2"/>
  <c r="B16" i="1" s="1"/>
  <c r="I43" i="2"/>
  <c r="I30" i="2"/>
  <c r="J30" i="2" s="1"/>
  <c r="I29" i="9"/>
  <c r="J37" i="4"/>
  <c r="J42" i="4" s="1"/>
  <c r="J40" i="4"/>
  <c r="K40" i="4" s="1"/>
  <c r="K10" i="4"/>
  <c r="B23" i="2"/>
  <c r="F46" i="9"/>
  <c r="K36" i="4"/>
  <c r="C16" i="5" s="1"/>
  <c r="C21" i="5" s="1"/>
  <c r="K30" i="4"/>
  <c r="C10" i="5" s="1"/>
  <c r="C12" i="5" s="1"/>
  <c r="I44" i="3"/>
  <c r="B42" i="4"/>
  <c r="B27" i="1" l="1"/>
  <c r="B29" i="1" s="1"/>
  <c r="G18" i="1"/>
  <c r="I18" i="1" s="1"/>
  <c r="B10" i="1"/>
  <c r="D10" i="1" s="1"/>
  <c r="M12" i="8"/>
  <c r="L21" i="15"/>
  <c r="E5" i="5"/>
  <c r="F5" i="5" s="1"/>
  <c r="I23" i="3"/>
  <c r="L42" i="15"/>
  <c r="F19" i="1"/>
  <c r="I54" i="9"/>
  <c r="G19" i="1"/>
  <c r="D22" i="7"/>
  <c r="D33" i="7" s="1"/>
  <c r="F33" i="7" s="1"/>
  <c r="G7" i="1"/>
  <c r="I7" i="1" s="1"/>
  <c r="C33" i="1"/>
  <c r="C11" i="1"/>
  <c r="M22" i="7" s="1"/>
  <c r="H22" i="7" s="1"/>
  <c r="C22" i="1"/>
  <c r="D43" i="9"/>
  <c r="D8" i="9"/>
  <c r="D35" i="9"/>
  <c r="D15" i="9"/>
  <c r="D31" i="9"/>
  <c r="D19" i="9"/>
  <c r="D41" i="9"/>
  <c r="D38" i="9"/>
  <c r="D37" i="9"/>
  <c r="D21" i="9"/>
  <c r="D47" i="9"/>
  <c r="D48" i="9"/>
  <c r="D30" i="9"/>
  <c r="D17" i="9"/>
  <c r="D23" i="9"/>
  <c r="D27" i="9"/>
  <c r="D46" i="9"/>
  <c r="D11" i="9"/>
  <c r="D39" i="9"/>
  <c r="D16" i="9"/>
  <c r="D49" i="9"/>
  <c r="D14" i="9"/>
  <c r="D18" i="9"/>
  <c r="D33" i="9"/>
  <c r="D10" i="9"/>
  <c r="D6" i="9"/>
  <c r="D12" i="9"/>
  <c r="D25" i="9"/>
  <c r="D54" i="9"/>
  <c r="D4" i="9"/>
  <c r="D20" i="9"/>
  <c r="D44" i="9"/>
  <c r="D50" i="9"/>
  <c r="D42" i="9"/>
  <c r="K42" i="4"/>
  <c r="F54" i="9"/>
  <c r="I23" i="2"/>
  <c r="J23" i="2" s="1"/>
  <c r="B32" i="1"/>
  <c r="I52" i="9"/>
  <c r="I45" i="2"/>
  <c r="J45" i="2" s="1"/>
  <c r="C52" i="9"/>
  <c r="D52" i="9" s="1"/>
  <c r="I45" i="3"/>
  <c r="D29" i="9"/>
  <c r="J7" i="4"/>
  <c r="K7" i="4" s="1"/>
  <c r="K5" i="4"/>
  <c r="B6" i="1" s="1"/>
  <c r="G17" i="1"/>
  <c r="I17" i="1" s="1"/>
  <c r="F17" i="1"/>
  <c r="G5" i="1"/>
  <c r="F5" i="1"/>
  <c r="E6" i="5"/>
  <c r="F6" i="5" s="1"/>
  <c r="D28" i="1"/>
  <c r="C27" i="1"/>
  <c r="C29" i="1" s="1"/>
  <c r="H11" i="5"/>
  <c r="I11" i="5"/>
  <c r="K11" i="5" s="1"/>
  <c r="F15" i="5"/>
  <c r="M33" i="8"/>
  <c r="B22" i="1"/>
  <c r="D16" i="1"/>
  <c r="K37" i="4"/>
  <c r="L52" i="9"/>
  <c r="M35" i="9"/>
  <c r="M19" i="9"/>
  <c r="M31" i="9"/>
  <c r="M21" i="9"/>
  <c r="M23" i="9"/>
  <c r="M49" i="9"/>
  <c r="M25" i="9"/>
  <c r="M4" i="9"/>
  <c r="M47" i="9"/>
  <c r="M12" i="9"/>
  <c r="M38" i="9"/>
  <c r="M41" i="9"/>
  <c r="O54" i="9"/>
  <c r="M15" i="9"/>
  <c r="M53" i="9"/>
  <c r="M10" i="9"/>
  <c r="M18" i="9"/>
  <c r="M33" i="9"/>
  <c r="M43" i="9"/>
  <c r="M6" i="9"/>
  <c r="M11" i="9"/>
  <c r="M20" i="9"/>
  <c r="M29" i="9"/>
  <c r="M17" i="9"/>
  <c r="M30" i="9"/>
  <c r="M54" i="9"/>
  <c r="M27" i="9"/>
  <c r="M44" i="9"/>
  <c r="M42" i="9"/>
  <c r="M48" i="9"/>
  <c r="M8" i="9"/>
  <c r="M50" i="9"/>
  <c r="M16" i="9"/>
  <c r="M39" i="9"/>
  <c r="M37" i="9"/>
  <c r="M14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2" i="9"/>
  <c r="R52" i="9" s="1"/>
  <c r="R54" i="9"/>
  <c r="C20" i="5"/>
  <c r="C22" i="5" s="1"/>
  <c r="E10" i="5"/>
  <c r="E16" i="5"/>
  <c r="F16" i="5" s="1"/>
  <c r="M33" i="7" l="1"/>
  <c r="F22" i="7"/>
  <c r="I19" i="1"/>
  <c r="E7" i="5"/>
  <c r="D6" i="1"/>
  <c r="G6" i="1" s="1"/>
  <c r="H33" i="7"/>
  <c r="B22" i="5"/>
  <c r="F52" i="9"/>
  <c r="C32" i="1"/>
  <c r="D32" i="1"/>
  <c r="D34" i="1" s="1"/>
  <c r="E17" i="5"/>
  <c r="D27" i="1" s="1"/>
  <c r="I5" i="1"/>
  <c r="G16" i="1"/>
  <c r="F16" i="1"/>
  <c r="D22" i="1"/>
  <c r="F22" i="1" s="1"/>
  <c r="H15" i="5"/>
  <c r="I15" i="5"/>
  <c r="F17" i="5"/>
  <c r="H17" i="5" s="1"/>
  <c r="I16" i="5"/>
  <c r="H16" i="5"/>
  <c r="G10" i="1"/>
  <c r="F10" i="1"/>
  <c r="F10" i="5"/>
  <c r="E12" i="5"/>
  <c r="F28" i="1"/>
  <c r="G28" i="1"/>
  <c r="I28" i="1" s="1"/>
  <c r="B8" i="1"/>
  <c r="B11" i="1" s="1"/>
  <c r="L22" i="7" s="1"/>
  <c r="I5" i="5"/>
  <c r="F7" i="5"/>
  <c r="H7" i="5" s="1"/>
  <c r="H5" i="5"/>
  <c r="E20" i="5"/>
  <c r="M52" i="9"/>
  <c r="O52" i="9"/>
  <c r="H6" i="5"/>
  <c r="I6" i="5"/>
  <c r="F6" i="1" l="1"/>
  <c r="I10" i="1"/>
  <c r="I6" i="1"/>
  <c r="D8" i="1"/>
  <c r="E32" i="1"/>
  <c r="E33" i="1"/>
  <c r="K15" i="5"/>
  <c r="I17" i="5"/>
  <c r="K17" i="5" s="1"/>
  <c r="G22" i="1"/>
  <c r="I22" i="1" s="1"/>
  <c r="I16" i="1"/>
  <c r="K5" i="5"/>
  <c r="I7" i="5"/>
  <c r="K7" i="5" s="1"/>
  <c r="F12" i="5"/>
  <c r="H12" i="5" s="1"/>
  <c r="I10" i="5"/>
  <c r="H10" i="5"/>
  <c r="G27" i="1"/>
  <c r="F27" i="1"/>
  <c r="D29" i="1"/>
  <c r="F29" i="1" s="1"/>
  <c r="K6" i="5"/>
  <c r="I21" i="5"/>
  <c r="K21" i="5" s="1"/>
  <c r="F20" i="5"/>
  <c r="E22" i="5"/>
  <c r="L33" i="7"/>
  <c r="G22" i="7"/>
  <c r="N22" i="7"/>
  <c r="G8" i="1"/>
  <c r="F8" i="1" l="1"/>
  <c r="D11" i="1"/>
  <c r="F11" i="1" s="1"/>
  <c r="F22" i="5"/>
  <c r="H22" i="5" s="1"/>
  <c r="H20" i="5"/>
  <c r="I22" i="7"/>
  <c r="G33" i="7"/>
  <c r="G29" i="1"/>
  <c r="I29" i="1" s="1"/>
  <c r="I27" i="1"/>
  <c r="P22" i="7"/>
  <c r="N33" i="7"/>
  <c r="P33" i="7" s="1"/>
  <c r="I8" i="1"/>
  <c r="G11" i="1"/>
  <c r="I11" i="1" s="1"/>
  <c r="K10" i="5"/>
  <c r="I12" i="5"/>
  <c r="K12" i="5" s="1"/>
  <c r="I20" i="5"/>
  <c r="K22" i="7" l="1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<sst xmlns="http://schemas.openxmlformats.org/spreadsheetml/2006/main" count="530" uniqueCount="217">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</sst>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7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1" fontId="4" fillId="2" borderId="58" xfId="0" applyNumberFormat="1" applyFont="1" applyFill="1" applyBorder="1" applyAlignment="1">
      <alignment horizontal="center" wrapText="1"/>
    </xf>
    <xf numFmtId="10" fontId="4" fillId="2" borderId="59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 wrapText="1"/>
    </xf>
    <xf numFmtId="0" fontId="4" fillId="5" borderId="59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 wrapText="1"/>
    </xf>
    <xf numFmtId="165" fontId="0" fillId="0" borderId="49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64" fontId="1" fillId="0" borderId="65" xfId="3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2" xfId="1" applyNumberFormat="1" applyFont="1" applyBorder="1" applyAlignment="1">
      <alignment horizontal="center"/>
    </xf>
    <xf numFmtId="10" fontId="4" fillId="5" borderId="59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3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Border="1"/>
    <xf numFmtId="10" fontId="13" fillId="0" borderId="76" xfId="0" applyNumberFormat="1" applyFont="1" applyFill="1" applyBorder="1"/>
    <xf numFmtId="3" fontId="13" fillId="0" borderId="77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8" xfId="0" applyNumberFormat="1" applyFont="1" applyBorder="1"/>
    <xf numFmtId="10" fontId="13" fillId="0" borderId="9" xfId="0" applyNumberFormat="1" applyFont="1" applyBorder="1"/>
    <xf numFmtId="10" fontId="13" fillId="0" borderId="78" xfId="0" applyNumberFormat="1" applyFont="1" applyBorder="1"/>
    <xf numFmtId="10" fontId="13" fillId="0" borderId="79" xfId="0" applyNumberFormat="1" applyFont="1" applyFill="1" applyBorder="1"/>
    <xf numFmtId="0" fontId="5" fillId="0" borderId="19" xfId="0" applyFont="1" applyBorder="1"/>
    <xf numFmtId="0" fontId="5" fillId="0" borderId="80" xfId="0" applyFont="1" applyBorder="1"/>
    <xf numFmtId="0" fontId="19" fillId="0" borderId="81" xfId="0" applyFont="1" applyBorder="1" applyAlignment="1">
      <alignment horizontal="right"/>
    </xf>
    <xf numFmtId="10" fontId="4" fillId="5" borderId="58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8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83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6" xfId="0" applyNumberFormat="1" applyFont="1" applyBorder="1"/>
    <xf numFmtId="10" fontId="13" fillId="0" borderId="43" xfId="0" applyNumberFormat="1" applyFont="1" applyBorder="1"/>
    <xf numFmtId="10" fontId="13" fillId="0" borderId="79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17" fontId="4" fillId="0" borderId="47" xfId="0" quotePrefix="1" applyNumberFormat="1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0" fillId="3" borderId="5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80" xfId="0" applyFill="1" applyBorder="1" applyAlignment="1">
      <alignment vertical="center" textRotation="255"/>
    </xf>
    <xf numFmtId="0" fontId="0" fillId="7" borderId="8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0" fillId="6" borderId="58" xfId="0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3" fontId="4" fillId="5" borderId="59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9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3" fontId="4" fillId="2" borderId="59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>
        <row r="5">
          <cell r="D5">
            <v>1706760</v>
          </cell>
          <cell r="G5">
            <v>3471809</v>
          </cell>
        </row>
        <row r="6">
          <cell r="D6">
            <v>667381</v>
          </cell>
          <cell r="G6">
            <v>1372438</v>
          </cell>
        </row>
        <row r="7">
          <cell r="D7">
            <v>515</v>
          </cell>
          <cell r="G7">
            <v>883</v>
          </cell>
        </row>
        <row r="10">
          <cell r="D10">
            <v>77238</v>
          </cell>
          <cell r="G10">
            <v>165115</v>
          </cell>
        </row>
        <row r="16">
          <cell r="D16">
            <v>13399</v>
          </cell>
          <cell r="G16">
            <v>28360</v>
          </cell>
        </row>
        <row r="17">
          <cell r="D17">
            <v>13816</v>
          </cell>
          <cell r="G17">
            <v>29211</v>
          </cell>
        </row>
        <row r="18">
          <cell r="D18">
            <v>12</v>
          </cell>
          <cell r="G18">
            <v>19</v>
          </cell>
        </row>
        <row r="19">
          <cell r="D19">
            <v>952</v>
          </cell>
          <cell r="G19">
            <v>2032</v>
          </cell>
        </row>
        <row r="20">
          <cell r="D20">
            <v>2123</v>
          </cell>
          <cell r="G20">
            <v>3809</v>
          </cell>
        </row>
        <row r="21">
          <cell r="D21">
            <v>98</v>
          </cell>
          <cell r="G21">
            <v>192</v>
          </cell>
        </row>
        <row r="27">
          <cell r="D27">
            <v>14027.816231907171</v>
          </cell>
          <cell r="G27">
            <v>29211.152222503792</v>
          </cell>
        </row>
        <row r="28">
          <cell r="D28">
            <v>1416.0618552403398</v>
          </cell>
          <cell r="G28">
            <v>2541.3841554894097</v>
          </cell>
        </row>
        <row r="32">
          <cell r="B32">
            <v>727027</v>
          </cell>
          <cell r="D32">
            <v>1469287</v>
          </cell>
        </row>
        <row r="33">
          <cell r="B33">
            <v>469431</v>
          </cell>
          <cell r="D33">
            <v>973083</v>
          </cell>
        </row>
      </sheetData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>
        <row r="5">
          <cell r="F5">
            <v>6805.0322315113599</v>
          </cell>
          <cell r="I5">
            <v>13757.42709859595</v>
          </cell>
        </row>
        <row r="6">
          <cell r="F6">
            <v>579.45654160470997</v>
          </cell>
          <cell r="I6">
            <v>1295.1808494124498</v>
          </cell>
        </row>
        <row r="10">
          <cell r="F10">
            <v>7222.7840003958099</v>
          </cell>
          <cell r="I10">
            <v>15453.72512390784</v>
          </cell>
        </row>
        <row r="11">
          <cell r="F11">
            <v>836.60531363562995</v>
          </cell>
          <cell r="I11">
            <v>1246.20330607696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14027.816231907169</v>
          </cell>
        </row>
        <row r="21">
          <cell r="F21">
            <v>1416.06185524034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1831731</v>
          </cell>
        </row>
        <row r="6">
          <cell r="G6">
            <v>673963</v>
          </cell>
        </row>
        <row r="7">
          <cell r="G7">
            <v>847</v>
          </cell>
        </row>
        <row r="10">
          <cell r="G10">
            <v>87459</v>
          </cell>
        </row>
        <row r="16">
          <cell r="G16">
            <v>14928</v>
          </cell>
        </row>
        <row r="17">
          <cell r="G17">
            <v>14009</v>
          </cell>
        </row>
        <row r="18">
          <cell r="G18">
            <v>11</v>
          </cell>
        </row>
        <row r="19">
          <cell r="G19">
            <v>1000</v>
          </cell>
        </row>
        <row r="20">
          <cell r="G20">
            <v>1666</v>
          </cell>
        </row>
        <row r="21">
          <cell r="G21">
            <v>50</v>
          </cell>
        </row>
        <row r="27">
          <cell r="G27">
            <v>15285.758054927359</v>
          </cell>
        </row>
        <row r="28">
          <cell r="G28">
            <v>1051.2806033244899</v>
          </cell>
        </row>
        <row r="32">
          <cell r="D32">
            <v>742439</v>
          </cell>
        </row>
        <row r="33">
          <cell r="D33">
            <v>519165</v>
          </cell>
        </row>
      </sheetData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>
        <row r="5">
          <cell r="I5">
            <v>7162.0647649704997</v>
          </cell>
        </row>
        <row r="6">
          <cell r="I6">
            <v>617.37051344352994</v>
          </cell>
        </row>
        <row r="10">
          <cell r="I10">
            <v>8123.6932899568601</v>
          </cell>
        </row>
        <row r="11">
          <cell r="I11">
            <v>433.91008988096002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DY4"/>
        </row>
        <row r="5">
          <cell r="DY5"/>
        </row>
        <row r="8">
          <cell r="DY8"/>
        </row>
        <row r="9">
          <cell r="DY9"/>
        </row>
        <row r="19">
          <cell r="DJ19">
            <v>224</v>
          </cell>
          <cell r="DK19">
            <v>200</v>
          </cell>
          <cell r="DX19">
            <v>0</v>
          </cell>
          <cell r="DY19">
            <v>0</v>
          </cell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41">
          <cell r="DJ41">
            <v>21297</v>
          </cell>
          <cell r="DK41">
            <v>18405</v>
          </cell>
          <cell r="DX41">
            <v>0</v>
          </cell>
          <cell r="DY41">
            <v>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4">
        <row r="4">
          <cell r="DY4"/>
        </row>
        <row r="5">
          <cell r="DY5"/>
        </row>
        <row r="8">
          <cell r="DY8"/>
        </row>
        <row r="9">
          <cell r="DY9"/>
        </row>
        <row r="15">
          <cell r="DX15"/>
          <cell r="DY15"/>
        </row>
        <row r="16">
          <cell r="DX16"/>
          <cell r="DY16"/>
        </row>
        <row r="19">
          <cell r="DJ19">
            <v>0</v>
          </cell>
          <cell r="DK19">
            <v>0</v>
          </cell>
          <cell r="DX19">
            <v>0</v>
          </cell>
          <cell r="DY19">
            <v>0</v>
          </cell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  <row r="41">
          <cell r="DJ41">
            <v>0</v>
          </cell>
          <cell r="DK41">
            <v>0</v>
          </cell>
          <cell r="DX41">
            <v>0</v>
          </cell>
          <cell r="DY41">
            <v>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5"/>
      <sheetData sheetId="6">
        <row r="4">
          <cell r="DY4">
            <v>29</v>
          </cell>
        </row>
        <row r="5">
          <cell r="DY5">
            <v>29</v>
          </cell>
        </row>
        <row r="8">
          <cell r="DY8"/>
        </row>
        <row r="9">
          <cell r="DY9"/>
        </row>
        <row r="19">
          <cell r="DJ19">
            <v>124</v>
          </cell>
          <cell r="DK19">
            <v>110</v>
          </cell>
          <cell r="DX19">
            <v>70</v>
          </cell>
          <cell r="DY19">
            <v>58</v>
          </cell>
        </row>
        <row r="22">
          <cell r="DY22">
            <v>3628</v>
          </cell>
        </row>
        <row r="23">
          <cell r="DY23">
            <v>3519</v>
          </cell>
        </row>
        <row r="27">
          <cell r="DY27">
            <v>123</v>
          </cell>
        </row>
        <row r="28">
          <cell r="DY28">
            <v>168</v>
          </cell>
        </row>
        <row r="41">
          <cell r="DJ41">
            <v>14249</v>
          </cell>
          <cell r="DK41">
            <v>13364</v>
          </cell>
          <cell r="DX41">
            <v>9785</v>
          </cell>
          <cell r="DY41">
            <v>7147</v>
          </cell>
        </row>
        <row r="47">
          <cell r="DY47">
            <v>657</v>
          </cell>
        </row>
        <row r="48">
          <cell r="DY48"/>
        </row>
        <row r="52">
          <cell r="DY52">
            <v>1093</v>
          </cell>
        </row>
        <row r="53">
          <cell r="DY53"/>
        </row>
        <row r="57">
          <cell r="DY57"/>
        </row>
        <row r="58">
          <cell r="DY58"/>
        </row>
      </sheetData>
      <sheetData sheetId="7"/>
      <sheetData sheetId="8">
        <row r="4">
          <cell r="DY4">
            <v>315</v>
          </cell>
        </row>
        <row r="5">
          <cell r="DY5">
            <v>314</v>
          </cell>
        </row>
        <row r="8">
          <cell r="DY8"/>
        </row>
        <row r="9">
          <cell r="DY9"/>
        </row>
        <row r="19">
          <cell r="DJ19">
            <v>568</v>
          </cell>
          <cell r="DK19">
            <v>488</v>
          </cell>
          <cell r="DX19">
            <v>699</v>
          </cell>
          <cell r="DY19">
            <v>629</v>
          </cell>
        </row>
        <row r="22">
          <cell r="DY22">
            <v>38147</v>
          </cell>
        </row>
        <row r="23">
          <cell r="DY23">
            <v>38986</v>
          </cell>
        </row>
        <row r="27">
          <cell r="DY27">
            <v>1362</v>
          </cell>
        </row>
        <row r="28">
          <cell r="DY28">
            <v>1333</v>
          </cell>
        </row>
        <row r="41">
          <cell r="DJ41">
            <v>56480</v>
          </cell>
          <cell r="DK41">
            <v>56577</v>
          </cell>
          <cell r="DX41">
            <v>81201</v>
          </cell>
          <cell r="DY41">
            <v>77133</v>
          </cell>
        </row>
        <row r="47">
          <cell r="DY47">
            <v>29073</v>
          </cell>
        </row>
        <row r="48">
          <cell r="DY48">
            <v>2046</v>
          </cell>
        </row>
        <row r="52">
          <cell r="DY52">
            <v>11737</v>
          </cell>
        </row>
        <row r="53">
          <cell r="DY53">
            <v>2046</v>
          </cell>
        </row>
        <row r="57">
          <cell r="DY57"/>
        </row>
        <row r="58">
          <cell r="DY58"/>
        </row>
      </sheetData>
      <sheetData sheetId="9"/>
      <sheetData sheetId="10">
        <row r="4">
          <cell r="DY4">
            <v>521</v>
          </cell>
        </row>
        <row r="5">
          <cell r="DY5">
            <v>524</v>
          </cell>
        </row>
        <row r="8">
          <cell r="DY8">
            <v>44</v>
          </cell>
        </row>
        <row r="9">
          <cell r="DY9">
            <v>40</v>
          </cell>
        </row>
        <row r="15">
          <cell r="DX15">
            <v>177</v>
          </cell>
          <cell r="DY15">
            <v>246</v>
          </cell>
        </row>
        <row r="16">
          <cell r="DX16">
            <v>176</v>
          </cell>
          <cell r="DY16">
            <v>247</v>
          </cell>
        </row>
        <row r="19">
          <cell r="DJ19">
            <v>1549</v>
          </cell>
          <cell r="DK19">
            <v>1531</v>
          </cell>
          <cell r="DX19">
            <v>1584</v>
          </cell>
          <cell r="DY19">
            <v>1622</v>
          </cell>
        </row>
        <row r="22">
          <cell r="DY22">
            <v>60796</v>
          </cell>
        </row>
        <row r="23">
          <cell r="DY23">
            <v>64972</v>
          </cell>
        </row>
        <row r="27">
          <cell r="DY27">
            <v>1315</v>
          </cell>
        </row>
        <row r="28">
          <cell r="DY28">
            <v>1174</v>
          </cell>
        </row>
        <row r="32">
          <cell r="DX32">
            <v>21291</v>
          </cell>
          <cell r="DY32">
            <v>31410</v>
          </cell>
        </row>
        <row r="33">
          <cell r="DX33">
            <v>23329</v>
          </cell>
          <cell r="DY33">
            <v>33827</v>
          </cell>
        </row>
        <row r="37">
          <cell r="DX37">
            <v>180</v>
          </cell>
          <cell r="DY37">
            <v>169</v>
          </cell>
        </row>
        <row r="38">
          <cell r="DX38">
            <v>203</v>
          </cell>
          <cell r="DY38">
            <v>139</v>
          </cell>
        </row>
        <row r="41">
          <cell r="DJ41">
            <v>145640</v>
          </cell>
          <cell r="DK41">
            <v>158049</v>
          </cell>
          <cell r="DX41">
            <v>166221</v>
          </cell>
          <cell r="DY41">
            <v>191005</v>
          </cell>
        </row>
        <row r="47">
          <cell r="DY47">
            <v>67497</v>
          </cell>
        </row>
        <row r="48">
          <cell r="DY48">
            <v>155790</v>
          </cell>
        </row>
        <row r="52">
          <cell r="DY52">
            <v>57004</v>
          </cell>
        </row>
        <row r="53">
          <cell r="DY53">
            <v>365454</v>
          </cell>
        </row>
        <row r="57">
          <cell r="DY57"/>
        </row>
        <row r="58">
          <cell r="DY58"/>
        </row>
        <row r="70">
          <cell r="DY70">
            <v>62951</v>
          </cell>
        </row>
        <row r="71">
          <cell r="DY71">
            <v>2021</v>
          </cell>
        </row>
        <row r="73">
          <cell r="DY73">
            <v>33763</v>
          </cell>
        </row>
        <row r="74">
          <cell r="DY74">
            <v>64</v>
          </cell>
        </row>
      </sheetData>
      <sheetData sheetId="11"/>
      <sheetData sheetId="12">
        <row r="4">
          <cell r="DY4"/>
        </row>
        <row r="5">
          <cell r="DY5"/>
        </row>
        <row r="8">
          <cell r="DY8"/>
        </row>
        <row r="9">
          <cell r="DY9"/>
        </row>
        <row r="15">
          <cell r="DX15"/>
          <cell r="DY15"/>
        </row>
        <row r="16">
          <cell r="DX16"/>
          <cell r="DY16"/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13">
        <row r="4">
          <cell r="DY4">
            <v>3956</v>
          </cell>
        </row>
        <row r="5">
          <cell r="DY5">
            <v>3950</v>
          </cell>
        </row>
        <row r="8">
          <cell r="DY8">
            <v>2</v>
          </cell>
        </row>
        <row r="9">
          <cell r="DY9">
            <v>6</v>
          </cell>
        </row>
        <row r="15">
          <cell r="DX15">
            <v>405</v>
          </cell>
          <cell r="DY15">
            <v>429</v>
          </cell>
        </row>
        <row r="16">
          <cell r="DX16">
            <v>408</v>
          </cell>
          <cell r="DY16">
            <v>425</v>
          </cell>
        </row>
        <row r="19">
          <cell r="DJ19">
            <v>8979</v>
          </cell>
          <cell r="DK19">
            <v>8183</v>
          </cell>
          <cell r="DX19">
            <v>9212</v>
          </cell>
          <cell r="DY19">
            <v>8768</v>
          </cell>
        </row>
        <row r="22">
          <cell r="DY22">
            <v>522384</v>
          </cell>
        </row>
        <row r="23">
          <cell r="DY23">
            <v>538136</v>
          </cell>
        </row>
        <row r="27">
          <cell r="DY27">
            <v>21152</v>
          </cell>
        </row>
        <row r="28">
          <cell r="DY28">
            <v>20691</v>
          </cell>
        </row>
        <row r="32">
          <cell r="DX32">
            <v>64313</v>
          </cell>
          <cell r="DY32">
            <v>62757</v>
          </cell>
        </row>
        <row r="33">
          <cell r="DX33">
            <v>62158</v>
          </cell>
          <cell r="DY33">
            <v>61175</v>
          </cell>
        </row>
        <row r="37">
          <cell r="DX37">
            <v>1674</v>
          </cell>
          <cell r="DY37">
            <v>2088</v>
          </cell>
        </row>
        <row r="38">
          <cell r="DX38">
            <v>1552</v>
          </cell>
          <cell r="DY38">
            <v>2098</v>
          </cell>
        </row>
        <row r="41">
          <cell r="DJ41">
            <v>1183117</v>
          </cell>
          <cell r="DK41">
            <v>1124737</v>
          </cell>
          <cell r="DX41">
            <v>1190596</v>
          </cell>
          <cell r="DY41">
            <v>1184452</v>
          </cell>
        </row>
        <row r="47">
          <cell r="DY47">
            <v>4566991</v>
          </cell>
        </row>
        <row r="48">
          <cell r="DY48">
            <v>832741</v>
          </cell>
        </row>
        <row r="52">
          <cell r="DY52">
            <v>4106918</v>
          </cell>
        </row>
        <row r="53">
          <cell r="DY53">
            <v>108689</v>
          </cell>
        </row>
        <row r="57">
          <cell r="DY57"/>
        </row>
        <row r="58">
          <cell r="DY58"/>
        </row>
        <row r="70">
          <cell r="DY70">
            <v>276602</v>
          </cell>
        </row>
        <row r="71">
          <cell r="DY71">
            <v>261534</v>
          </cell>
        </row>
        <row r="73">
          <cell r="DY73">
            <v>31444</v>
          </cell>
        </row>
        <row r="74">
          <cell r="DY74">
            <v>29731</v>
          </cell>
        </row>
      </sheetData>
      <sheetData sheetId="14">
        <row r="4">
          <cell r="DY4">
            <v>56</v>
          </cell>
        </row>
        <row r="5">
          <cell r="DY5">
            <v>56</v>
          </cell>
        </row>
        <row r="8">
          <cell r="DY8"/>
        </row>
        <row r="9">
          <cell r="DY9"/>
        </row>
        <row r="19">
          <cell r="DJ19">
            <v>192</v>
          </cell>
          <cell r="DK19">
            <v>176</v>
          </cell>
          <cell r="DX19">
            <v>146</v>
          </cell>
          <cell r="DY19">
            <v>112</v>
          </cell>
        </row>
        <row r="22">
          <cell r="DY22">
            <v>7995</v>
          </cell>
        </row>
        <row r="23">
          <cell r="DY23">
            <v>8007</v>
          </cell>
        </row>
        <row r="27">
          <cell r="DY27">
            <v>95</v>
          </cell>
        </row>
        <row r="28">
          <cell r="DY28">
            <v>120</v>
          </cell>
        </row>
        <row r="41">
          <cell r="DJ41">
            <v>26918</v>
          </cell>
          <cell r="DK41">
            <v>25413</v>
          </cell>
          <cell r="DX41">
            <v>20515</v>
          </cell>
          <cell r="DY41">
            <v>16002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15">
        <row r="4">
          <cell r="DY4">
            <v>77</v>
          </cell>
        </row>
        <row r="5">
          <cell r="DY5">
            <v>77</v>
          </cell>
        </row>
        <row r="8">
          <cell r="DY8"/>
        </row>
        <row r="9">
          <cell r="DY9"/>
        </row>
        <row r="19">
          <cell r="DJ19">
            <v>510</v>
          </cell>
          <cell r="DK19">
            <v>98</v>
          </cell>
          <cell r="DX19">
            <v>212</v>
          </cell>
          <cell r="DY19">
            <v>154</v>
          </cell>
        </row>
        <row r="22">
          <cell r="DY22">
            <v>303</v>
          </cell>
        </row>
        <row r="23">
          <cell r="DY23">
            <v>300</v>
          </cell>
        </row>
        <row r="27">
          <cell r="DY27">
            <v>24</v>
          </cell>
        </row>
        <row r="28">
          <cell r="DY28">
            <v>32</v>
          </cell>
        </row>
        <row r="41">
          <cell r="DJ41">
            <v>2766</v>
          </cell>
          <cell r="DK41">
            <v>830</v>
          </cell>
          <cell r="DX41">
            <v>765</v>
          </cell>
          <cell r="DY41">
            <v>603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16">
        <row r="8">
          <cell r="DY8"/>
        </row>
        <row r="9">
          <cell r="DY9"/>
        </row>
        <row r="15">
          <cell r="DX15"/>
          <cell r="DY15"/>
        </row>
        <row r="16">
          <cell r="DX16"/>
          <cell r="DY16"/>
        </row>
        <row r="19">
          <cell r="DJ19">
            <v>0</v>
          </cell>
          <cell r="DK19">
            <v>0</v>
          </cell>
          <cell r="DX19">
            <v>0</v>
          </cell>
          <cell r="DY19">
            <v>0</v>
          </cell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  <row r="41">
          <cell r="DJ41">
            <v>0</v>
          </cell>
          <cell r="DK41">
            <v>0</v>
          </cell>
          <cell r="DX41">
            <v>0</v>
          </cell>
          <cell r="DY41">
            <v>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17"/>
      <sheetData sheetId="18"/>
      <sheetData sheetId="19"/>
      <sheetData sheetId="20">
        <row r="8">
          <cell r="DY8"/>
        </row>
        <row r="9">
          <cell r="DY9"/>
        </row>
        <row r="15">
          <cell r="DX15">
            <v>89</v>
          </cell>
          <cell r="DY15">
            <v>79</v>
          </cell>
        </row>
        <row r="16">
          <cell r="DX16">
            <v>89</v>
          </cell>
          <cell r="DY16">
            <v>79</v>
          </cell>
        </row>
        <row r="19">
          <cell r="DJ19">
            <v>159</v>
          </cell>
          <cell r="DK19">
            <v>152</v>
          </cell>
          <cell r="DX19">
            <v>178</v>
          </cell>
          <cell r="DY19">
            <v>158</v>
          </cell>
        </row>
        <row r="32">
          <cell r="DX32">
            <v>3250</v>
          </cell>
          <cell r="DY32">
            <v>2506</v>
          </cell>
        </row>
        <row r="33">
          <cell r="DX33">
            <v>3146</v>
          </cell>
          <cell r="DY33">
            <v>2555</v>
          </cell>
        </row>
        <row r="37">
          <cell r="DX37">
            <v>46</v>
          </cell>
          <cell r="DY37">
            <v>40</v>
          </cell>
        </row>
        <row r="38">
          <cell r="DX38">
            <v>35</v>
          </cell>
          <cell r="DY38">
            <v>47</v>
          </cell>
        </row>
        <row r="41">
          <cell r="DJ41">
            <v>4117</v>
          </cell>
          <cell r="DK41">
            <v>3897</v>
          </cell>
          <cell r="DX41">
            <v>6396</v>
          </cell>
          <cell r="DY41">
            <v>5061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G58"/>
        </row>
      </sheetData>
      <sheetData sheetId="21">
        <row r="4">
          <cell r="DY4">
            <v>564</v>
          </cell>
        </row>
        <row r="5">
          <cell r="DY5">
            <v>564</v>
          </cell>
        </row>
        <row r="8">
          <cell r="DY8">
            <v>1</v>
          </cell>
        </row>
        <row r="9">
          <cell r="DY9"/>
        </row>
        <row r="19">
          <cell r="DJ19">
            <v>1136</v>
          </cell>
          <cell r="DK19">
            <v>1054</v>
          </cell>
          <cell r="DX19">
            <v>1280</v>
          </cell>
          <cell r="DY19">
            <v>1129</v>
          </cell>
        </row>
        <row r="22">
          <cell r="DY22">
            <v>64570</v>
          </cell>
        </row>
        <row r="23">
          <cell r="DY23">
            <v>66635</v>
          </cell>
        </row>
        <row r="27">
          <cell r="DY27">
            <v>1124</v>
          </cell>
        </row>
        <row r="28">
          <cell r="DY28">
            <v>1102</v>
          </cell>
        </row>
        <row r="41">
          <cell r="DJ41">
            <v>106323</v>
          </cell>
          <cell r="DK41">
            <v>107121</v>
          </cell>
          <cell r="DX41">
            <v>140746</v>
          </cell>
          <cell r="DY41">
            <v>131205</v>
          </cell>
        </row>
        <row r="47">
          <cell r="DY47">
            <v>182388</v>
          </cell>
        </row>
        <row r="48">
          <cell r="DY48"/>
        </row>
        <row r="52">
          <cell r="DY52">
            <v>119535</v>
          </cell>
        </row>
        <row r="53">
          <cell r="DY53"/>
        </row>
        <row r="57">
          <cell r="DY57"/>
        </row>
        <row r="58">
          <cell r="DY58"/>
        </row>
        <row r="70">
          <cell r="DY70">
            <v>66193</v>
          </cell>
        </row>
        <row r="71">
          <cell r="DY71">
            <v>442</v>
          </cell>
        </row>
        <row r="73">
          <cell r="DY73"/>
        </row>
        <row r="74">
          <cell r="DY74"/>
        </row>
      </sheetData>
      <sheetData sheetId="22">
        <row r="4">
          <cell r="DY4">
            <v>303</v>
          </cell>
        </row>
        <row r="5">
          <cell r="DY5">
            <v>304</v>
          </cell>
        </row>
        <row r="8">
          <cell r="DY8"/>
        </row>
        <row r="9">
          <cell r="DY9"/>
        </row>
        <row r="19">
          <cell r="DJ19">
            <v>681</v>
          </cell>
          <cell r="DK19">
            <v>616</v>
          </cell>
          <cell r="DX19">
            <v>680</v>
          </cell>
          <cell r="DY19">
            <v>607</v>
          </cell>
        </row>
        <row r="22">
          <cell r="DY22">
            <v>43656</v>
          </cell>
        </row>
        <row r="23">
          <cell r="DY23">
            <v>44886</v>
          </cell>
        </row>
        <row r="27">
          <cell r="DY27">
            <v>252</v>
          </cell>
        </row>
        <row r="28">
          <cell r="DY28">
            <v>288</v>
          </cell>
        </row>
        <row r="41">
          <cell r="DJ41">
            <v>87200</v>
          </cell>
          <cell r="DK41">
            <v>83136</v>
          </cell>
          <cell r="DX41">
            <v>93217</v>
          </cell>
          <cell r="DY41">
            <v>88542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23">
        <row r="4">
          <cell r="DY4">
            <v>160</v>
          </cell>
        </row>
        <row r="5">
          <cell r="DY5">
            <v>160</v>
          </cell>
        </row>
        <row r="8">
          <cell r="DY8"/>
        </row>
        <row r="9">
          <cell r="DY9"/>
        </row>
        <row r="19">
          <cell r="DJ19">
            <v>342</v>
          </cell>
          <cell r="DK19">
            <v>334</v>
          </cell>
          <cell r="DX19">
            <v>320</v>
          </cell>
          <cell r="DY19">
            <v>320</v>
          </cell>
        </row>
        <row r="22">
          <cell r="DY22">
            <v>18214</v>
          </cell>
        </row>
        <row r="23">
          <cell r="DY23">
            <v>19709</v>
          </cell>
        </row>
        <row r="27">
          <cell r="DY27">
            <v>568</v>
          </cell>
        </row>
        <row r="28">
          <cell r="DY28">
            <v>575</v>
          </cell>
        </row>
        <row r="41">
          <cell r="DJ41">
            <v>31165</v>
          </cell>
          <cell r="DK41">
            <v>36309</v>
          </cell>
          <cell r="DX41">
            <v>36409</v>
          </cell>
          <cell r="DY41">
            <v>37923</v>
          </cell>
        </row>
        <row r="47">
          <cell r="DY47">
            <v>10126</v>
          </cell>
        </row>
        <row r="48">
          <cell r="DY48">
            <v>84292</v>
          </cell>
        </row>
        <row r="52">
          <cell r="DY52">
            <v>28629</v>
          </cell>
        </row>
        <row r="53">
          <cell r="DY53">
            <v>161819</v>
          </cell>
        </row>
        <row r="57">
          <cell r="DY57"/>
        </row>
        <row r="58">
          <cell r="DY58"/>
        </row>
      </sheetData>
      <sheetData sheetId="24">
        <row r="4">
          <cell r="DY4">
            <v>331</v>
          </cell>
        </row>
        <row r="5">
          <cell r="DY5">
            <v>325</v>
          </cell>
        </row>
        <row r="8">
          <cell r="DY8"/>
        </row>
        <row r="9">
          <cell r="DY9"/>
        </row>
        <row r="19">
          <cell r="DJ19">
            <v>656</v>
          </cell>
          <cell r="DK19">
            <v>609</v>
          </cell>
          <cell r="DX19">
            <v>725</v>
          </cell>
          <cell r="DY19">
            <v>656</v>
          </cell>
        </row>
        <row r="22">
          <cell r="DY22">
            <v>41619</v>
          </cell>
        </row>
        <row r="23">
          <cell r="DY23">
            <v>43524</v>
          </cell>
        </row>
        <row r="27">
          <cell r="DY27">
            <v>955</v>
          </cell>
        </row>
        <row r="28">
          <cell r="DY28">
            <v>996</v>
          </cell>
        </row>
        <row r="41">
          <cell r="DJ41">
            <v>89894</v>
          </cell>
          <cell r="DK41">
            <v>82819</v>
          </cell>
          <cell r="DX41">
            <v>92276</v>
          </cell>
          <cell r="DY41">
            <v>85143</v>
          </cell>
        </row>
        <row r="47">
          <cell r="DY47">
            <v>1175</v>
          </cell>
        </row>
        <row r="48">
          <cell r="DY48">
            <v>38651</v>
          </cell>
        </row>
        <row r="52">
          <cell r="DY52">
            <v>4118</v>
          </cell>
        </row>
        <row r="53">
          <cell r="DY53">
            <v>73453</v>
          </cell>
        </row>
        <row r="57">
          <cell r="DY57"/>
        </row>
        <row r="58">
          <cell r="DY58"/>
        </row>
      </sheetData>
      <sheetData sheetId="25"/>
      <sheetData sheetId="26"/>
      <sheetData sheetId="27">
        <row r="4">
          <cell r="DY4"/>
        </row>
        <row r="5">
          <cell r="DY5"/>
        </row>
        <row r="8">
          <cell r="DY8"/>
        </row>
        <row r="9">
          <cell r="DY9"/>
        </row>
        <row r="19">
          <cell r="DJ19">
            <v>3</v>
          </cell>
          <cell r="DK19">
            <v>1</v>
          </cell>
          <cell r="DX19">
            <v>0</v>
          </cell>
          <cell r="DY19">
            <v>0</v>
          </cell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41">
          <cell r="DJ41">
            <v>245</v>
          </cell>
          <cell r="DK41">
            <v>0</v>
          </cell>
          <cell r="DX41">
            <v>0</v>
          </cell>
          <cell r="DY41">
            <v>0</v>
          </cell>
        </row>
        <row r="47">
          <cell r="DY47"/>
        </row>
        <row r="48">
          <cell r="DY48"/>
        </row>
        <row r="52">
          <cell r="BH52"/>
        </row>
        <row r="53">
          <cell r="DY53"/>
        </row>
        <row r="57">
          <cell r="BG57"/>
        </row>
        <row r="58">
          <cell r="BG58"/>
        </row>
      </sheetData>
      <sheetData sheetId="28">
        <row r="4">
          <cell r="DY4">
            <v>94</v>
          </cell>
        </row>
        <row r="5">
          <cell r="DY5">
            <v>91</v>
          </cell>
        </row>
        <row r="8">
          <cell r="DY8"/>
        </row>
        <row r="9">
          <cell r="DY9"/>
        </row>
        <row r="19">
          <cell r="DJ19">
            <v>404</v>
          </cell>
          <cell r="DK19">
            <v>430</v>
          </cell>
          <cell r="DX19">
            <v>211</v>
          </cell>
          <cell r="DY19">
            <v>185</v>
          </cell>
        </row>
        <row r="22">
          <cell r="DY22">
            <v>5752</v>
          </cell>
        </row>
        <row r="23">
          <cell r="DY23">
            <v>5292</v>
          </cell>
        </row>
        <row r="27">
          <cell r="DY27">
            <v>97</v>
          </cell>
        </row>
        <row r="28">
          <cell r="DY28">
            <v>78</v>
          </cell>
        </row>
        <row r="41">
          <cell r="DJ41">
            <v>19158</v>
          </cell>
          <cell r="DK41">
            <v>23213</v>
          </cell>
          <cell r="DX41">
            <v>12441</v>
          </cell>
          <cell r="DY41">
            <v>11044</v>
          </cell>
        </row>
        <row r="47">
          <cell r="DY47">
            <v>47</v>
          </cell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29">
        <row r="4">
          <cell r="DY4">
            <v>500</v>
          </cell>
        </row>
        <row r="5">
          <cell r="DY5">
            <v>501</v>
          </cell>
        </row>
        <row r="8">
          <cell r="DY8">
            <v>2</v>
          </cell>
        </row>
        <row r="9">
          <cell r="DY9">
            <v>1</v>
          </cell>
        </row>
        <row r="15">
          <cell r="DX15">
            <v>20</v>
          </cell>
          <cell r="DY15">
            <v>9</v>
          </cell>
        </row>
        <row r="16">
          <cell r="DX16">
            <v>21</v>
          </cell>
          <cell r="DY16">
            <v>12</v>
          </cell>
        </row>
        <row r="19">
          <cell r="DJ19">
            <v>798</v>
          </cell>
          <cell r="DK19">
            <v>725</v>
          </cell>
          <cell r="DX19">
            <v>1354</v>
          </cell>
          <cell r="DY19">
            <v>1025</v>
          </cell>
        </row>
        <row r="22">
          <cell r="DY22">
            <v>25866</v>
          </cell>
        </row>
        <row r="23">
          <cell r="DY23">
            <v>26986</v>
          </cell>
        </row>
        <row r="27">
          <cell r="DY27">
            <v>924</v>
          </cell>
        </row>
        <row r="28">
          <cell r="DY28">
            <v>831</v>
          </cell>
        </row>
        <row r="32">
          <cell r="DX32">
            <v>904</v>
          </cell>
          <cell r="DY32">
            <v>497</v>
          </cell>
        </row>
        <row r="33">
          <cell r="DX33">
            <v>1132</v>
          </cell>
          <cell r="DY33">
            <v>634</v>
          </cell>
        </row>
        <row r="37">
          <cell r="DX37">
            <v>21</v>
          </cell>
          <cell r="DY37">
            <v>6</v>
          </cell>
        </row>
        <row r="38">
          <cell r="DX38">
            <v>7</v>
          </cell>
          <cell r="DY38">
            <v>2</v>
          </cell>
        </row>
        <row r="41">
          <cell r="DJ41">
            <v>39177</v>
          </cell>
          <cell r="DK41">
            <v>39507</v>
          </cell>
          <cell r="DX41">
            <v>67601</v>
          </cell>
          <cell r="DY41">
            <v>53983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G58"/>
        </row>
        <row r="70">
          <cell r="DY70">
            <v>10821</v>
          </cell>
        </row>
        <row r="71">
          <cell r="DY71">
            <v>16165</v>
          </cell>
        </row>
        <row r="73">
          <cell r="DY73">
            <v>254</v>
          </cell>
        </row>
        <row r="74">
          <cell r="DY74">
            <v>380</v>
          </cell>
        </row>
      </sheetData>
      <sheetData sheetId="30">
        <row r="4">
          <cell r="DY4"/>
        </row>
        <row r="5">
          <cell r="DY5"/>
        </row>
        <row r="8">
          <cell r="DY8"/>
        </row>
        <row r="9">
          <cell r="DY9"/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31">
        <row r="4">
          <cell r="DY4"/>
        </row>
        <row r="5">
          <cell r="DY5"/>
        </row>
        <row r="8">
          <cell r="DY8"/>
        </row>
        <row r="9">
          <cell r="DY9"/>
        </row>
        <row r="19">
          <cell r="DJ19">
            <v>36</v>
          </cell>
          <cell r="DK19">
            <v>20</v>
          </cell>
          <cell r="DX19">
            <v>0</v>
          </cell>
          <cell r="DY19">
            <v>0</v>
          </cell>
        </row>
        <row r="22">
          <cell r="DY22"/>
        </row>
        <row r="23">
          <cell r="DY23"/>
        </row>
        <row r="27">
          <cell r="DY27"/>
        </row>
        <row r="28">
          <cell r="DY28"/>
        </row>
        <row r="41">
          <cell r="DJ41">
            <v>1257</v>
          </cell>
          <cell r="DK41">
            <v>864</v>
          </cell>
          <cell r="DX41">
            <v>0</v>
          </cell>
          <cell r="DY41">
            <v>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32">
        <row r="15">
          <cell r="DX15"/>
          <cell r="DY15"/>
        </row>
        <row r="16">
          <cell r="DX16"/>
          <cell r="DY16"/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</sheetData>
      <sheetData sheetId="33">
        <row r="4">
          <cell r="DY4">
            <v>565</v>
          </cell>
        </row>
        <row r="5">
          <cell r="DY5">
            <v>564</v>
          </cell>
        </row>
        <row r="8">
          <cell r="DY8"/>
        </row>
        <row r="9">
          <cell r="DY9">
            <v>2</v>
          </cell>
        </row>
        <row r="15">
          <cell r="DX15">
            <v>50</v>
          </cell>
          <cell r="DY15">
            <v>48</v>
          </cell>
        </row>
        <row r="16">
          <cell r="DX16">
            <v>45</v>
          </cell>
          <cell r="DY16">
            <v>48</v>
          </cell>
        </row>
        <row r="19">
          <cell r="DJ19">
            <v>2689</v>
          </cell>
          <cell r="DK19">
            <v>2475</v>
          </cell>
          <cell r="DX19">
            <v>1221</v>
          </cell>
          <cell r="DY19">
            <v>1227</v>
          </cell>
        </row>
        <row r="22">
          <cell r="DY22">
            <v>31744</v>
          </cell>
        </row>
        <row r="23">
          <cell r="DY23">
            <v>33119</v>
          </cell>
        </row>
        <row r="27">
          <cell r="DY27">
            <v>1150</v>
          </cell>
        </row>
        <row r="28">
          <cell r="DY28">
            <v>1094</v>
          </cell>
        </row>
        <row r="32">
          <cell r="DX32">
            <v>3119</v>
          </cell>
          <cell r="DY32">
            <v>3155</v>
          </cell>
        </row>
        <row r="33">
          <cell r="DX33">
            <v>2840</v>
          </cell>
          <cell r="DY33">
            <v>3111</v>
          </cell>
        </row>
        <row r="37">
          <cell r="DX37">
            <v>55</v>
          </cell>
          <cell r="DY37">
            <v>40</v>
          </cell>
        </row>
        <row r="38">
          <cell r="DX38">
            <v>61</v>
          </cell>
          <cell r="DY38">
            <v>47</v>
          </cell>
        </row>
        <row r="41">
          <cell r="DJ41">
            <v>154021</v>
          </cell>
          <cell r="DK41">
            <v>148897</v>
          </cell>
          <cell r="DX41">
            <v>66777</v>
          </cell>
          <cell r="DY41">
            <v>71129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G58"/>
        </row>
        <row r="70">
          <cell r="BG70">
            <v>26242</v>
          </cell>
          <cell r="DY70">
            <v>13082</v>
          </cell>
        </row>
        <row r="71">
          <cell r="BG71">
            <v>44562</v>
          </cell>
          <cell r="DY71">
            <v>20037</v>
          </cell>
        </row>
        <row r="73">
          <cell r="BG73">
            <v>1540</v>
          </cell>
          <cell r="DY73">
            <v>1229</v>
          </cell>
        </row>
        <row r="74">
          <cell r="BG74">
            <v>2614</v>
          </cell>
          <cell r="DY74">
            <v>1882</v>
          </cell>
        </row>
      </sheetData>
      <sheetData sheetId="34"/>
      <sheetData sheetId="35">
        <row r="4">
          <cell r="DY4">
            <v>134</v>
          </cell>
        </row>
        <row r="5">
          <cell r="DY5">
            <v>134</v>
          </cell>
        </row>
        <row r="8">
          <cell r="DY8"/>
        </row>
        <row r="9">
          <cell r="DY9"/>
        </row>
        <row r="19">
          <cell r="DJ19">
            <v>422</v>
          </cell>
          <cell r="DK19">
            <v>384</v>
          </cell>
          <cell r="DX19">
            <v>270</v>
          </cell>
          <cell r="DY19">
            <v>268</v>
          </cell>
        </row>
        <row r="22">
          <cell r="DY22">
            <v>4949</v>
          </cell>
        </row>
        <row r="23">
          <cell r="DY23">
            <v>5475</v>
          </cell>
        </row>
        <row r="27">
          <cell r="DY27">
            <v>221</v>
          </cell>
        </row>
        <row r="28">
          <cell r="DY28">
            <v>125</v>
          </cell>
        </row>
        <row r="41">
          <cell r="BT41">
            <v>19813</v>
          </cell>
          <cell r="DK41">
            <v>14450</v>
          </cell>
          <cell r="DX41">
            <v>10500</v>
          </cell>
          <cell r="DY41">
            <v>10424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G58"/>
        </row>
      </sheetData>
      <sheetData sheetId="36"/>
      <sheetData sheetId="37">
        <row r="4">
          <cell r="DY4">
            <v>11</v>
          </cell>
        </row>
        <row r="5">
          <cell r="DY5">
            <v>11</v>
          </cell>
        </row>
        <row r="8">
          <cell r="DY8"/>
        </row>
        <row r="9">
          <cell r="DY9"/>
        </row>
        <row r="15">
          <cell r="DY15">
            <v>2</v>
          </cell>
        </row>
        <row r="16">
          <cell r="DY16">
            <v>2</v>
          </cell>
        </row>
        <row r="19">
          <cell r="DJ19">
            <v>0</v>
          </cell>
          <cell r="DK19">
            <v>0</v>
          </cell>
          <cell r="DX19">
            <v>0</v>
          </cell>
          <cell r="DY19">
            <v>26</v>
          </cell>
        </row>
        <row r="22">
          <cell r="DY22">
            <v>607</v>
          </cell>
        </row>
        <row r="23">
          <cell r="DY23">
            <v>656</v>
          </cell>
        </row>
        <row r="27">
          <cell r="DY27">
            <v>44</v>
          </cell>
        </row>
        <row r="28">
          <cell r="DY28">
            <v>30</v>
          </cell>
        </row>
        <row r="32">
          <cell r="DY32">
            <v>128</v>
          </cell>
        </row>
        <row r="33">
          <cell r="DY33">
            <v>68</v>
          </cell>
        </row>
        <row r="37">
          <cell r="DY37">
            <v>2</v>
          </cell>
        </row>
        <row r="38">
          <cell r="DY38">
            <v>5</v>
          </cell>
        </row>
        <row r="41">
          <cell r="DJ41">
            <v>0</v>
          </cell>
          <cell r="DK41">
            <v>0</v>
          </cell>
          <cell r="DX41">
            <v>0</v>
          </cell>
          <cell r="DY41">
            <v>1459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AJ57"/>
        </row>
        <row r="58">
          <cell r="AJ58"/>
        </row>
        <row r="70">
          <cell r="DY70">
            <v>267</v>
          </cell>
        </row>
        <row r="71">
          <cell r="DY71">
            <v>389</v>
          </cell>
        </row>
        <row r="73">
          <cell r="DY73">
            <v>28</v>
          </cell>
        </row>
        <row r="74">
          <cell r="DY74">
            <v>40</v>
          </cell>
        </row>
      </sheetData>
      <sheetData sheetId="38">
        <row r="4">
          <cell r="DY4">
            <v>31</v>
          </cell>
        </row>
        <row r="5">
          <cell r="DY5">
            <v>31</v>
          </cell>
        </row>
        <row r="8">
          <cell r="DY8"/>
        </row>
        <row r="9">
          <cell r="DY9"/>
        </row>
        <row r="19">
          <cell r="DJ19">
            <v>296</v>
          </cell>
          <cell r="DK19">
            <v>214</v>
          </cell>
          <cell r="DX19">
            <v>106</v>
          </cell>
          <cell r="DY19">
            <v>62</v>
          </cell>
        </row>
        <row r="22">
          <cell r="DY22">
            <v>1994</v>
          </cell>
        </row>
        <row r="23">
          <cell r="DY23">
            <v>1733</v>
          </cell>
        </row>
        <row r="27">
          <cell r="DY27">
            <v>43</v>
          </cell>
        </row>
        <row r="28">
          <cell r="DY28">
            <v>36</v>
          </cell>
        </row>
        <row r="41">
          <cell r="DJ41">
            <v>16078</v>
          </cell>
          <cell r="DK41">
            <v>12446</v>
          </cell>
          <cell r="DX41">
            <v>6804</v>
          </cell>
          <cell r="DY41">
            <v>3727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AJ57"/>
        </row>
        <row r="58">
          <cell r="AJ58"/>
        </row>
      </sheetData>
      <sheetData sheetId="39"/>
      <sheetData sheetId="40">
        <row r="4">
          <cell r="DY4">
            <v>85</v>
          </cell>
        </row>
        <row r="5">
          <cell r="DY5">
            <v>85</v>
          </cell>
        </row>
        <row r="8">
          <cell r="DY8"/>
        </row>
        <row r="9">
          <cell r="DY9"/>
        </row>
        <row r="19">
          <cell r="DJ19">
            <v>50</v>
          </cell>
          <cell r="DK19">
            <v>102</v>
          </cell>
          <cell r="DX19">
            <v>150</v>
          </cell>
          <cell r="DY19">
            <v>170</v>
          </cell>
        </row>
        <row r="22">
          <cell r="DY22">
            <v>5403</v>
          </cell>
        </row>
        <row r="23">
          <cell r="DY23">
            <v>5193</v>
          </cell>
        </row>
        <row r="27">
          <cell r="DY27">
            <v>131</v>
          </cell>
        </row>
        <row r="28">
          <cell r="DY28">
            <v>173</v>
          </cell>
        </row>
        <row r="41">
          <cell r="DJ41">
            <v>2641</v>
          </cell>
          <cell r="DK41">
            <v>6315</v>
          </cell>
          <cell r="DX41">
            <v>9460</v>
          </cell>
          <cell r="DY41">
            <v>10596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41">
        <row r="4">
          <cell r="DY4">
            <v>1</v>
          </cell>
        </row>
        <row r="5">
          <cell r="DY5">
            <v>1</v>
          </cell>
        </row>
        <row r="8">
          <cell r="DY8"/>
        </row>
        <row r="9">
          <cell r="DY9"/>
        </row>
        <row r="19">
          <cell r="DJ19">
            <v>0</v>
          </cell>
          <cell r="DK19">
            <v>0</v>
          </cell>
          <cell r="DX19">
            <v>10</v>
          </cell>
          <cell r="DY19">
            <v>2</v>
          </cell>
        </row>
        <row r="22">
          <cell r="DY22">
            <v>39</v>
          </cell>
        </row>
        <row r="23">
          <cell r="DY23">
            <v>70</v>
          </cell>
        </row>
        <row r="27">
          <cell r="DY27"/>
        </row>
        <row r="28">
          <cell r="DY28"/>
        </row>
        <row r="41">
          <cell r="DJ41">
            <v>0</v>
          </cell>
          <cell r="DK41">
            <v>0</v>
          </cell>
          <cell r="DX41">
            <v>588</v>
          </cell>
          <cell r="DY41">
            <v>109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AJ57"/>
        </row>
        <row r="58">
          <cell r="AJ58"/>
        </row>
      </sheetData>
      <sheetData sheetId="42"/>
      <sheetData sheetId="43">
        <row r="4">
          <cell r="DY4">
            <v>2238</v>
          </cell>
        </row>
        <row r="5">
          <cell r="DY5">
            <v>2240</v>
          </cell>
        </row>
        <row r="8">
          <cell r="DY8"/>
        </row>
        <row r="9">
          <cell r="DY9">
            <v>2</v>
          </cell>
        </row>
        <row r="15">
          <cell r="DX15">
            <v>312</v>
          </cell>
          <cell r="DY15">
            <v>313</v>
          </cell>
        </row>
        <row r="16">
          <cell r="DX16">
            <v>310</v>
          </cell>
          <cell r="DY16">
            <v>309</v>
          </cell>
        </row>
        <row r="19">
          <cell r="DJ19">
            <v>6914</v>
          </cell>
          <cell r="DK19">
            <v>6000</v>
          </cell>
          <cell r="DX19">
            <v>5786</v>
          </cell>
          <cell r="DY19">
            <v>5102</v>
          </cell>
        </row>
        <row r="22">
          <cell r="DY22">
            <v>117808</v>
          </cell>
        </row>
        <row r="23">
          <cell r="DY23">
            <v>116760</v>
          </cell>
        </row>
        <row r="27">
          <cell r="DY27">
            <v>4263</v>
          </cell>
        </row>
        <row r="28">
          <cell r="DY28">
            <v>4290</v>
          </cell>
        </row>
        <row r="32">
          <cell r="DX32">
            <v>17970</v>
          </cell>
          <cell r="DY32">
            <v>17700</v>
          </cell>
        </row>
        <row r="33">
          <cell r="DX33">
            <v>17929</v>
          </cell>
          <cell r="DY33">
            <v>17702</v>
          </cell>
        </row>
        <row r="37">
          <cell r="DX37">
            <v>264</v>
          </cell>
          <cell r="DY37">
            <v>258</v>
          </cell>
        </row>
        <row r="38">
          <cell r="DX38">
            <v>238</v>
          </cell>
          <cell r="DY38">
            <v>308</v>
          </cell>
        </row>
        <row r="41">
          <cell r="DJ41">
            <v>308208</v>
          </cell>
          <cell r="DK41">
            <v>275861</v>
          </cell>
          <cell r="DX41">
            <v>291703</v>
          </cell>
          <cell r="DY41">
            <v>269970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  <row r="70">
          <cell r="DY70">
            <v>33744</v>
          </cell>
        </row>
        <row r="71">
          <cell r="DY71">
            <v>83016</v>
          </cell>
        </row>
        <row r="73">
          <cell r="DY73">
            <v>5116</v>
          </cell>
        </row>
        <row r="74">
          <cell r="DY74">
            <v>12586</v>
          </cell>
        </row>
      </sheetData>
      <sheetData sheetId="44"/>
      <sheetData sheetId="45">
        <row r="4">
          <cell r="DY4">
            <v>12</v>
          </cell>
        </row>
        <row r="5">
          <cell r="DY5">
            <v>13</v>
          </cell>
        </row>
        <row r="8">
          <cell r="DY8"/>
        </row>
        <row r="9">
          <cell r="DY9"/>
        </row>
        <row r="19">
          <cell r="DJ19">
            <v>181</v>
          </cell>
          <cell r="DK19">
            <v>147</v>
          </cell>
          <cell r="DX19">
            <v>52</v>
          </cell>
          <cell r="DY19">
            <v>25</v>
          </cell>
        </row>
        <row r="22">
          <cell r="DY22">
            <v>861</v>
          </cell>
        </row>
        <row r="23">
          <cell r="DY23">
            <v>819</v>
          </cell>
        </row>
        <row r="27">
          <cell r="DY27"/>
        </row>
        <row r="28">
          <cell r="DY28"/>
        </row>
        <row r="41">
          <cell r="DJ41">
            <v>10815</v>
          </cell>
          <cell r="DK41">
            <v>7665</v>
          </cell>
          <cell r="DX41">
            <v>3192</v>
          </cell>
          <cell r="DY41">
            <v>1680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46"/>
      <sheetData sheetId="47"/>
      <sheetData sheetId="48">
        <row r="4">
          <cell r="DY4">
            <v>1601</v>
          </cell>
        </row>
        <row r="5">
          <cell r="DY5">
            <v>1599</v>
          </cell>
        </row>
        <row r="8">
          <cell r="DY8"/>
        </row>
        <row r="9">
          <cell r="DY9">
            <v>6</v>
          </cell>
        </row>
        <row r="15">
          <cell r="DX15">
            <v>118</v>
          </cell>
          <cell r="DY15">
            <v>96</v>
          </cell>
        </row>
        <row r="16">
          <cell r="DX16">
            <v>117</v>
          </cell>
          <cell r="DY16">
            <v>96</v>
          </cell>
        </row>
        <row r="19">
          <cell r="DJ19">
            <v>3013</v>
          </cell>
          <cell r="DK19">
            <v>2660</v>
          </cell>
          <cell r="DX19">
            <v>3703</v>
          </cell>
          <cell r="DY19">
            <v>3398</v>
          </cell>
        </row>
        <row r="22">
          <cell r="DY22">
            <v>66862</v>
          </cell>
        </row>
        <row r="23">
          <cell r="DY23">
            <v>64663</v>
          </cell>
        </row>
        <row r="27">
          <cell r="DY27">
            <v>2547</v>
          </cell>
        </row>
        <row r="28">
          <cell r="DY28">
            <v>2842</v>
          </cell>
        </row>
        <row r="32">
          <cell r="DX32">
            <v>5643</v>
          </cell>
          <cell r="DY32">
            <v>4704</v>
          </cell>
        </row>
        <row r="33">
          <cell r="DX33">
            <v>5046</v>
          </cell>
          <cell r="DY33">
            <v>4649</v>
          </cell>
        </row>
        <row r="37">
          <cell r="DX37">
            <v>88</v>
          </cell>
          <cell r="DY37">
            <v>59</v>
          </cell>
        </row>
        <row r="38">
          <cell r="DX38">
            <v>71</v>
          </cell>
          <cell r="DY38">
            <v>47</v>
          </cell>
        </row>
        <row r="41">
          <cell r="DJ41">
            <v>111993</v>
          </cell>
          <cell r="DK41">
            <v>104771</v>
          </cell>
          <cell r="DX41">
            <v>143876</v>
          </cell>
          <cell r="DY41">
            <v>140878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  <row r="70">
          <cell r="DY70">
            <v>15390</v>
          </cell>
        </row>
        <row r="71">
          <cell r="DY71">
            <v>49273</v>
          </cell>
        </row>
        <row r="73">
          <cell r="DY73">
            <v>1106</v>
          </cell>
        </row>
        <row r="74">
          <cell r="DY74">
            <v>3543</v>
          </cell>
        </row>
      </sheetData>
      <sheetData sheetId="49">
        <row r="4">
          <cell r="DY4">
            <v>156</v>
          </cell>
        </row>
        <row r="5">
          <cell r="DY5">
            <v>156</v>
          </cell>
        </row>
        <row r="8">
          <cell r="DY8"/>
        </row>
        <row r="9">
          <cell r="DY9"/>
        </row>
        <row r="19">
          <cell r="DJ19">
            <v>60</v>
          </cell>
          <cell r="DK19">
            <v>108</v>
          </cell>
          <cell r="DX19">
            <v>290</v>
          </cell>
          <cell r="DY19">
            <v>312</v>
          </cell>
        </row>
        <row r="22">
          <cell r="DY22">
            <v>10167</v>
          </cell>
        </row>
        <row r="23">
          <cell r="DY23">
            <v>9451</v>
          </cell>
        </row>
        <row r="27">
          <cell r="DY27">
            <v>225</v>
          </cell>
        </row>
        <row r="28">
          <cell r="DY28">
            <v>276</v>
          </cell>
        </row>
        <row r="41">
          <cell r="DJ41">
            <v>2970</v>
          </cell>
          <cell r="DK41">
            <v>6538</v>
          </cell>
          <cell r="DX41">
            <v>18349</v>
          </cell>
          <cell r="DY41">
            <v>19618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  <row r="73">
          <cell r="DY73"/>
        </row>
        <row r="74">
          <cell r="DY74"/>
        </row>
      </sheetData>
      <sheetData sheetId="50">
        <row r="19">
          <cell r="DJ19">
            <v>0</v>
          </cell>
          <cell r="DK19">
            <v>0</v>
          </cell>
        </row>
        <row r="41">
          <cell r="DJ41">
            <v>0</v>
          </cell>
          <cell r="DK41">
            <v>0</v>
          </cell>
        </row>
      </sheetData>
      <sheetData sheetId="51"/>
      <sheetData sheetId="52"/>
      <sheetData sheetId="53">
        <row r="4">
          <cell r="DY4">
            <v>104</v>
          </cell>
        </row>
        <row r="5">
          <cell r="DY5">
            <v>104</v>
          </cell>
        </row>
        <row r="8">
          <cell r="DY8"/>
        </row>
        <row r="9">
          <cell r="DY9"/>
        </row>
        <row r="15">
          <cell r="DY15"/>
        </row>
        <row r="16">
          <cell r="DY16"/>
        </row>
        <row r="19">
          <cell r="DJ19">
            <v>166</v>
          </cell>
          <cell r="DK19">
            <v>222</v>
          </cell>
          <cell r="DX19">
            <v>264</v>
          </cell>
          <cell r="DY19">
            <v>208</v>
          </cell>
        </row>
        <row r="22">
          <cell r="DY22">
            <v>6029</v>
          </cell>
        </row>
        <row r="23">
          <cell r="DY23">
            <v>5944</v>
          </cell>
        </row>
        <row r="27">
          <cell r="DY27"/>
        </row>
        <row r="28">
          <cell r="DY28"/>
        </row>
        <row r="32">
          <cell r="DY32"/>
        </row>
        <row r="33">
          <cell r="DY33"/>
        </row>
        <row r="37">
          <cell r="DY37"/>
        </row>
        <row r="38">
          <cell r="DY38"/>
        </row>
        <row r="41">
          <cell r="DJ41">
            <v>8788</v>
          </cell>
          <cell r="DK41">
            <v>12962</v>
          </cell>
          <cell r="DX41">
            <v>15615</v>
          </cell>
          <cell r="DY41">
            <v>11973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G58"/>
        </row>
      </sheetData>
      <sheetData sheetId="54">
        <row r="4">
          <cell r="DY4">
            <v>193</v>
          </cell>
        </row>
        <row r="5">
          <cell r="DY5">
            <v>193</v>
          </cell>
        </row>
        <row r="8">
          <cell r="DY8"/>
        </row>
        <row r="9">
          <cell r="DY9">
            <v>1</v>
          </cell>
        </row>
        <row r="15">
          <cell r="DY15"/>
        </row>
        <row r="16">
          <cell r="DY16">
            <v>1</v>
          </cell>
        </row>
        <row r="19">
          <cell r="DJ19">
            <v>204</v>
          </cell>
          <cell r="DK19">
            <v>176</v>
          </cell>
          <cell r="DX19">
            <v>414</v>
          </cell>
          <cell r="DY19">
            <v>388</v>
          </cell>
        </row>
        <row r="22">
          <cell r="DY22">
            <v>10092</v>
          </cell>
        </row>
        <row r="23">
          <cell r="DY23">
            <v>10097</v>
          </cell>
        </row>
        <row r="27">
          <cell r="DY27">
            <v>382</v>
          </cell>
        </row>
        <row r="28">
          <cell r="DY28">
            <v>384</v>
          </cell>
        </row>
        <row r="32">
          <cell r="DY32"/>
        </row>
        <row r="33">
          <cell r="DY33">
            <v>44</v>
          </cell>
        </row>
        <row r="37">
          <cell r="DY37"/>
        </row>
        <row r="38">
          <cell r="DY38"/>
        </row>
        <row r="41">
          <cell r="DJ41">
            <v>10659</v>
          </cell>
          <cell r="DK41">
            <v>9995</v>
          </cell>
          <cell r="DX41">
            <v>20661</v>
          </cell>
          <cell r="DY41">
            <v>20233</v>
          </cell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BH58"/>
        </row>
        <row r="70">
          <cell r="DY70">
            <v>4311</v>
          </cell>
        </row>
        <row r="71">
          <cell r="DY71">
            <v>5786</v>
          </cell>
        </row>
        <row r="73">
          <cell r="DY73">
            <v>19</v>
          </cell>
        </row>
        <row r="74">
          <cell r="DY74">
            <v>25</v>
          </cell>
        </row>
      </sheetData>
      <sheetData sheetId="55"/>
      <sheetData sheetId="56"/>
      <sheetData sheetId="57"/>
      <sheetData sheetId="58">
        <row r="4">
          <cell r="DY4"/>
        </row>
        <row r="5">
          <cell r="DY5"/>
        </row>
        <row r="15">
          <cell r="DX15"/>
          <cell r="DY15"/>
        </row>
        <row r="16">
          <cell r="DX16"/>
          <cell r="DY16"/>
        </row>
        <row r="22">
          <cell r="DY22"/>
        </row>
        <row r="23">
          <cell r="DY23"/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</sheetData>
      <sheetData sheetId="59">
        <row r="4">
          <cell r="DY4"/>
        </row>
        <row r="5">
          <cell r="DY5"/>
        </row>
        <row r="15">
          <cell r="DY15"/>
        </row>
        <row r="16">
          <cell r="DY16"/>
        </row>
        <row r="22">
          <cell r="DY22"/>
        </row>
        <row r="23">
          <cell r="DY23"/>
        </row>
        <row r="32">
          <cell r="DY32"/>
        </row>
        <row r="33">
          <cell r="DY33"/>
        </row>
      </sheetData>
      <sheetData sheetId="60">
        <row r="15">
          <cell r="DX15"/>
          <cell r="DY15"/>
        </row>
        <row r="16">
          <cell r="DX16"/>
          <cell r="DY16"/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</sheetData>
      <sheetData sheetId="61">
        <row r="4">
          <cell r="DY4">
            <v>3</v>
          </cell>
        </row>
        <row r="5">
          <cell r="DY5">
            <v>3</v>
          </cell>
        </row>
        <row r="15">
          <cell r="DX15"/>
          <cell r="DY15"/>
        </row>
        <row r="16">
          <cell r="DX16"/>
          <cell r="DY16"/>
        </row>
        <row r="22">
          <cell r="DY22">
            <v>94</v>
          </cell>
        </row>
        <row r="23">
          <cell r="DY23">
            <v>192</v>
          </cell>
        </row>
        <row r="32">
          <cell r="DX32"/>
          <cell r="DY32"/>
        </row>
        <row r="33">
          <cell r="DX33"/>
          <cell r="DY33"/>
        </row>
        <row r="37">
          <cell r="DX37"/>
          <cell r="DY37"/>
        </row>
        <row r="38">
          <cell r="DX38"/>
          <cell r="DY38"/>
        </row>
      </sheetData>
      <sheetData sheetId="62"/>
      <sheetData sheetId="63">
        <row r="4">
          <cell r="DY4"/>
        </row>
        <row r="5">
          <cell r="DY5"/>
        </row>
        <row r="8">
          <cell r="DY8"/>
        </row>
        <row r="9">
          <cell r="DY9"/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64">
        <row r="4">
          <cell r="DY4">
            <v>20</v>
          </cell>
        </row>
        <row r="5">
          <cell r="DY5">
            <v>20</v>
          </cell>
        </row>
        <row r="47">
          <cell r="DY47">
            <v>581757</v>
          </cell>
        </row>
        <row r="48">
          <cell r="DY48"/>
        </row>
        <row r="52">
          <cell r="DY52">
            <v>416711</v>
          </cell>
        </row>
        <row r="53">
          <cell r="DY53"/>
        </row>
        <row r="57">
          <cell r="DY57"/>
        </row>
        <row r="58">
          <cell r="DY58"/>
        </row>
      </sheetData>
      <sheetData sheetId="65"/>
      <sheetData sheetId="66"/>
      <sheetData sheetId="67">
        <row r="15">
          <cell r="DY15">
            <v>20</v>
          </cell>
        </row>
        <row r="16">
          <cell r="DY16">
            <v>20</v>
          </cell>
        </row>
        <row r="47">
          <cell r="DY47">
            <v>21591</v>
          </cell>
        </row>
        <row r="48">
          <cell r="DY48"/>
        </row>
        <row r="52">
          <cell r="DY52">
            <v>43546</v>
          </cell>
        </row>
        <row r="53">
          <cell r="DY53"/>
        </row>
        <row r="57">
          <cell r="DY57"/>
        </row>
        <row r="58">
          <cell r="DY58"/>
        </row>
      </sheetData>
      <sheetData sheetId="68">
        <row r="4">
          <cell r="DY4">
            <v>96</v>
          </cell>
        </row>
        <row r="5">
          <cell r="DY5">
            <v>96</v>
          </cell>
        </row>
        <row r="15">
          <cell r="DY15"/>
        </row>
        <row r="47">
          <cell r="DY47">
            <v>5737266</v>
          </cell>
        </row>
        <row r="48">
          <cell r="DY48"/>
        </row>
        <row r="52">
          <cell r="DY52">
            <v>7955167</v>
          </cell>
        </row>
        <row r="53">
          <cell r="DY53"/>
        </row>
        <row r="57">
          <cell r="DY57"/>
        </row>
        <row r="58">
          <cell r="DY58"/>
        </row>
      </sheetData>
      <sheetData sheetId="69">
        <row r="4">
          <cell r="DY4">
            <v>77</v>
          </cell>
        </row>
        <row r="5">
          <cell r="DY5">
            <v>77</v>
          </cell>
        </row>
        <row r="15">
          <cell r="DY15">
            <v>15</v>
          </cell>
        </row>
        <row r="47">
          <cell r="DY47">
            <v>4281484</v>
          </cell>
        </row>
        <row r="48">
          <cell r="DY48">
            <v>9579</v>
          </cell>
        </row>
        <row r="52">
          <cell r="DY52">
            <v>3779424</v>
          </cell>
        </row>
        <row r="53">
          <cell r="DY53">
            <v>88225</v>
          </cell>
        </row>
        <row r="57">
          <cell r="DY57"/>
        </row>
        <row r="58">
          <cell r="DY58"/>
        </row>
      </sheetData>
      <sheetData sheetId="70"/>
      <sheetData sheetId="71"/>
      <sheetData sheetId="72"/>
      <sheetData sheetId="73">
        <row r="4">
          <cell r="DY4">
            <v>214</v>
          </cell>
        </row>
        <row r="5">
          <cell r="DY5">
            <v>214</v>
          </cell>
        </row>
      </sheetData>
      <sheetData sheetId="74">
        <row r="4">
          <cell r="DY4"/>
        </row>
        <row r="5">
          <cell r="DY5"/>
        </row>
        <row r="47">
          <cell r="DY47"/>
        </row>
        <row r="48">
          <cell r="DY48"/>
        </row>
        <row r="52">
          <cell r="DY52"/>
        </row>
        <row r="53">
          <cell r="DY53"/>
        </row>
        <row r="57">
          <cell r="DY57"/>
        </row>
        <row r="58">
          <cell r="DY58"/>
        </row>
      </sheetData>
      <sheetData sheetId="75">
        <row r="4">
          <cell r="DY4">
            <v>20</v>
          </cell>
        </row>
        <row r="5">
          <cell r="DY5">
            <v>20</v>
          </cell>
        </row>
        <row r="47">
          <cell r="DY47">
            <v>37040</v>
          </cell>
        </row>
        <row r="48">
          <cell r="DY48"/>
        </row>
        <row r="52">
          <cell r="DY52">
            <v>126320</v>
          </cell>
        </row>
        <row r="53">
          <cell r="DY53"/>
        </row>
        <row r="57">
          <cell r="DY57"/>
        </row>
        <row r="58">
          <cell r="DY58"/>
        </row>
      </sheetData>
      <sheetData sheetId="76">
        <row r="4">
          <cell r="DY4">
            <v>23</v>
          </cell>
        </row>
        <row r="5">
          <cell r="DY5">
            <v>23</v>
          </cell>
        </row>
        <row r="8">
          <cell r="DY8">
            <v>1</v>
          </cell>
        </row>
        <row r="9">
          <cell r="DY9">
            <v>1</v>
          </cell>
        </row>
        <row r="47">
          <cell r="DY47">
            <v>35627</v>
          </cell>
        </row>
        <row r="48">
          <cell r="DY48"/>
        </row>
        <row r="52">
          <cell r="DY52">
            <v>36389</v>
          </cell>
        </row>
        <row r="53">
          <cell r="DY53"/>
        </row>
        <row r="57">
          <cell r="DY57"/>
        </row>
        <row r="58">
          <cell r="DY58"/>
        </row>
      </sheetData>
      <sheetData sheetId="77">
        <row r="4">
          <cell r="DY4">
            <v>63</v>
          </cell>
        </row>
        <row r="5">
          <cell r="DY5">
            <v>63</v>
          </cell>
        </row>
      </sheetData>
      <sheetData sheetId="78">
        <row r="4">
          <cell r="DY4">
            <v>806</v>
          </cell>
        </row>
        <row r="5">
          <cell r="DY5">
            <v>807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L8" sqref="L8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15">
        <v>42036</v>
      </c>
      <c r="B2" s="17"/>
      <c r="C2" s="17"/>
      <c r="D2" s="479" t="s">
        <v>209</v>
      </c>
      <c r="E2" s="479" t="s">
        <v>184</v>
      </c>
      <c r="F2" s="8"/>
      <c r="G2" s="8"/>
      <c r="H2" s="8"/>
      <c r="I2" s="8"/>
      <c r="J2" s="25"/>
    </row>
    <row r="3" spans="1:14" ht="13.5" thickBot="1" x14ac:dyDescent="0.25">
      <c r="A3" s="421"/>
      <c r="B3" s="8" t="s">
        <v>0</v>
      </c>
      <c r="C3" s="8" t="s">
        <v>1</v>
      </c>
      <c r="D3" s="480"/>
      <c r="E3" s="481"/>
      <c r="F3" s="8" t="s">
        <v>2</v>
      </c>
      <c r="G3" s="8" t="s">
        <v>206</v>
      </c>
      <c r="H3" s="8" t="s">
        <v>185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5">
        <f>'Major Airline Stats'!J4</f>
        <v>895479</v>
      </c>
      <c r="C5" s="307">
        <f>'Major Airline Stats'!J5</f>
        <v>923676</v>
      </c>
      <c r="D5" s="5">
        <f>'Major Airline Stats'!J6</f>
        <v>1819155</v>
      </c>
      <c r="E5" s="9">
        <f>'[1]Monthly Summary'!D5</f>
        <v>1706760</v>
      </c>
      <c r="F5" s="41">
        <f>(D5-E5)/E5</f>
        <v>6.585284398509457E-2</v>
      </c>
      <c r="G5" s="9">
        <f>+D5+'[2]Monthly Summary'!$G$5</f>
        <v>3650886</v>
      </c>
      <c r="H5" s="9">
        <f>'[1]Monthly Summary'!G5</f>
        <v>3471809</v>
      </c>
      <c r="I5" s="88">
        <f>(G5-H5)/H5</f>
        <v>5.1580314470064455E-2</v>
      </c>
      <c r="J5" s="9"/>
    </row>
    <row r="6" spans="1:14" x14ac:dyDescent="0.2">
      <c r="A6" s="70" t="s">
        <v>5</v>
      </c>
      <c r="B6" s="305">
        <f>'Regional Major'!K5</f>
        <v>316863</v>
      </c>
      <c r="C6" s="305">
        <f>'Regional Major'!K6</f>
        <v>315021</v>
      </c>
      <c r="D6" s="5">
        <f>B6+C6</f>
        <v>631884</v>
      </c>
      <c r="E6" s="9">
        <f>'[1]Monthly Summary'!D6</f>
        <v>667381</v>
      </c>
      <c r="F6" s="41">
        <f>(D6-E6)/E6</f>
        <v>-5.3188508513128181E-2</v>
      </c>
      <c r="G6" s="9">
        <f>+D6+'[2]Monthly Summary'!$G$6</f>
        <v>1305847</v>
      </c>
      <c r="H6" s="9">
        <f>'[1]Monthly Summary'!G6</f>
        <v>1372438</v>
      </c>
      <c r="I6" s="88">
        <f>(G6-H6)/H6</f>
        <v>-4.8520224593023513E-2</v>
      </c>
      <c r="J6" s="21"/>
      <c r="K6" s="2"/>
    </row>
    <row r="7" spans="1:14" x14ac:dyDescent="0.2">
      <c r="A7" s="70" t="s">
        <v>6</v>
      </c>
      <c r="B7" s="9">
        <f>Charter!G5</f>
        <v>94</v>
      </c>
      <c r="C7" s="306">
        <f>Charter!G6</f>
        <v>192</v>
      </c>
      <c r="D7" s="5">
        <f>B7+C7</f>
        <v>286</v>
      </c>
      <c r="E7" s="9">
        <f>'[1]Monthly Summary'!D7</f>
        <v>515</v>
      </c>
      <c r="F7" s="41">
        <f>(D7-E7)/E7</f>
        <v>-0.44466019417475727</v>
      </c>
      <c r="G7" s="9">
        <f>+D7+'[2]Monthly Summary'!$G$7</f>
        <v>1133</v>
      </c>
      <c r="H7" s="9">
        <f>'[1]Monthly Summary'!G7</f>
        <v>883</v>
      </c>
      <c r="I7" s="88">
        <f>(G7-H7)/H7</f>
        <v>0.28312570781426954</v>
      </c>
      <c r="J7" s="21"/>
      <c r="K7" s="2"/>
    </row>
    <row r="8" spans="1:14" x14ac:dyDescent="0.2">
      <c r="A8" s="73" t="s">
        <v>7</v>
      </c>
      <c r="B8" s="152">
        <f>SUM(B5:B7)</f>
        <v>1212436</v>
      </c>
      <c r="C8" s="152">
        <f>SUM(C5:C7)</f>
        <v>1238889</v>
      </c>
      <c r="D8" s="152">
        <f>SUM(D5:D7)</f>
        <v>2451325</v>
      </c>
      <c r="E8" s="152">
        <f>SUM(E5:E7)</f>
        <v>2374656</v>
      </c>
      <c r="F8" s="95">
        <f>(D8-E8)/E8</f>
        <v>3.2286360634971971E-2</v>
      </c>
      <c r="G8" s="152">
        <f>SUM(G5:G7)</f>
        <v>4957866</v>
      </c>
      <c r="H8" s="152">
        <f>SUM(H5:H7)</f>
        <v>4845130</v>
      </c>
      <c r="I8" s="94">
        <f>(G8-H8)/H8</f>
        <v>2.326789993250955E-2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8">
        <f>'Major Airline Stats'!J9+'Regional Major'!K10</f>
        <v>39659</v>
      </c>
      <c r="C10" s="308">
        <f>'Major Airline Stats'!J10+'Regional Major'!K11</f>
        <v>39331</v>
      </c>
      <c r="D10" s="124">
        <f>SUM(B10:C10)</f>
        <v>78990</v>
      </c>
      <c r="E10" s="124">
        <f>'[1]Monthly Summary'!D10</f>
        <v>77238</v>
      </c>
      <c r="F10" s="96">
        <f>(D10-E10)/E10</f>
        <v>2.2683135244309795E-2</v>
      </c>
      <c r="G10" s="118">
        <f>+D10+'[2]Monthly Summary'!$G$10</f>
        <v>166449</v>
      </c>
      <c r="H10" s="124">
        <f>'[1]Monthly Summary'!G10</f>
        <v>165115</v>
      </c>
      <c r="I10" s="99">
        <f>(G10-H10)/H10</f>
        <v>8.0792175150652575E-3</v>
      </c>
      <c r="J10" s="268"/>
    </row>
    <row r="11" spans="1:14" ht="15.75" thickBot="1" x14ac:dyDescent="0.3">
      <c r="A11" s="72" t="s">
        <v>15</v>
      </c>
      <c r="B11" s="283">
        <f>B10+B8</f>
        <v>1252095</v>
      </c>
      <c r="C11" s="283">
        <f>C10+C8</f>
        <v>1278220</v>
      </c>
      <c r="D11" s="283">
        <f>D10+D8</f>
        <v>2530315</v>
      </c>
      <c r="E11" s="283">
        <f>E10+E8</f>
        <v>2451894</v>
      </c>
      <c r="F11" s="97">
        <f>(D11-E11)/E11</f>
        <v>3.198384595745167E-2</v>
      </c>
      <c r="G11" s="283">
        <f>G8+G10</f>
        <v>5124315</v>
      </c>
      <c r="H11" s="283">
        <f>H8+H10</f>
        <v>5010245</v>
      </c>
      <c r="I11" s="100">
        <f>(G11-H11)/H11</f>
        <v>2.2767349700463749E-2</v>
      </c>
      <c r="J11" s="7"/>
    </row>
    <row r="12" spans="1:14" ht="15" x14ac:dyDescent="0.25">
      <c r="A12" s="15"/>
      <c r="B12" s="128"/>
      <c r="C12" s="128"/>
      <c r="D12" s="128"/>
      <c r="E12" s="128"/>
      <c r="F12" s="285"/>
      <c r="G12" s="128"/>
      <c r="H12" s="128"/>
      <c r="I12" s="286"/>
      <c r="J12" s="7"/>
      <c r="K12" s="134"/>
    </row>
    <row r="13" spans="1:14" ht="16.5" customHeight="1" x14ac:dyDescent="0.2">
      <c r="B13" s="8"/>
      <c r="C13" s="8"/>
      <c r="D13" s="479" t="s">
        <v>209</v>
      </c>
      <c r="E13" s="479" t="s">
        <v>184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0"/>
      <c r="E14" s="481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5"/>
    </row>
    <row r="16" spans="1:14" x14ac:dyDescent="0.2">
      <c r="A16" s="71" t="s">
        <v>4</v>
      </c>
      <c r="B16" s="316">
        <f>'Major Airline Stats'!J15+'Major Airline Stats'!J19</f>
        <v>7034</v>
      </c>
      <c r="C16" s="316">
        <f>'Major Airline Stats'!J16+'Major Airline Stats'!J20</f>
        <v>7021</v>
      </c>
      <c r="D16" s="49">
        <f t="shared" ref="D16:D21" si="0">SUM(B16:C16)</f>
        <v>14055</v>
      </c>
      <c r="E16" s="9">
        <f>'[1]Monthly Summary'!D16</f>
        <v>13399</v>
      </c>
      <c r="F16" s="98">
        <f t="shared" ref="F16:F22" si="1">(D16-E16)/E16</f>
        <v>4.8958877528173746E-2</v>
      </c>
      <c r="G16" s="49">
        <f>D16+'[2]Monthly Summary'!$G$16</f>
        <v>28983</v>
      </c>
      <c r="H16" s="9">
        <f>'[1]Monthly Summary'!G16</f>
        <v>28360</v>
      </c>
      <c r="I16" s="266">
        <f t="shared" ref="I16:I22" si="2">(G16-H16)/H16</f>
        <v>2.1967559943582512E-2</v>
      </c>
      <c r="N16" s="134"/>
    </row>
    <row r="17" spans="1:12" x14ac:dyDescent="0.2">
      <c r="A17" s="71" t="s">
        <v>5</v>
      </c>
      <c r="B17" s="49">
        <f>'Regional Major'!K15+'Regional Major'!K18</f>
        <v>6274</v>
      </c>
      <c r="C17" s="49">
        <f>'Regional Major'!K16+'Regional Major'!K19</f>
        <v>6282</v>
      </c>
      <c r="D17" s="49">
        <f>SUM(B17:C17)</f>
        <v>12556</v>
      </c>
      <c r="E17" s="9">
        <f>'[1]Monthly Summary'!D17</f>
        <v>13816</v>
      </c>
      <c r="F17" s="98">
        <f t="shared" si="1"/>
        <v>-9.1198610306890568E-2</v>
      </c>
      <c r="G17" s="49">
        <f>D17+'[2]Monthly Summary'!$G$17</f>
        <v>26565</v>
      </c>
      <c r="H17" s="9">
        <f>'[1]Monthly Summary'!G17</f>
        <v>29211</v>
      </c>
      <c r="I17" s="266">
        <f t="shared" si="2"/>
        <v>-9.0582314881380299E-2</v>
      </c>
    </row>
    <row r="18" spans="1:12" x14ac:dyDescent="0.2">
      <c r="A18" s="71" t="s">
        <v>10</v>
      </c>
      <c r="B18" s="49">
        <f>Charter!G10</f>
        <v>3</v>
      </c>
      <c r="C18" s="49">
        <f>Charter!G11</f>
        <v>3</v>
      </c>
      <c r="D18" s="49">
        <f t="shared" si="0"/>
        <v>6</v>
      </c>
      <c r="E18" s="9">
        <f>'[1]Monthly Summary'!D18</f>
        <v>12</v>
      </c>
      <c r="F18" s="98">
        <f t="shared" si="1"/>
        <v>-0.5</v>
      </c>
      <c r="G18" s="49">
        <f>D18+'[2]Monthly Summary'!$G$18</f>
        <v>17</v>
      </c>
      <c r="H18" s="9">
        <f>'[1]Monthly Summary'!G18</f>
        <v>19</v>
      </c>
      <c r="I18" s="266">
        <f t="shared" si="2"/>
        <v>-0.10526315789473684</v>
      </c>
    </row>
    <row r="19" spans="1:12" x14ac:dyDescent="0.2">
      <c r="A19" s="71" t="s">
        <v>11</v>
      </c>
      <c r="B19" s="49">
        <f>Cargo!M4</f>
        <v>485</v>
      </c>
      <c r="C19" s="49">
        <f>Cargo!M5</f>
        <v>470</v>
      </c>
      <c r="D19" s="49">
        <f t="shared" si="0"/>
        <v>955</v>
      </c>
      <c r="E19" s="9">
        <f>'[1]Monthly Summary'!D19</f>
        <v>952</v>
      </c>
      <c r="F19" s="98">
        <f t="shared" si="1"/>
        <v>3.1512605042016808E-3</v>
      </c>
      <c r="G19" s="49">
        <f>D19+'[2]Monthly Summary'!$G$19</f>
        <v>1955</v>
      </c>
      <c r="H19" s="9">
        <f>'[1]Monthly Summary'!G19</f>
        <v>2032</v>
      </c>
      <c r="I19" s="266">
        <f t="shared" si="2"/>
        <v>-3.7893700787401577E-2</v>
      </c>
    </row>
    <row r="20" spans="1:12" x14ac:dyDescent="0.2">
      <c r="A20" s="71" t="s">
        <v>172</v>
      </c>
      <c r="B20" s="49">
        <f>'[4]General Avation'!$DY$4</f>
        <v>806</v>
      </c>
      <c r="C20" s="49">
        <f>'[4]General Avation'!$DY$5</f>
        <v>807</v>
      </c>
      <c r="D20" s="49">
        <f t="shared" si="0"/>
        <v>1613</v>
      </c>
      <c r="E20" s="9">
        <f>'[1]Monthly Summary'!D20</f>
        <v>2123</v>
      </c>
      <c r="F20" s="98">
        <f t="shared" si="1"/>
        <v>-0.24022609514837495</v>
      </c>
      <c r="G20" s="49">
        <f>D20+'[2]Monthly Summary'!$G$20</f>
        <v>3279</v>
      </c>
      <c r="H20" s="9">
        <f>'[1]Monthly Summary'!G20</f>
        <v>3809</v>
      </c>
      <c r="I20" s="266">
        <f t="shared" si="2"/>
        <v>-0.13914413231819375</v>
      </c>
    </row>
    <row r="21" spans="1:12" ht="12.75" customHeight="1" x14ac:dyDescent="0.2">
      <c r="A21" s="71" t="s">
        <v>12</v>
      </c>
      <c r="B21" s="18">
        <f>'[4]Military '!$DY$4</f>
        <v>63</v>
      </c>
      <c r="C21" s="18">
        <f>'[4]Military '!$DY$5</f>
        <v>63</v>
      </c>
      <c r="D21" s="18">
        <f t="shared" si="0"/>
        <v>126</v>
      </c>
      <c r="E21" s="124">
        <f>'[1]Monthly Summary'!D21</f>
        <v>98</v>
      </c>
      <c r="F21" s="264">
        <f t="shared" si="1"/>
        <v>0.2857142857142857</v>
      </c>
      <c r="G21" s="475">
        <f>D21+'[2]Monthly Summary'!$G$21</f>
        <v>176</v>
      </c>
      <c r="H21" s="124">
        <f>'[1]Monthly Summary'!G21</f>
        <v>192</v>
      </c>
      <c r="I21" s="267">
        <f t="shared" si="2"/>
        <v>-8.3333333333333329E-2</v>
      </c>
    </row>
    <row r="22" spans="1:12" ht="15.75" thickBot="1" x14ac:dyDescent="0.3">
      <c r="A22" s="72" t="s">
        <v>31</v>
      </c>
      <c r="B22" s="284">
        <f>SUM(B16:B21)</f>
        <v>14665</v>
      </c>
      <c r="C22" s="284">
        <f>SUM(C16:C21)</f>
        <v>14646</v>
      </c>
      <c r="D22" s="284">
        <f>SUM(D16:D21)</f>
        <v>29311</v>
      </c>
      <c r="E22" s="284">
        <f>SUM(E16:E21)</f>
        <v>30400</v>
      </c>
      <c r="F22" s="280">
        <f t="shared" si="1"/>
        <v>-3.5822368421052631E-2</v>
      </c>
      <c r="G22" s="284">
        <f>SUM(G16:G21)</f>
        <v>60975</v>
      </c>
      <c r="H22" s="284">
        <f>SUM(H16:H21)</f>
        <v>63623</v>
      </c>
      <c r="I22" s="281">
        <f t="shared" si="2"/>
        <v>-4.1620168806878015E-2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9" t="s">
        <v>209</v>
      </c>
      <c r="E24" s="479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0"/>
      <c r="E25" s="481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7054.59467115403</v>
      </c>
      <c r="C27" s="23">
        <f>(Cargo!M21+'Major Airline Stats'!J33+'Regional Major'!K30)*0.00045359237</f>
        <v>7568.9103589106699</v>
      </c>
      <c r="D27" s="23">
        <f>(SUM(B27:C27)+('Cargo Summary'!E17*0.00045359237))</f>
        <v>14623.5050300647</v>
      </c>
      <c r="E27" s="9">
        <f>'[1]Monthly Summary'!D27</f>
        <v>14027.816231907171</v>
      </c>
      <c r="F27" s="101">
        <f>(D27-E27)/E27</f>
        <v>4.2464827618898845E-2</v>
      </c>
      <c r="G27" s="56">
        <f>+D27+'[2]Monthly Summary'!$G$27</f>
        <v>29909.263084992061</v>
      </c>
      <c r="H27" s="9">
        <f>'[1]Monthly Summary'!G27</f>
        <v>29211.152222503792</v>
      </c>
      <c r="I27" s="103">
        <f>(G27-H27)/H27</f>
        <v>2.3898778698310159E-2</v>
      </c>
    </row>
    <row r="28" spans="1:12" x14ac:dyDescent="0.2">
      <c r="A28" s="65" t="s">
        <v>18</v>
      </c>
      <c r="B28" s="23">
        <f>(Cargo!M17+'Major Airline Stats'!J29+'Regional Major'!K26)*0.00045359237</f>
        <v>509.42913715462998</v>
      </c>
      <c r="C28" s="23">
        <f>(Cargo!M22+'Major Airline Stats'!J34+'Regional Major'!K31)*0.00045359237</f>
        <v>362.73146799581997</v>
      </c>
      <c r="D28" s="23">
        <f>SUM(B28:C28)</f>
        <v>872.16060515045001</v>
      </c>
      <c r="E28" s="9">
        <f>'[1]Monthly Summary'!D28</f>
        <v>1416.0618552403398</v>
      </c>
      <c r="F28" s="101">
        <f>(D28-E28)/E28</f>
        <v>-0.3840942739027291</v>
      </c>
      <c r="G28" s="23">
        <f>+D28+'[2]Monthly Summary'!$G$28</f>
        <v>1923.4412084749399</v>
      </c>
      <c r="H28" s="9">
        <f>'[1]Monthly Summary'!G28</f>
        <v>2541.3841554894097</v>
      </c>
      <c r="I28" s="103">
        <f>(G28-H28)/H28</f>
        <v>-0.24315212073692527</v>
      </c>
    </row>
    <row r="29" spans="1:12" ht="15.75" thickBot="1" x14ac:dyDescent="0.3">
      <c r="A29" s="66" t="s">
        <v>68</v>
      </c>
      <c r="B29" s="57">
        <f>SUM(B27:B28)</f>
        <v>7564.0238083086597</v>
      </c>
      <c r="C29" s="57">
        <f>SUM(C27:C28)</f>
        <v>7931.6418269064898</v>
      </c>
      <c r="D29" s="57">
        <f>SUM(D27:D28)</f>
        <v>15495.665635215149</v>
      </c>
      <c r="E29" s="57">
        <f>SUM(E27:E28)</f>
        <v>15443.87808714751</v>
      </c>
      <c r="F29" s="102">
        <f>(D29-E29)/E29</f>
        <v>3.353273560915848E-3</v>
      </c>
      <c r="G29" s="57">
        <f>SUM(G27:G28)</f>
        <v>31832.704293466999</v>
      </c>
      <c r="H29" s="57">
        <f>SUM(H27:H28)</f>
        <v>31752.536377993201</v>
      </c>
      <c r="I29" s="104">
        <f>(G29-H29)/H29</f>
        <v>2.5247720219717558E-3</v>
      </c>
    </row>
    <row r="30" spans="1:12" s="7" customFormat="1" ht="4.5" customHeight="1" thickBot="1" x14ac:dyDescent="0.3">
      <c r="A30" s="62"/>
      <c r="B30" s="423"/>
      <c r="C30" s="423"/>
      <c r="D30" s="423"/>
      <c r="E30" s="423"/>
      <c r="F30" s="285"/>
      <c r="G30" s="423"/>
      <c r="H30" s="423"/>
      <c r="I30" s="285"/>
    </row>
    <row r="31" spans="1:12" ht="13.5" thickBot="1" x14ac:dyDescent="0.25">
      <c r="B31" s="478" t="s">
        <v>164</v>
      </c>
      <c r="C31" s="477"/>
      <c r="D31" s="478" t="s">
        <v>176</v>
      </c>
      <c r="E31" s="477"/>
      <c r="F31" s="452"/>
      <c r="G31" s="454"/>
      <c r="H31" s="451"/>
      <c r="I31" s="451"/>
    </row>
    <row r="32" spans="1:12" x14ac:dyDescent="0.2">
      <c r="A32" s="427" t="s">
        <v>165</v>
      </c>
      <c r="B32" s="428">
        <f>C8-B33</f>
        <v>751975</v>
      </c>
      <c r="C32" s="429">
        <f>B32/C8</f>
        <v>0.606975281885625</v>
      </c>
      <c r="D32" s="430">
        <f>+B32+'[2]Monthly Summary'!$D$32</f>
        <v>1494414</v>
      </c>
      <c r="E32" s="431">
        <f>+D32/D34</f>
        <v>0.59764774386490982</v>
      </c>
      <c r="G32" s="461"/>
      <c r="H32" s="451"/>
      <c r="I32" s="450"/>
    </row>
    <row r="33" spans="1:14" ht="13.5" thickBot="1" x14ac:dyDescent="0.25">
      <c r="A33" s="432" t="s">
        <v>166</v>
      </c>
      <c r="B33" s="433">
        <f>'Major Airline Stats'!J51+'Regional Major'!K45</f>
        <v>486914</v>
      </c>
      <c r="C33" s="434">
        <f>+B33/C8</f>
        <v>0.39302471811437506</v>
      </c>
      <c r="D33" s="435">
        <f>+B33+'[2]Monthly Summary'!$D$33</f>
        <v>1006079</v>
      </c>
      <c r="E33" s="436">
        <f>+D33/D34</f>
        <v>0.40235225613509018</v>
      </c>
      <c r="G33" s="451"/>
      <c r="H33" s="451"/>
      <c r="I33" s="450"/>
    </row>
    <row r="34" spans="1:14" ht="13.5" thickBot="1" x14ac:dyDescent="0.25">
      <c r="B34" s="320"/>
      <c r="D34" s="437">
        <f>SUM(D32:D33)</f>
        <v>2500493</v>
      </c>
    </row>
    <row r="35" spans="1:14" ht="13.5" thickBot="1" x14ac:dyDescent="0.25">
      <c r="B35" s="476" t="s">
        <v>216</v>
      </c>
      <c r="C35" s="477"/>
      <c r="D35" s="478" t="s">
        <v>210</v>
      </c>
      <c r="E35" s="477"/>
    </row>
    <row r="36" spans="1:14" x14ac:dyDescent="0.2">
      <c r="A36" s="427" t="s">
        <v>165</v>
      </c>
      <c r="B36" s="428">
        <f>'[1]Monthly Summary'!$B$32</f>
        <v>727027</v>
      </c>
      <c r="C36" s="429">
        <f>+B36/B38</f>
        <v>0.60764941184730259</v>
      </c>
      <c r="D36" s="430">
        <f>'[1]Monthly Summary'!$D$32</f>
        <v>1469287</v>
      </c>
      <c r="E36" s="431">
        <f>+D36/D38</f>
        <v>0.60158247931312614</v>
      </c>
    </row>
    <row r="37" spans="1:14" ht="13.5" thickBot="1" x14ac:dyDescent="0.25">
      <c r="A37" s="432" t="s">
        <v>166</v>
      </c>
      <c r="B37" s="433">
        <f>'[1]Monthly Summary'!$B$33</f>
        <v>469431</v>
      </c>
      <c r="C37" s="436">
        <f>+B37/B38</f>
        <v>0.39235058815269735</v>
      </c>
      <c r="D37" s="435">
        <f>'[1]Monthly Summary'!$D$33</f>
        <v>973083</v>
      </c>
      <c r="E37" s="436">
        <f>+D37/D38</f>
        <v>0.39841752068687381</v>
      </c>
    </row>
    <row r="38" spans="1:14" x14ac:dyDescent="0.2">
      <c r="B38" s="460">
        <f>+SUM(B36:B37)</f>
        <v>1196458</v>
      </c>
      <c r="D38" s="437">
        <f>SUM(D36:D37)</f>
        <v>2442370</v>
      </c>
    </row>
    <row r="39" spans="1:14" x14ac:dyDescent="0.2">
      <c r="A39" s="447" t="s">
        <v>167</v>
      </c>
    </row>
    <row r="40" spans="1:14" x14ac:dyDescent="0.2">
      <c r="A40" s="233" t="s">
        <v>173</v>
      </c>
      <c r="I40" s="2"/>
    </row>
    <row r="41" spans="1:14" x14ac:dyDescent="0.2">
      <c r="N41" s="448"/>
    </row>
    <row r="42" spans="1:14" x14ac:dyDescent="0.2">
      <c r="G42" s="2"/>
      <c r="N42" s="448"/>
    </row>
    <row r="43" spans="1:14" x14ac:dyDescent="0.2">
      <c r="J43" s="2"/>
      <c r="N43" s="448"/>
    </row>
    <row r="44" spans="1:14" x14ac:dyDescent="0.2">
      <c r="N44" s="448"/>
    </row>
    <row r="45" spans="1:14" x14ac:dyDescent="0.2">
      <c r="J45" s="2"/>
      <c r="N45" s="448"/>
    </row>
    <row r="46" spans="1:14" x14ac:dyDescent="0.2">
      <c r="B46" s="2"/>
      <c r="F46" s="320"/>
    </row>
    <row r="47" spans="1:14" x14ac:dyDescent="0.2">
      <c r="N47" s="448"/>
    </row>
    <row r="51" spans="12:12" x14ac:dyDescent="0.2">
      <c r="L51" s="449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98"/>
  <sheetViews>
    <sheetView zoomScaleNormal="100" zoomScaleSheetLayoutView="85" workbookViewId="0">
      <selection activeCell="P4" sqref="P4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9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6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15" t="s">
        <v>149</v>
      </c>
      <c r="B1" s="516"/>
      <c r="C1" s="270" t="s">
        <v>202</v>
      </c>
      <c r="D1" s="271" t="s">
        <v>154</v>
      </c>
      <c r="E1" s="272" t="s">
        <v>189</v>
      </c>
      <c r="F1" s="274" t="s">
        <v>107</v>
      </c>
      <c r="G1" s="273" t="s">
        <v>203</v>
      </c>
      <c r="H1" s="272" t="s">
        <v>190</v>
      </c>
      <c r="I1" s="274" t="s">
        <v>108</v>
      </c>
      <c r="J1" s="522" t="s">
        <v>153</v>
      </c>
      <c r="K1" s="523"/>
      <c r="L1" s="275" t="s">
        <v>204</v>
      </c>
      <c r="M1" s="413" t="s">
        <v>156</v>
      </c>
      <c r="N1" s="276" t="s">
        <v>191</v>
      </c>
      <c r="O1" s="357" t="s">
        <v>108</v>
      </c>
      <c r="P1" s="277" t="s">
        <v>205</v>
      </c>
      <c r="Q1" s="277" t="s">
        <v>192</v>
      </c>
      <c r="R1" s="278" t="s">
        <v>108</v>
      </c>
    </row>
    <row r="2" spans="1:23" s="228" customFormat="1" ht="13.5" thickBot="1" x14ac:dyDescent="0.25">
      <c r="A2" s="517">
        <v>42036</v>
      </c>
      <c r="B2" s="518"/>
      <c r="C2" s="519" t="s">
        <v>9</v>
      </c>
      <c r="D2" s="520"/>
      <c r="E2" s="520"/>
      <c r="F2" s="520"/>
      <c r="G2" s="520"/>
      <c r="H2" s="520"/>
      <c r="I2" s="521"/>
      <c r="J2" s="517">
        <v>42036</v>
      </c>
      <c r="K2" s="518"/>
      <c r="L2" s="512" t="s">
        <v>155</v>
      </c>
      <c r="M2" s="513"/>
      <c r="N2" s="513"/>
      <c r="O2" s="513"/>
      <c r="P2" s="513"/>
      <c r="Q2" s="513"/>
      <c r="R2" s="514"/>
    </row>
    <row r="3" spans="1:23" x14ac:dyDescent="0.2">
      <c r="A3" s="358"/>
      <c r="B3" s="359"/>
      <c r="C3" s="360"/>
      <c r="D3" s="361"/>
      <c r="E3" s="362"/>
      <c r="F3" s="363"/>
      <c r="G3" s="455"/>
      <c r="H3" s="456"/>
      <c r="I3" s="363"/>
      <c r="J3" s="364"/>
      <c r="K3" s="359"/>
      <c r="L3" s="360"/>
      <c r="M3" s="361"/>
      <c r="N3" s="362"/>
      <c r="O3" s="363"/>
      <c r="P3" s="365"/>
      <c r="Q3" s="365"/>
      <c r="R3" s="359"/>
    </row>
    <row r="4" spans="1:23" ht="14.1" customHeight="1" x14ac:dyDescent="0.2">
      <c r="A4" s="366" t="s">
        <v>111</v>
      </c>
      <c r="B4" s="58"/>
      <c r="C4" s="367">
        <f>[4]AirCanada!$DY$19</f>
        <v>158</v>
      </c>
      <c r="D4" s="368">
        <f>C4/$C$54</f>
        <v>5.9373943106234266E-3</v>
      </c>
      <c r="E4" s="369">
        <f>[4]AirCanada!$DK$19</f>
        <v>152</v>
      </c>
      <c r="F4" s="370">
        <f>(C4-E4)/E4</f>
        <v>3.9473684210526314E-2</v>
      </c>
      <c r="G4" s="369">
        <f>SUM([4]AirCanada!$DX$19:$DY$19)</f>
        <v>336</v>
      </c>
      <c r="H4" s="369">
        <f>SUM([4]AirCanada!$DJ$19:$DK$19)</f>
        <v>311</v>
      </c>
      <c r="I4" s="370">
        <f>(G4-H4)/H4</f>
        <v>8.0385852090032156E-2</v>
      </c>
      <c r="J4" s="366" t="s">
        <v>111</v>
      </c>
      <c r="K4" s="58"/>
      <c r="L4" s="367">
        <f>[4]AirCanada!$DY$41</f>
        <v>5061</v>
      </c>
      <c r="M4" s="368">
        <f>L4/$L$54</f>
        <v>2.0648386255787852E-3</v>
      </c>
      <c r="N4" s="369">
        <f>[4]AirCanada!$DK$41</f>
        <v>3897</v>
      </c>
      <c r="O4" s="370">
        <f>(L4-N4)/N4</f>
        <v>0.29869130100076985</v>
      </c>
      <c r="P4" s="369">
        <f>SUM([4]AirCanada!$DX$41:$DY$41)</f>
        <v>11457</v>
      </c>
      <c r="Q4" s="369">
        <f>SUM([4]AirCanada!$DJ$41:$DK$41)</f>
        <v>8014</v>
      </c>
      <c r="R4" s="370">
        <f>(P4-Q4)/Q4</f>
        <v>0.42962315947092589</v>
      </c>
      <c r="T4" s="21"/>
    </row>
    <row r="5" spans="1:23" ht="14.1" customHeight="1" x14ac:dyDescent="0.2">
      <c r="A5" s="366"/>
      <c r="B5" s="58"/>
      <c r="C5" s="367"/>
      <c r="D5" s="368"/>
      <c r="E5" s="369"/>
      <c r="F5" s="370"/>
      <c r="G5" s="369"/>
      <c r="H5" s="369"/>
      <c r="I5" s="370"/>
      <c r="J5" s="366"/>
      <c r="K5" s="58"/>
      <c r="L5" s="371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6" t="s">
        <v>188</v>
      </c>
      <c r="B6" s="58"/>
      <c r="C6" s="367">
        <f>'[4]Air France'!$DY$19</f>
        <v>0</v>
      </c>
      <c r="D6" s="368">
        <f>C6/$C$54</f>
        <v>0</v>
      </c>
      <c r="E6" s="369">
        <f>'[4]Air France'!$DK$19</f>
        <v>0</v>
      </c>
      <c r="F6" s="370" t="e">
        <f>(C6-E6)/E6</f>
        <v>#DIV/0!</v>
      </c>
      <c r="G6" s="369">
        <f>SUM('[4]Air France'!$DX$19:$DY$19)</f>
        <v>0</v>
      </c>
      <c r="H6" s="369">
        <f>SUM('[4]Air France'!$DJ$19:$DK$19)</f>
        <v>0</v>
      </c>
      <c r="I6" s="370" t="e">
        <f>(G6-H6)/H6</f>
        <v>#DIV/0!</v>
      </c>
      <c r="J6" s="366" t="s">
        <v>188</v>
      </c>
      <c r="K6" s="58"/>
      <c r="L6" s="367">
        <f>'[4]Air France'!$DY$41</f>
        <v>0</v>
      </c>
      <c r="M6" s="368">
        <f>L6/$L$54</f>
        <v>0</v>
      </c>
      <c r="N6" s="369">
        <f>'[4]Air France'!$DK$41</f>
        <v>0</v>
      </c>
      <c r="O6" s="370" t="e">
        <f>(L6-N6)/N6</f>
        <v>#DIV/0!</v>
      </c>
      <c r="P6" s="369">
        <f>SUM('[4]Air France'!$DX$41:$DY$41)</f>
        <v>0</v>
      </c>
      <c r="Q6" s="369">
        <f>SUM('[4]Air France'!$DJ$41:$DK$41)</f>
        <v>0</v>
      </c>
      <c r="R6" s="370" t="e">
        <f>(P6-Q6)/Q6</f>
        <v>#DIV/0!</v>
      </c>
      <c r="T6" s="21"/>
    </row>
    <row r="7" spans="1:23" ht="14.1" customHeight="1" x14ac:dyDescent="0.2">
      <c r="A7" s="366"/>
      <c r="B7" s="58"/>
      <c r="C7" s="367"/>
      <c r="D7" s="368"/>
      <c r="E7" s="369"/>
      <c r="F7" s="370"/>
      <c r="G7" s="369"/>
      <c r="H7" s="369"/>
      <c r="I7" s="370"/>
      <c r="J7" s="366"/>
      <c r="K7" s="58"/>
      <c r="L7" s="371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6" t="s">
        <v>143</v>
      </c>
      <c r="B8" s="58"/>
      <c r="C8" s="367">
        <f>[4]Alaska!$DY$19</f>
        <v>58</v>
      </c>
      <c r="D8" s="368">
        <f>C8/$C$54</f>
        <v>2.1795498102288526E-3</v>
      </c>
      <c r="E8" s="369">
        <f>[4]Alaska!$DK$19</f>
        <v>110</v>
      </c>
      <c r="F8" s="370">
        <f>(C8-E8)/E8</f>
        <v>-0.47272727272727272</v>
      </c>
      <c r="G8" s="369">
        <f>SUM([4]Alaska!$DX$19:$DY$19)</f>
        <v>128</v>
      </c>
      <c r="H8" s="369">
        <f>SUM([4]Alaska!$DJ$19:$DK$19)</f>
        <v>234</v>
      </c>
      <c r="I8" s="370">
        <f>(G8-H8)/H8</f>
        <v>-0.45299145299145299</v>
      </c>
      <c r="J8" s="366" t="s">
        <v>143</v>
      </c>
      <c r="K8" s="58"/>
      <c r="L8" s="367">
        <f>[4]Alaska!$DY$41</f>
        <v>7147</v>
      </c>
      <c r="M8" s="368">
        <f>L8/$L$54</f>
        <v>2.9159062748491558E-3</v>
      </c>
      <c r="N8" s="369">
        <f>[4]Alaska!$DK$41</f>
        <v>13364</v>
      </c>
      <c r="O8" s="370">
        <f>(L8-N8)/N8</f>
        <v>-0.46520502843460043</v>
      </c>
      <c r="P8" s="369">
        <f>SUM([4]Alaska!$DX$41:$DY$41)</f>
        <v>16932</v>
      </c>
      <c r="Q8" s="369">
        <f>SUM([4]Alaska!$DJ$41:$DK$41)</f>
        <v>27613</v>
      </c>
      <c r="R8" s="370">
        <f>(P8-Q8)/Q8</f>
        <v>-0.38681056024336363</v>
      </c>
      <c r="T8" s="21"/>
    </row>
    <row r="9" spans="1:23" ht="14.1" customHeight="1" x14ac:dyDescent="0.2">
      <c r="A9" s="366"/>
      <c r="B9" s="58"/>
      <c r="C9" s="367"/>
      <c r="D9" s="368"/>
      <c r="E9" s="372"/>
      <c r="F9" s="370"/>
      <c r="G9" s="372"/>
      <c r="H9" s="372"/>
      <c r="I9" s="370"/>
      <c r="J9" s="366"/>
      <c r="K9" s="58"/>
      <c r="L9" s="373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6" t="s">
        <v>19</v>
      </c>
      <c r="B10" s="374"/>
      <c r="C10" s="367">
        <f>SUM(C11:C12)</f>
        <v>814</v>
      </c>
      <c r="D10" s="368">
        <f>C10/$C$54</f>
        <v>3.058885423321183E-2</v>
      </c>
      <c r="E10" s="372">
        <f>SUM(E11:E12)</f>
        <v>918</v>
      </c>
      <c r="F10" s="370">
        <f>(C10-E10)/E10</f>
        <v>-0.11328976034858387</v>
      </c>
      <c r="G10" s="372">
        <f>SUM(G11:G12)</f>
        <v>1724</v>
      </c>
      <c r="H10" s="372">
        <f>SUM(H11:H12)</f>
        <v>1890</v>
      </c>
      <c r="I10" s="370">
        <f>(G10-H10)/H10</f>
        <v>-8.7830687830687829E-2</v>
      </c>
      <c r="J10" s="366" t="s">
        <v>19</v>
      </c>
      <c r="K10" s="374"/>
      <c r="L10" s="367">
        <f>SUM(L11:L12)</f>
        <v>88177</v>
      </c>
      <c r="M10" s="368">
        <f>L10/$L$54</f>
        <v>3.5975355757293132E-2</v>
      </c>
      <c r="N10" s="372">
        <f>SUM(N11:N12)</f>
        <v>79790</v>
      </c>
      <c r="O10" s="370">
        <f>(L10-N10)/N10</f>
        <v>0.10511342273467852</v>
      </c>
      <c r="P10" s="367">
        <f>SUM(P11:P12)</f>
        <v>181819</v>
      </c>
      <c r="Q10" s="372">
        <f>SUM(Q11:Q12)</f>
        <v>155428</v>
      </c>
      <c r="R10" s="370">
        <f>(P10-Q10)/Q10</f>
        <v>0.16979566101345961</v>
      </c>
      <c r="T10" s="21"/>
    </row>
    <row r="11" spans="1:23" ht="14.1" customHeight="1" x14ac:dyDescent="0.2">
      <c r="A11" s="55"/>
      <c r="B11" s="375" t="s">
        <v>19</v>
      </c>
      <c r="C11" s="371">
        <f>[4]American!$DY$19</f>
        <v>629</v>
      </c>
      <c r="D11" s="41">
        <f>C11/$C$54</f>
        <v>2.363684190748187E-2</v>
      </c>
      <c r="E11" s="9">
        <f>[4]American!$DK$19</f>
        <v>488</v>
      </c>
      <c r="F11" s="89">
        <f>(C11-E11)/E11</f>
        <v>0.28893442622950821</v>
      </c>
      <c r="G11" s="9">
        <f>SUM([4]American!$DX$19:$DY$19)</f>
        <v>1328</v>
      </c>
      <c r="H11" s="9">
        <f>SUM([4]American!$DJ$19:$DK$19)</f>
        <v>1056</v>
      </c>
      <c r="I11" s="89">
        <f>(G11-H11)/H11</f>
        <v>0.25757575757575757</v>
      </c>
      <c r="J11" s="55"/>
      <c r="K11" s="375" t="s">
        <v>19</v>
      </c>
      <c r="L11" s="371">
        <f>[4]American!$DY$41</f>
        <v>77133</v>
      </c>
      <c r="M11" s="41">
        <f>L11/$L$54</f>
        <v>3.1469511501040985E-2</v>
      </c>
      <c r="N11" s="9">
        <f>[4]American!$DK$41</f>
        <v>56577</v>
      </c>
      <c r="O11" s="89">
        <f>(L11-N11)/N11</f>
        <v>0.36332785407497747</v>
      </c>
      <c r="P11" s="9">
        <f>SUM([4]American!$DX$41:$DY$41)</f>
        <v>158334</v>
      </c>
      <c r="Q11" s="9">
        <f>SUM([4]American!$DJ$41:$DK$41)</f>
        <v>113057</v>
      </c>
      <c r="R11" s="89">
        <f>(P11-Q11)/Q11</f>
        <v>0.40047940419434447</v>
      </c>
      <c r="T11" s="21"/>
    </row>
    <row r="12" spans="1:23" ht="14.1" customHeight="1" x14ac:dyDescent="0.2">
      <c r="A12" s="55"/>
      <c r="B12" s="375" t="s">
        <v>174</v>
      </c>
      <c r="C12" s="371">
        <f>'[4]American Eagle'!$DY$19</f>
        <v>185</v>
      </c>
      <c r="D12" s="41">
        <f>C12/$C$54</f>
        <v>6.9520123257299617E-3</v>
      </c>
      <c r="E12" s="9">
        <f>'[4]American Eagle'!$DK$19</f>
        <v>430</v>
      </c>
      <c r="F12" s="89">
        <f>(C12-E12)/E12</f>
        <v>-0.56976744186046513</v>
      </c>
      <c r="G12" s="9">
        <f>SUM('[4]American Eagle'!$DX$19:$DY$19)</f>
        <v>396</v>
      </c>
      <c r="H12" s="9">
        <f>SUM('[4]American Eagle'!$DJ$19:$DK$19)</f>
        <v>834</v>
      </c>
      <c r="I12" s="89">
        <f>(G12-H12)/H12</f>
        <v>-0.52517985611510787</v>
      </c>
      <c r="J12" s="55"/>
      <c r="K12" s="375" t="s">
        <v>174</v>
      </c>
      <c r="L12" s="371">
        <f>'[4]American Eagle'!$DY$41</f>
        <v>11044</v>
      </c>
      <c r="M12" s="41">
        <f>L12/$L$54</f>
        <v>4.5058442562521447E-3</v>
      </c>
      <c r="N12" s="9">
        <f>'[4]American Eagle'!$DK$41</f>
        <v>23213</v>
      </c>
      <c r="O12" s="89">
        <f>(L12-N12)/N12</f>
        <v>-0.52423211131693448</v>
      </c>
      <c r="P12" s="9">
        <f>SUM('[4]American Eagle'!$DX$41:$DY$41)</f>
        <v>23485</v>
      </c>
      <c r="Q12" s="9">
        <f>SUM('[4]American Eagle'!$DJ$41:$DK$41)</f>
        <v>42371</v>
      </c>
      <c r="R12" s="89">
        <f>(P12-Q12)/Q12</f>
        <v>-0.44572939038493309</v>
      </c>
      <c r="T12" s="21"/>
    </row>
    <row r="13" spans="1:23" ht="14.1" customHeight="1" x14ac:dyDescent="0.2">
      <c r="A13" s="55"/>
      <c r="B13" s="376"/>
      <c r="C13" s="371"/>
      <c r="D13" s="41"/>
      <c r="E13" s="9"/>
      <c r="F13" s="89"/>
      <c r="G13" s="9"/>
      <c r="H13" s="9"/>
      <c r="I13" s="89"/>
      <c r="J13" s="55"/>
      <c r="K13" s="376"/>
      <c r="L13" s="371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6" t="s">
        <v>20</v>
      </c>
      <c r="B14" s="380"/>
      <c r="C14" s="367">
        <f>SUM(C15:C21)</f>
        <v>19934</v>
      </c>
      <c r="D14" s="368">
        <f t="shared" ref="D14:D21" si="0">C14/$C$54</f>
        <v>0.74908872270865434</v>
      </c>
      <c r="E14" s="369">
        <f>SUM(E15:E21)</f>
        <v>20219</v>
      </c>
      <c r="F14" s="370">
        <f t="shared" ref="F14:F21" si="1">(C14-E14)/E14</f>
        <v>-1.4095652603986349E-2</v>
      </c>
      <c r="G14" s="372">
        <f>SUM(G15:G21)</f>
        <v>41624</v>
      </c>
      <c r="H14" s="372">
        <f>SUM(H15:H21)</f>
        <v>42816</v>
      </c>
      <c r="I14" s="370">
        <f>(G14-H14)/H14</f>
        <v>-2.7840059790732438E-2</v>
      </c>
      <c r="J14" s="366" t="s">
        <v>20</v>
      </c>
      <c r="K14" s="380"/>
      <c r="L14" s="367">
        <f>SUM(L15:L21)</f>
        <v>1742104</v>
      </c>
      <c r="M14" s="368">
        <f t="shared" ref="M14:M21" si="2">L14/$L$54</f>
        <v>0.71076143627253585</v>
      </c>
      <c r="N14" s="369">
        <f>SUM(N15:N21)</f>
        <v>1703768</v>
      </c>
      <c r="O14" s="370">
        <f t="shared" ref="O14:O21" si="3">(L14-N14)/N14</f>
        <v>2.2500716059933042E-2</v>
      </c>
      <c r="P14" s="369">
        <f>SUM(P15:P21)</f>
        <v>3523318</v>
      </c>
      <c r="Q14" s="369">
        <f>SUM(Q15:Q21)</f>
        <v>3510943</v>
      </c>
      <c r="R14" s="370">
        <f t="shared" ref="R14:R21" si="4">(P14-Q14)/Q14</f>
        <v>3.5246940779158193E-3</v>
      </c>
      <c r="T14" s="459"/>
      <c r="V14" s="11"/>
      <c r="W14" s="11"/>
    </row>
    <row r="15" spans="1:23" ht="14.1" customHeight="1" x14ac:dyDescent="0.2">
      <c r="A15" s="55"/>
      <c r="B15" s="375" t="s">
        <v>20</v>
      </c>
      <c r="C15" s="371">
        <f>[4]Delta!$DY$19</f>
        <v>8768</v>
      </c>
      <c r="D15" s="41">
        <f t="shared" si="0"/>
        <v>0.32948780579459624</v>
      </c>
      <c r="E15" s="9">
        <f>[4]Delta!$DK$19</f>
        <v>8183</v>
      </c>
      <c r="F15" s="89">
        <f t="shared" si="1"/>
        <v>7.14896737137969E-2</v>
      </c>
      <c r="G15" s="9">
        <f>SUM([4]Delta!$DX$19:$DY$19)</f>
        <v>17980</v>
      </c>
      <c r="H15" s="9">
        <f>SUM([4]Delta!$DJ$19:$DK$19)</f>
        <v>17162</v>
      </c>
      <c r="I15" s="89">
        <f t="shared" ref="I15:I21" si="5">(G15-H15)/H15</f>
        <v>4.7663442489220373E-2</v>
      </c>
      <c r="J15" s="55"/>
      <c r="K15" s="375" t="s">
        <v>20</v>
      </c>
      <c r="L15" s="371">
        <f>[4]Delta!$DY$41</f>
        <v>1184452</v>
      </c>
      <c r="M15" s="41">
        <f t="shared" si="2"/>
        <v>0.48324486064889216</v>
      </c>
      <c r="N15" s="9">
        <f>[4]Delta!$DK$41</f>
        <v>1124737</v>
      </c>
      <c r="O15" s="89">
        <f t="shared" si="3"/>
        <v>5.3092411826053558E-2</v>
      </c>
      <c r="P15" s="9">
        <f>SUM([4]Delta!$DX$41:$DY$41)</f>
        <v>2375048</v>
      </c>
      <c r="Q15" s="9">
        <f>SUM([4]Delta!$DJ$41:$DK$41)</f>
        <v>2307854</v>
      </c>
      <c r="R15" s="89">
        <f t="shared" si="4"/>
        <v>2.9115359983777137E-2</v>
      </c>
      <c r="T15" s="21"/>
      <c r="U15" s="9"/>
      <c r="V15" s="11"/>
      <c r="W15" s="11"/>
    </row>
    <row r="16" spans="1:23" ht="14.1" customHeight="1" x14ac:dyDescent="0.2">
      <c r="A16" s="55"/>
      <c r="B16" s="377" t="s">
        <v>132</v>
      </c>
      <c r="C16" s="371">
        <f>[4]Compass!$DY$19</f>
        <v>1227</v>
      </c>
      <c r="D16" s="41">
        <f t="shared" si="0"/>
        <v>4.6108752019841416E-2</v>
      </c>
      <c r="E16" s="9">
        <f>[4]Compass!$DK$19</f>
        <v>2475</v>
      </c>
      <c r="F16" s="89">
        <f t="shared" si="1"/>
        <v>-0.50424242424242427</v>
      </c>
      <c r="G16" s="9">
        <f>SUM([4]Compass!$DX$19:$DY$19)</f>
        <v>2448</v>
      </c>
      <c r="H16" s="9">
        <f>SUM([4]Compass!$DJ$19:$DK$19)</f>
        <v>5164</v>
      </c>
      <c r="I16" s="89">
        <f t="shared" si="5"/>
        <v>-0.52594887683965919</v>
      </c>
      <c r="J16" s="55"/>
      <c r="K16" s="377" t="s">
        <v>132</v>
      </c>
      <c r="L16" s="371">
        <f>[4]Compass!$DY$41</f>
        <v>71129</v>
      </c>
      <c r="M16" s="41">
        <f t="shared" si="2"/>
        <v>2.9019938075240746E-2</v>
      </c>
      <c r="N16" s="9">
        <f>[4]Compass!$DK$41</f>
        <v>148897</v>
      </c>
      <c r="O16" s="89">
        <f t="shared" si="3"/>
        <v>-0.52229393473340635</v>
      </c>
      <c r="P16" s="9">
        <f>SUM([4]Compass!$DX$41:$DY$41)</f>
        <v>137906</v>
      </c>
      <c r="Q16" s="9">
        <f>SUM([4]Compass!$DJ$41:$DK$41)</f>
        <v>302918</v>
      </c>
      <c r="R16" s="89">
        <f t="shared" si="4"/>
        <v>-0.54474148119293009</v>
      </c>
      <c r="T16" s="9"/>
      <c r="U16" s="9"/>
      <c r="V16" s="11"/>
      <c r="W16" s="11"/>
    </row>
    <row r="17" spans="1:21" ht="14.1" customHeight="1" x14ac:dyDescent="0.2">
      <c r="A17" s="55"/>
      <c r="B17" s="376" t="s">
        <v>194</v>
      </c>
      <c r="C17" s="371">
        <f>[4]Pinnacle!$DY$19</f>
        <v>5102</v>
      </c>
      <c r="D17" s="41">
        <f t="shared" si="0"/>
        <v>0.19172522641013115</v>
      </c>
      <c r="E17" s="9">
        <f>[4]Pinnacle!$DK$19</f>
        <v>6000</v>
      </c>
      <c r="F17" s="89">
        <f t="shared" si="1"/>
        <v>-0.14966666666666667</v>
      </c>
      <c r="G17" s="9">
        <f>SUM([4]Pinnacle!$DX$19:$DY$19)</f>
        <v>10888</v>
      </c>
      <c r="H17" s="9">
        <f>SUM([4]Pinnacle!$DJ$19:$DK$19)</f>
        <v>12914</v>
      </c>
      <c r="I17" s="89">
        <f t="shared" si="5"/>
        <v>-0.1568840018584482</v>
      </c>
      <c r="J17" s="55"/>
      <c r="K17" s="376" t="s">
        <v>194</v>
      </c>
      <c r="L17" s="371">
        <f>[4]Pinnacle!$DY$41</f>
        <v>269970</v>
      </c>
      <c r="M17" s="41">
        <f t="shared" si="2"/>
        <v>0.11014512620974207</v>
      </c>
      <c r="N17" s="9">
        <f>[4]Pinnacle!$DK$41</f>
        <v>275861</v>
      </c>
      <c r="O17" s="89">
        <f t="shared" si="3"/>
        <v>-2.1354957750461284E-2</v>
      </c>
      <c r="P17" s="9">
        <f>SUM([4]Pinnacle!$DX$41:$DY$41)</f>
        <v>561673</v>
      </c>
      <c r="Q17" s="9">
        <f>SUM([4]Pinnacle!$DJ$41:$DK$41)</f>
        <v>584069</v>
      </c>
      <c r="R17" s="89">
        <f t="shared" si="4"/>
        <v>-3.8344784605928411E-2</v>
      </c>
      <c r="T17" s="21"/>
      <c r="U17" s="11"/>
    </row>
    <row r="18" spans="1:21" ht="14.1" customHeight="1" x14ac:dyDescent="0.2">
      <c r="A18" s="55"/>
      <c r="B18" s="375" t="s">
        <v>180</v>
      </c>
      <c r="C18" s="371">
        <f>'[4]Go Jet'!$DY$19</f>
        <v>26</v>
      </c>
      <c r="D18" s="41">
        <f t="shared" si="0"/>
        <v>9.7703957010258913E-4</v>
      </c>
      <c r="E18" s="9">
        <f>'[4]Go Jet'!$DK$19</f>
        <v>0</v>
      </c>
      <c r="F18" s="89" t="e">
        <f>(C18-E18)/E18</f>
        <v>#DIV/0!</v>
      </c>
      <c r="G18" s="9">
        <f>SUM('[4]Go Jet'!$DX$19:$DY$19)</f>
        <v>26</v>
      </c>
      <c r="H18" s="9">
        <f>SUM('[4]Go Jet'!$DJ$19:$DK$19)</f>
        <v>0</v>
      </c>
      <c r="I18" s="89" t="e">
        <f>(G18-H18)/H18</f>
        <v>#DIV/0!</v>
      </c>
      <c r="J18" s="55"/>
      <c r="K18" s="375" t="s">
        <v>180</v>
      </c>
      <c r="L18" s="371">
        <f>'[4]Go Jet'!$DY$41</f>
        <v>1459</v>
      </c>
      <c r="M18" s="41">
        <f t="shared" si="2"/>
        <v>5.9525776619629475E-4</v>
      </c>
      <c r="N18" s="9">
        <f>'[4]Go Jet'!$DK$41</f>
        <v>0</v>
      </c>
      <c r="O18" s="89" t="e">
        <f>(L18-N18)/N18</f>
        <v>#DIV/0!</v>
      </c>
      <c r="P18" s="9">
        <f>SUM('[4]Go Jet'!$DX$41:$DY$41)</f>
        <v>1459</v>
      </c>
      <c r="Q18" s="9">
        <f>SUM('[4]Go Jet'!$DJ$41:$DK$41)</f>
        <v>0</v>
      </c>
      <c r="R18" s="89" t="e">
        <f>(P18-Q18)/Q18</f>
        <v>#DIV/0!</v>
      </c>
      <c r="T18" s="343"/>
      <c r="U18" s="340"/>
    </row>
    <row r="19" spans="1:21" ht="14.1" customHeight="1" x14ac:dyDescent="0.2">
      <c r="A19" s="55"/>
      <c r="B19" s="376" t="s">
        <v>110</v>
      </c>
      <c r="C19" s="371">
        <f>'[4]Sky West'!$DY$19</f>
        <v>3398</v>
      </c>
      <c r="D19" s="41">
        <f t="shared" si="0"/>
        <v>0.1276915561234076</v>
      </c>
      <c r="E19" s="9">
        <f>'[4]Sky West'!$DK$19</f>
        <v>2660</v>
      </c>
      <c r="F19" s="89">
        <f t="shared" si="1"/>
        <v>0.27744360902255638</v>
      </c>
      <c r="G19" s="9">
        <f>SUM('[4]Sky West'!$DX$19:$DY$19)</f>
        <v>7101</v>
      </c>
      <c r="H19" s="9">
        <f>SUM('[4]Sky West'!$DJ$19:$DK$19)</f>
        <v>5673</v>
      </c>
      <c r="I19" s="89">
        <f t="shared" si="5"/>
        <v>0.25171866737176096</v>
      </c>
      <c r="J19" s="55"/>
      <c r="K19" s="376" t="s">
        <v>110</v>
      </c>
      <c r="L19" s="371">
        <f>'[4]Sky West'!$DY$41</f>
        <v>140878</v>
      </c>
      <c r="M19" s="41">
        <f t="shared" si="2"/>
        <v>5.7476849613572037E-2</v>
      </c>
      <c r="N19" s="9">
        <f>'[4]Sky West'!$DK$41</f>
        <v>104771</v>
      </c>
      <c r="O19" s="89">
        <f t="shared" si="3"/>
        <v>0.34462780731309234</v>
      </c>
      <c r="P19" s="9">
        <f>SUM('[4]Sky West'!$DX$41:$DY$41)</f>
        <v>284754</v>
      </c>
      <c r="Q19" s="9">
        <f>SUM('[4]Sky West'!$DJ$41:$DK$41)</f>
        <v>216764</v>
      </c>
      <c r="R19" s="89">
        <f t="shared" si="4"/>
        <v>0.31365909468361908</v>
      </c>
      <c r="T19" s="21"/>
    </row>
    <row r="20" spans="1:21" ht="14.1" customHeight="1" x14ac:dyDescent="0.2">
      <c r="A20" s="55"/>
      <c r="B20" s="376" t="s">
        <v>148</v>
      </c>
      <c r="C20" s="371">
        <f>'[4]Shuttle America_Delta'!$DY$19</f>
        <v>388</v>
      </c>
      <c r="D20" s="41">
        <f t="shared" si="0"/>
        <v>1.4580436661530945E-2</v>
      </c>
      <c r="E20" s="9">
        <f>'[4]Shuttle America_Delta'!$DK$19</f>
        <v>176</v>
      </c>
      <c r="F20" s="89">
        <f t="shared" si="1"/>
        <v>1.2045454545454546</v>
      </c>
      <c r="G20" s="9">
        <f>SUM('[4]Shuttle America_Delta'!$DX$19:$DY$19)</f>
        <v>802</v>
      </c>
      <c r="H20" s="9">
        <f>SUM('[4]Shuttle America_Delta'!$DJ$19:$DK$19)</f>
        <v>380</v>
      </c>
      <c r="I20" s="89">
        <f t="shared" si="5"/>
        <v>1.1105263157894736</v>
      </c>
      <c r="J20" s="55"/>
      <c r="K20" s="376" t="s">
        <v>148</v>
      </c>
      <c r="L20" s="371">
        <f>'[4]Shuttle America_Delta'!$DY$41</f>
        <v>20233</v>
      </c>
      <c r="M20" s="41">
        <f t="shared" si="2"/>
        <v>8.2548666096296311E-3</v>
      </c>
      <c r="N20" s="9">
        <f>'[4]Shuttle America_Delta'!$DK$41</f>
        <v>9995</v>
      </c>
      <c r="O20" s="89">
        <f t="shared" si="3"/>
        <v>1.024312156078039</v>
      </c>
      <c r="P20" s="9">
        <f>SUM('[4]Shuttle America_Delta'!$DX$41:$DY$41)</f>
        <v>40894</v>
      </c>
      <c r="Q20" s="9">
        <f>SUM('[4]Shuttle America_Delta'!$DJ$41:$DK$41)</f>
        <v>20654</v>
      </c>
      <c r="R20" s="89">
        <f t="shared" si="4"/>
        <v>0.97995545657015593</v>
      </c>
      <c r="T20" s="21"/>
    </row>
    <row r="21" spans="1:21" ht="14.1" customHeight="1" x14ac:dyDescent="0.2">
      <c r="A21" s="55"/>
      <c r="B21" s="381" t="s">
        <v>55</v>
      </c>
      <c r="C21" s="371">
        <f>'[4]Atlantic Southeast'!$DY$19</f>
        <v>1025</v>
      </c>
      <c r="D21" s="41">
        <f t="shared" si="0"/>
        <v>3.8517906129044377E-2</v>
      </c>
      <c r="E21" s="9">
        <f>'[4]Atlantic Southeast'!$DK$19</f>
        <v>725</v>
      </c>
      <c r="F21" s="89">
        <f t="shared" si="1"/>
        <v>0.41379310344827586</v>
      </c>
      <c r="G21" s="9">
        <f>SUM('[4]Atlantic Southeast'!$DX$19:$DY$19)</f>
        <v>2379</v>
      </c>
      <c r="H21" s="9">
        <f>SUM('[4]Atlantic Southeast'!$DJ$19:$DK$19)</f>
        <v>1523</v>
      </c>
      <c r="I21" s="89">
        <f t="shared" si="5"/>
        <v>0.56204858831254101</v>
      </c>
      <c r="J21" s="55"/>
      <c r="K21" s="381" t="s">
        <v>55</v>
      </c>
      <c r="L21" s="371">
        <f>'[4]Atlantic Southeast'!$DY$41</f>
        <v>53983</v>
      </c>
      <c r="M21" s="41">
        <f t="shared" si="2"/>
        <v>2.2024537349262904E-2</v>
      </c>
      <c r="N21" s="9">
        <f>'[4]Atlantic Southeast'!$DK$41</f>
        <v>39507</v>
      </c>
      <c r="O21" s="89">
        <f t="shared" si="3"/>
        <v>0.36641607816336347</v>
      </c>
      <c r="P21" s="9">
        <f>SUM('[4]Atlantic Southeast'!$DX$41:$DY$41)</f>
        <v>121584</v>
      </c>
      <c r="Q21" s="9">
        <f>SUM('[4]Atlantic Southeast'!$DJ$41:$DK$41)</f>
        <v>78684</v>
      </c>
      <c r="R21" s="89">
        <f t="shared" si="4"/>
        <v>0.54521885008387982</v>
      </c>
      <c r="T21" s="339"/>
    </row>
    <row r="22" spans="1:21" ht="14.1" customHeight="1" x14ac:dyDescent="0.2">
      <c r="A22" s="55"/>
      <c r="B22" s="381"/>
      <c r="C22" s="371"/>
      <c r="D22" s="41"/>
      <c r="E22" s="5"/>
      <c r="F22" s="89"/>
      <c r="G22" s="9"/>
      <c r="H22" s="9"/>
      <c r="I22" s="89"/>
      <c r="J22" s="55"/>
      <c r="K22" s="381"/>
      <c r="L22" s="371"/>
      <c r="M22" s="41"/>
      <c r="N22" s="9"/>
      <c r="O22" s="89"/>
      <c r="P22" s="9"/>
      <c r="Q22" s="9"/>
      <c r="R22" s="89"/>
      <c r="T22" s="339"/>
    </row>
    <row r="23" spans="1:21" s="7" customFormat="1" ht="14.1" customHeight="1" x14ac:dyDescent="0.2">
      <c r="A23" s="366" t="s">
        <v>51</v>
      </c>
      <c r="B23" s="382"/>
      <c r="C23" s="367">
        <f>[4]Frontier!$DY$19</f>
        <v>112</v>
      </c>
      <c r="D23" s="368">
        <f>C23/$C$54</f>
        <v>4.2087858404419223E-3</v>
      </c>
      <c r="E23" s="369">
        <f>[4]Frontier!$DK$19</f>
        <v>176</v>
      </c>
      <c r="F23" s="370">
        <f>(C23-E23)/E23</f>
        <v>-0.36363636363636365</v>
      </c>
      <c r="G23" s="369">
        <f>SUM([4]Frontier!$DX$19:$DY$19)</f>
        <v>258</v>
      </c>
      <c r="H23" s="369">
        <f>SUM([4]Frontier!$DJ$19:$DK$19)</f>
        <v>368</v>
      </c>
      <c r="I23" s="370">
        <f>(G23-H23)/H23</f>
        <v>-0.29891304347826086</v>
      </c>
      <c r="J23" s="366" t="s">
        <v>51</v>
      </c>
      <c r="K23" s="382"/>
      <c r="L23" s="367">
        <f>[4]Frontier!$DY$41</f>
        <v>16002</v>
      </c>
      <c r="M23" s="368">
        <f>L23/$L$54</f>
        <v>6.5286598866847899E-3</v>
      </c>
      <c r="N23" s="369">
        <f>[4]Frontier!$DK$41</f>
        <v>25413</v>
      </c>
      <c r="O23" s="370">
        <f>(L23-N23)/N23</f>
        <v>-0.37032227600047218</v>
      </c>
      <c r="P23" s="369">
        <f>SUM([4]Frontier!$DX$41:$DY$41)</f>
        <v>36517</v>
      </c>
      <c r="Q23" s="369">
        <f>SUM([4]Frontier!$DJ$41:$DK$41)</f>
        <v>52331</v>
      </c>
      <c r="R23" s="370">
        <f>(P23-Q23)/Q23</f>
        <v>-0.30219181746956869</v>
      </c>
      <c r="T23" s="341"/>
      <c r="U23"/>
    </row>
    <row r="24" spans="1:21" s="7" customFormat="1" ht="14.1" customHeight="1" x14ac:dyDescent="0.2">
      <c r="A24" s="366"/>
      <c r="B24" s="382"/>
      <c r="C24" s="367"/>
      <c r="D24" s="368"/>
      <c r="E24" s="182"/>
      <c r="F24" s="370"/>
      <c r="G24" s="369"/>
      <c r="H24" s="369"/>
      <c r="I24" s="370"/>
      <c r="J24" s="366"/>
      <c r="K24" s="382"/>
      <c r="L24" s="371"/>
      <c r="M24" s="41"/>
      <c r="N24" s="9"/>
      <c r="O24" s="89"/>
      <c r="P24" s="9"/>
      <c r="Q24" s="9"/>
      <c r="R24" s="89"/>
      <c r="T24" s="341"/>
    </row>
    <row r="25" spans="1:21" s="7" customFormat="1" ht="14.1" customHeight="1" x14ac:dyDescent="0.2">
      <c r="A25" s="366" t="s">
        <v>179</v>
      </c>
      <c r="B25" s="382"/>
      <c r="C25" s="367">
        <f>'[4]Great Lakes'!$DY$19</f>
        <v>154</v>
      </c>
      <c r="D25" s="368">
        <f>C25/$C$54</f>
        <v>5.7870805306076438E-3</v>
      </c>
      <c r="E25" s="369">
        <f>'[4]Great Lakes'!$DK$19</f>
        <v>98</v>
      </c>
      <c r="F25" s="370">
        <f>(C25-E25)/E25</f>
        <v>0.5714285714285714</v>
      </c>
      <c r="G25" s="369">
        <f>SUM('[4]Great Lakes'!$DX$19:$DY$19)</f>
        <v>366</v>
      </c>
      <c r="H25" s="369">
        <f>SUM('[4]Great Lakes'!$DJ$19:$DK$19)</f>
        <v>608</v>
      </c>
      <c r="I25" s="370">
        <f>(G25-H25)/H25</f>
        <v>-0.39802631578947367</v>
      </c>
      <c r="J25" s="366" t="s">
        <v>179</v>
      </c>
      <c r="K25" s="382"/>
      <c r="L25" s="367">
        <f>'[4]Great Lakes'!$DY$41</f>
        <v>603</v>
      </c>
      <c r="M25" s="368">
        <f>L25/$L$54</f>
        <v>2.4601811721478115E-4</v>
      </c>
      <c r="N25" s="369">
        <f>'[4]Great Lakes'!$DK$41</f>
        <v>830</v>
      </c>
      <c r="O25" s="370">
        <f>(L25-N25)/N25</f>
        <v>-0.27349397590361446</v>
      </c>
      <c r="P25" s="369">
        <f>SUM('[4]Great Lakes'!$DX$41:$DY$41)</f>
        <v>1368</v>
      </c>
      <c r="Q25" s="369">
        <f>SUM('[4]Great Lakes'!$DJ$41:$DK$41)</f>
        <v>3596</v>
      </c>
      <c r="R25" s="370">
        <f>(P25-Q25)/Q25</f>
        <v>-0.61957730812013345</v>
      </c>
      <c r="T25" s="341"/>
    </row>
    <row r="26" spans="1:21" s="7" customFormat="1" ht="14.1" customHeight="1" x14ac:dyDescent="0.2">
      <c r="A26" s="366"/>
      <c r="B26" s="382"/>
      <c r="C26" s="367"/>
      <c r="D26" s="368"/>
      <c r="E26" s="182"/>
      <c r="F26" s="370"/>
      <c r="G26" s="369"/>
      <c r="H26" s="369"/>
      <c r="I26" s="370"/>
      <c r="J26" s="366"/>
      <c r="K26" s="382"/>
      <c r="L26" s="371"/>
      <c r="M26" s="41"/>
      <c r="N26" s="9"/>
      <c r="O26" s="89"/>
      <c r="P26" s="9"/>
      <c r="Q26" s="9"/>
      <c r="R26" s="89"/>
      <c r="T26" s="341"/>
    </row>
    <row r="27" spans="1:21" s="7" customFormat="1" ht="14.1" customHeight="1" x14ac:dyDescent="0.2">
      <c r="A27" s="366" t="s">
        <v>52</v>
      </c>
      <c r="B27" s="382"/>
      <c r="C27" s="367">
        <f>[4]Icelandair!$DY$19</f>
        <v>0</v>
      </c>
      <c r="D27" s="368">
        <f>C27/$C$54</f>
        <v>0</v>
      </c>
      <c r="E27" s="369">
        <f>[4]Icelandair!$DK$19</f>
        <v>0</v>
      </c>
      <c r="F27" s="370" t="e">
        <f>(C27-E27)/E27</f>
        <v>#DIV/0!</v>
      </c>
      <c r="G27" s="369">
        <f>SUM([4]Icelandair!$DX$19:$DY$19)</f>
        <v>0</v>
      </c>
      <c r="H27" s="369">
        <f>SUM([4]Icelandair!$DJ$19:$DK$19)</f>
        <v>0</v>
      </c>
      <c r="I27" s="370" t="e">
        <f>(G27-H27)/H27</f>
        <v>#DIV/0!</v>
      </c>
      <c r="J27" s="366" t="s">
        <v>52</v>
      </c>
      <c r="K27" s="382"/>
      <c r="L27" s="367">
        <f>[4]Icelandair!$DY$41</f>
        <v>0</v>
      </c>
      <c r="M27" s="368">
        <f>L27/$L$54</f>
        <v>0</v>
      </c>
      <c r="N27" s="369">
        <f>[4]Icelandair!$DK$41</f>
        <v>0</v>
      </c>
      <c r="O27" s="370" t="e">
        <f>(L27-N27)/N27</f>
        <v>#DIV/0!</v>
      </c>
      <c r="P27" s="369">
        <f>SUM([4]Icelandair!$DX$41:$DY$41)</f>
        <v>0</v>
      </c>
      <c r="Q27" s="369">
        <f>SUM([4]Icelandair!$DJ$41:$DK$41)</f>
        <v>0</v>
      </c>
      <c r="R27" s="370" t="e">
        <f>(P27-Q27)/Q27</f>
        <v>#DIV/0!</v>
      </c>
      <c r="T27" s="21"/>
    </row>
    <row r="28" spans="1:21" s="7" customFormat="1" ht="14.1" customHeight="1" x14ac:dyDescent="0.2">
      <c r="A28" s="366"/>
      <c r="B28" s="382"/>
      <c r="C28" s="367"/>
      <c r="D28" s="368"/>
      <c r="E28" s="182"/>
      <c r="F28" s="370"/>
      <c r="G28" s="369"/>
      <c r="H28" s="369"/>
      <c r="I28" s="370"/>
      <c r="J28" s="366"/>
      <c r="K28" s="382"/>
      <c r="L28" s="371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8" t="s">
        <v>145</v>
      </c>
      <c r="B29" s="58"/>
      <c r="C29" s="367">
        <f>SUM(C30:C31)</f>
        <v>1129</v>
      </c>
      <c r="D29" s="368">
        <f>C29/$C$54</f>
        <v>4.2426064409454733E-2</v>
      </c>
      <c r="E29" s="369">
        <f>SUM(E30:E31)</f>
        <v>1254</v>
      </c>
      <c r="F29" s="370">
        <f>(C29-E29)/E29</f>
        <v>-9.9681020733652315E-2</v>
      </c>
      <c r="G29" s="367">
        <f>SUM(G30:G31)</f>
        <v>2409</v>
      </c>
      <c r="H29" s="369">
        <f>SUM(H30:H31)</f>
        <v>2614</v>
      </c>
      <c r="I29" s="370">
        <f>(G29-H29)/H29</f>
        <v>-7.8423871461361899E-2</v>
      </c>
      <c r="J29" s="366" t="s">
        <v>145</v>
      </c>
      <c r="K29" s="58"/>
      <c r="L29" s="367">
        <f>SUM(L30:L31)</f>
        <v>131205</v>
      </c>
      <c r="M29" s="368">
        <f>L29/$L$54</f>
        <v>5.3530359982032108E-2</v>
      </c>
      <c r="N29" s="369">
        <f>SUM(N30:N31)</f>
        <v>125526</v>
      </c>
      <c r="O29" s="370">
        <f>(L29-N29)/N29</f>
        <v>4.5241623249366668E-2</v>
      </c>
      <c r="P29" s="367">
        <f>SUM(P30:P31)</f>
        <v>271951</v>
      </c>
      <c r="Q29" s="369">
        <f>SUM(Q30:Q31)</f>
        <v>253146</v>
      </c>
      <c r="R29" s="370">
        <f>(P29-Q29)/Q29</f>
        <v>7.428519510480118E-2</v>
      </c>
      <c r="T29" s="21"/>
    </row>
    <row r="30" spans="1:21" ht="14.1" customHeight="1" x14ac:dyDescent="0.2">
      <c r="A30" s="378"/>
      <c r="B30" s="58" t="s">
        <v>145</v>
      </c>
      <c r="C30" s="471">
        <f>[4]Southwest!$DY$19</f>
        <v>1129</v>
      </c>
      <c r="D30" s="472">
        <f>C30/$C$54</f>
        <v>4.2426064409454733E-2</v>
      </c>
      <c r="E30" s="307">
        <f>[4]Southwest!$DK$19</f>
        <v>1054</v>
      </c>
      <c r="F30" s="473">
        <f>(C30-E30)/E30</f>
        <v>7.1157495256166978E-2</v>
      </c>
      <c r="G30" s="307">
        <f>SUM([4]Southwest!$DX$19:$DY$19)</f>
        <v>2409</v>
      </c>
      <c r="H30" s="307">
        <f>SUM([4]Southwest!$DJ$19:$DK$19)</f>
        <v>2190</v>
      </c>
      <c r="I30" s="473">
        <f>(G30-H30)/H30</f>
        <v>0.1</v>
      </c>
      <c r="J30" s="366"/>
      <c r="K30" s="58" t="s">
        <v>145</v>
      </c>
      <c r="L30" s="471">
        <f>[4]Southwest!$DY$41</f>
        <v>131205</v>
      </c>
      <c r="M30" s="472">
        <f>L30/$L$54</f>
        <v>5.3530359982032108E-2</v>
      </c>
      <c r="N30" s="307">
        <f>[4]Southwest!$DK$41</f>
        <v>107121</v>
      </c>
      <c r="O30" s="473">
        <f>(L30-N30)/N30</f>
        <v>0.22482986529251967</v>
      </c>
      <c r="P30" s="307">
        <f>SUM([4]Southwest!$DX$41:$DY$41)</f>
        <v>271951</v>
      </c>
      <c r="Q30" s="307">
        <f>SUM([4]Southwest!$DJ$41:$DK$41)</f>
        <v>213444</v>
      </c>
      <c r="R30" s="473">
        <f>(P30-Q30)/Q30</f>
        <v>0.27410936826521243</v>
      </c>
      <c r="T30" s="21"/>
    </row>
    <row r="31" spans="1:21" ht="14.1" customHeight="1" x14ac:dyDescent="0.2">
      <c r="A31" s="378"/>
      <c r="B31" s="58" t="s">
        <v>195</v>
      </c>
      <c r="C31" s="471">
        <f>[4]AirTran!$DY$19</f>
        <v>0</v>
      </c>
      <c r="D31" s="472">
        <f>C31/$C$54</f>
        <v>0</v>
      </c>
      <c r="E31" s="307">
        <f>[4]AirTran!$DK$19</f>
        <v>200</v>
      </c>
      <c r="F31" s="473">
        <f>(C31-E31)/E31</f>
        <v>-1</v>
      </c>
      <c r="G31" s="307">
        <f>SUM([4]AirTran!$DX$19:$DY$19)</f>
        <v>0</v>
      </c>
      <c r="H31" s="307">
        <f>SUM([4]AirTran!$DJ$19:$DK$19)</f>
        <v>424</v>
      </c>
      <c r="I31" s="473">
        <f>(G31-H31)/H31</f>
        <v>-1</v>
      </c>
      <c r="J31" s="366"/>
      <c r="K31" s="58" t="s">
        <v>195</v>
      </c>
      <c r="L31" s="471">
        <f>[4]AirTran!$DY$41</f>
        <v>0</v>
      </c>
      <c r="M31" s="472">
        <f>L31/$L$54</f>
        <v>0</v>
      </c>
      <c r="N31" s="307">
        <f>[4]AirTran!$DK$41</f>
        <v>18405</v>
      </c>
      <c r="O31" s="473">
        <f>(L31-N31)/N31</f>
        <v>-1</v>
      </c>
      <c r="P31" s="307">
        <f>SUM([4]AirTran!$DX$41:$DY$41)</f>
        <v>0</v>
      </c>
      <c r="Q31" s="307">
        <f>SUM([4]AirTran!$DJ$41:$DK$41)</f>
        <v>39702</v>
      </c>
      <c r="R31" s="473">
        <f>(P31-Q31)/Q31</f>
        <v>-1</v>
      </c>
      <c r="T31" s="21"/>
    </row>
    <row r="32" spans="1:21" ht="14.1" customHeight="1" x14ac:dyDescent="0.2">
      <c r="A32" s="366"/>
      <c r="B32" s="58"/>
      <c r="C32" s="367"/>
      <c r="D32" s="368"/>
      <c r="E32" s="182"/>
      <c r="F32" s="370"/>
      <c r="G32" s="369"/>
      <c r="H32" s="369"/>
      <c r="I32" s="370"/>
      <c r="J32" s="366"/>
      <c r="K32" s="58"/>
      <c r="L32" s="371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6" t="s">
        <v>181</v>
      </c>
      <c r="B33" s="58"/>
      <c r="C33" s="367">
        <f>[4]Spirit!$DY$19</f>
        <v>607</v>
      </c>
      <c r="D33" s="368">
        <f>C33/$C$54</f>
        <v>2.2810116117395061E-2</v>
      </c>
      <c r="E33" s="369">
        <f>[4]Spirit!$DK$19</f>
        <v>616</v>
      </c>
      <c r="F33" s="370">
        <f>(C33-E33)/E33</f>
        <v>-1.461038961038961E-2</v>
      </c>
      <c r="G33" s="369">
        <f>SUM([4]Spirit!$DX$19:$DY$19)</f>
        <v>1287</v>
      </c>
      <c r="H33" s="369">
        <f>SUM([4]Spirit!$DJ$19:$DK$19)</f>
        <v>1297</v>
      </c>
      <c r="I33" s="370">
        <f>(G33-H33)/H33</f>
        <v>-7.7101002313030072E-3</v>
      </c>
      <c r="J33" s="366" t="s">
        <v>181</v>
      </c>
      <c r="K33" s="58"/>
      <c r="L33" s="367">
        <f>[4]Spirit!$DY$41</f>
        <v>88542</v>
      </c>
      <c r="M33" s="368">
        <f>L33/$L$54</f>
        <v>3.612427219640324E-2</v>
      </c>
      <c r="N33" s="369">
        <f>[4]Spirit!$DK$41</f>
        <v>83136</v>
      </c>
      <c r="O33" s="370">
        <f>(L33-N33)/N33</f>
        <v>6.5025981524249418E-2</v>
      </c>
      <c r="P33" s="369">
        <f>SUM([4]Spirit!$DX$41:$DY$41)</f>
        <v>181759</v>
      </c>
      <c r="Q33" s="369">
        <f>SUM([4]Spirit!$DJ$41:$DK$41)</f>
        <v>170336</v>
      </c>
      <c r="R33" s="370">
        <f>(P33-Q33)/Q33</f>
        <v>6.7061572421566781E-2</v>
      </c>
      <c r="T33" s="21"/>
      <c r="U33" s="7"/>
    </row>
    <row r="34" spans="1:21" ht="14.1" customHeight="1" x14ac:dyDescent="0.2">
      <c r="A34" s="366"/>
      <c r="B34" s="58"/>
      <c r="C34" s="367"/>
      <c r="D34" s="368"/>
      <c r="E34" s="182"/>
      <c r="F34" s="370"/>
      <c r="G34" s="369"/>
      <c r="H34" s="369"/>
      <c r="I34" s="370"/>
      <c r="J34" s="366"/>
      <c r="K34" s="58"/>
      <c r="L34" s="371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6" t="s">
        <v>53</v>
      </c>
      <c r="B35" s="382"/>
      <c r="C35" s="367">
        <f>'[4]Sun Country'!$DY$19</f>
        <v>1622</v>
      </c>
      <c r="D35" s="368">
        <f>C35/$C$54</f>
        <v>6.0952237796399987E-2</v>
      </c>
      <c r="E35" s="369">
        <f>'[4]Sun Country'!$DK$19</f>
        <v>1531</v>
      </c>
      <c r="F35" s="370">
        <f>(C35-E35)/E35</f>
        <v>5.9438275636838671E-2</v>
      </c>
      <c r="G35" s="369">
        <f>SUM('[4]Sun Country'!$DX$19:$DY$19)</f>
        <v>3206</v>
      </c>
      <c r="H35" s="369">
        <f>SUM('[4]Sun Country'!$DJ$19:$DK$19)</f>
        <v>3080</v>
      </c>
      <c r="I35" s="370">
        <f>(G35-H35)/H35</f>
        <v>4.0909090909090909E-2</v>
      </c>
      <c r="J35" s="366" t="s">
        <v>53</v>
      </c>
      <c r="K35" s="382"/>
      <c r="L35" s="367">
        <f>'[4]Sun Country'!$DY$41</f>
        <v>191005</v>
      </c>
      <c r="M35" s="368">
        <f>L35/$L$54</f>
        <v>7.7928176581441591E-2</v>
      </c>
      <c r="N35" s="369">
        <f>'[4]Sun Country'!$DK$41</f>
        <v>158049</v>
      </c>
      <c r="O35" s="370">
        <f>(L35-N35)/N35</f>
        <v>0.20851761162677399</v>
      </c>
      <c r="P35" s="369">
        <f>SUM('[4]Sun Country'!$DX$41:$DY$41)</f>
        <v>357226</v>
      </c>
      <c r="Q35" s="369">
        <f>SUM('[4]Sun Country'!$DJ$41:$DK$41)</f>
        <v>303689</v>
      </c>
      <c r="R35" s="370">
        <f>(P35-Q35)/Q35</f>
        <v>0.17628890081629561</v>
      </c>
      <c r="T35" s="21"/>
    </row>
    <row r="36" spans="1:21" s="7" customFormat="1" ht="14.1" customHeight="1" x14ac:dyDescent="0.2">
      <c r="A36" s="366"/>
      <c r="B36" s="382"/>
      <c r="C36" s="367"/>
      <c r="D36" s="368"/>
      <c r="E36" s="182"/>
      <c r="F36" s="370"/>
      <c r="G36" s="369"/>
      <c r="H36" s="369"/>
      <c r="I36" s="370"/>
      <c r="J36" s="366"/>
      <c r="K36" s="382"/>
      <c r="L36" s="371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6" t="s">
        <v>21</v>
      </c>
      <c r="B37" s="374"/>
      <c r="C37" s="367">
        <f>SUM(C38:C44)</f>
        <v>1340</v>
      </c>
      <c r="D37" s="368">
        <f>C37/$C$54</f>
        <v>5.0355116305287287E-2</v>
      </c>
      <c r="E37" s="182">
        <f>SUM(E38:E44)</f>
        <v>1384</v>
      </c>
      <c r="F37" s="370">
        <f t="shared" ref="F37:F44" si="6">(C37-E37)/E37</f>
        <v>-3.1791907514450865E-2</v>
      </c>
      <c r="G37" s="369">
        <f>SUM(G38:G44)</f>
        <v>2740</v>
      </c>
      <c r="H37" s="369">
        <f>SUM(H38:H44)</f>
        <v>2756</v>
      </c>
      <c r="I37" s="370">
        <f t="shared" ref="I37:I44" si="7">(G37-H37)/H37</f>
        <v>-5.8055152394775036E-3</v>
      </c>
      <c r="J37" s="366" t="s">
        <v>21</v>
      </c>
      <c r="K37" s="374"/>
      <c r="L37" s="367">
        <f>SUM(L38:L44)</f>
        <v>94261</v>
      </c>
      <c r="M37" s="368">
        <f>L37/$L$54</f>
        <v>3.8457568402624355E-2</v>
      </c>
      <c r="N37" s="369">
        <f>SUM(N38:N44)</f>
        <v>89884</v>
      </c>
      <c r="O37" s="370">
        <f t="shared" ref="O37:O44" si="8">(L37-N37)/N37</f>
        <v>4.8696097191936273E-2</v>
      </c>
      <c r="P37" s="369">
        <f>SUM(P38:P44)</f>
        <v>191398</v>
      </c>
      <c r="Q37" s="369">
        <f>SUM(Q38:Q44)</f>
        <v>158146</v>
      </c>
      <c r="R37" s="370">
        <f t="shared" ref="R37:R44" si="9">(P37-Q37)/Q37</f>
        <v>0.21026140401907098</v>
      </c>
      <c r="T37" s="21"/>
      <c r="U37"/>
    </row>
    <row r="38" spans="1:21" s="7" customFormat="1" ht="14.1" customHeight="1" x14ac:dyDescent="0.2">
      <c r="A38" s="383"/>
      <c r="B38" s="375" t="s">
        <v>183</v>
      </c>
      <c r="C38" s="371">
        <f>[4]United!$DY$19</f>
        <v>320</v>
      </c>
      <c r="D38" s="41">
        <f>C38/$C$54</f>
        <v>1.2025102401262635E-2</v>
      </c>
      <c r="E38" s="9">
        <f>[4]United!$DK$19+[4]Continental!$DK$19</f>
        <v>334</v>
      </c>
      <c r="F38" s="89">
        <f t="shared" si="6"/>
        <v>-4.1916167664670656E-2</v>
      </c>
      <c r="G38" s="9">
        <f>SUM([4]United!$DX$19:$DY$19)</f>
        <v>640</v>
      </c>
      <c r="H38" s="9">
        <f>SUM([4]United!$DJ$19:$DK$19)+SUM([4]Continental!$DJ$19:$DK$19)</f>
        <v>676</v>
      </c>
      <c r="I38" s="89">
        <f t="shared" si="7"/>
        <v>-5.3254437869822487E-2</v>
      </c>
      <c r="J38" s="383"/>
      <c r="K38" s="375" t="s">
        <v>183</v>
      </c>
      <c r="L38" s="371">
        <f>[4]United!$DY$41</f>
        <v>37923</v>
      </c>
      <c r="M38" s="41">
        <f>L38/$L$54</f>
        <v>1.5472214028418153E-2</v>
      </c>
      <c r="N38" s="9">
        <f>[4]United!$DK$41+[4]Continental!$DK$41</f>
        <v>36309</v>
      </c>
      <c r="O38" s="89">
        <f t="shared" si="8"/>
        <v>4.4451788812691066E-2</v>
      </c>
      <c r="P38" s="9">
        <f>SUM([4]United!$DX$41:$DY$41)</f>
        <v>74332</v>
      </c>
      <c r="Q38" s="9">
        <f>SUM([4]United!$DJ$41:$DK$41)+SUM([4]Continental!$DJ$41:$DK$41)</f>
        <v>67474</v>
      </c>
      <c r="R38" s="89">
        <f t="shared" si="9"/>
        <v>0.10163914989477428</v>
      </c>
      <c r="T38" s="21"/>
    </row>
    <row r="39" spans="1:21" s="7" customFormat="1" ht="14.1" customHeight="1" x14ac:dyDescent="0.2">
      <c r="A39" s="383"/>
      <c r="B39" s="375" t="s">
        <v>182</v>
      </c>
      <c r="C39" s="371">
        <f>[4]Chautaqua_Continental!$DY$19</f>
        <v>0</v>
      </c>
      <c r="D39" s="41">
        <f>C39/$C$54</f>
        <v>0</v>
      </c>
      <c r="E39" s="9">
        <f>[4]Chautaqua_Continental!$DK$19</f>
        <v>20</v>
      </c>
      <c r="F39" s="89">
        <f t="shared" si="6"/>
        <v>-1</v>
      </c>
      <c r="G39" s="9">
        <f>SUM([4]Chautaqua_Continental!$DX$19:$DY$19)</f>
        <v>0</v>
      </c>
      <c r="H39" s="9">
        <f>SUM([4]Chautaqua_Continental!$DJ$19:$DK$19)</f>
        <v>56</v>
      </c>
      <c r="I39" s="89">
        <f t="shared" si="7"/>
        <v>-1</v>
      </c>
      <c r="J39" s="55"/>
      <c r="K39" s="376" t="s">
        <v>131</v>
      </c>
      <c r="L39" s="371">
        <f>[4]Chautaqua_Continental!$DY$41</f>
        <v>0</v>
      </c>
      <c r="M39" s="41">
        <f>L39/$L$54</f>
        <v>0</v>
      </c>
      <c r="N39" s="9">
        <f>[4]Chautaqua_Continental!$DK$41</f>
        <v>864</v>
      </c>
      <c r="O39" s="89">
        <f t="shared" si="8"/>
        <v>-1</v>
      </c>
      <c r="P39" s="9">
        <f>SUM([4]Chautaqua_Continental!$DX$41:$DY$41)</f>
        <v>0</v>
      </c>
      <c r="Q39" s="9">
        <f>SUM([4]Chautaqua_Continental!$DJ$41:$DK$41)</f>
        <v>2121</v>
      </c>
      <c r="R39" s="89">
        <f t="shared" si="9"/>
        <v>-1</v>
      </c>
      <c r="T39" s="21"/>
    </row>
    <row r="40" spans="1:21" s="7" customFormat="1" ht="14.1" customHeight="1" x14ac:dyDescent="0.2">
      <c r="A40" s="383"/>
      <c r="B40" s="375" t="s">
        <v>199</v>
      </c>
      <c r="C40" s="371">
        <f>'[4]Continental Express'!$DY$19</f>
        <v>268</v>
      </c>
      <c r="D40" s="41">
        <f>C40/$C$53</f>
        <v>2.1344377190187957E-2</v>
      </c>
      <c r="E40" s="9">
        <f>'[4]Continental Express'!$DK$19</f>
        <v>384</v>
      </c>
      <c r="F40" s="89">
        <f t="shared" si="6"/>
        <v>-0.30208333333333331</v>
      </c>
      <c r="G40" s="9">
        <f>SUM('[4]Continental Express'!$DX$19:$DY$19)</f>
        <v>538</v>
      </c>
      <c r="H40" s="9">
        <f>SUM('[4]Continental Express'!$DJ$19:$DK$19)</f>
        <v>806</v>
      </c>
      <c r="I40" s="89">
        <f t="shared" si="7"/>
        <v>-0.33250620347394538</v>
      </c>
      <c r="J40" s="55"/>
      <c r="K40" s="375" t="s">
        <v>199</v>
      </c>
      <c r="L40" s="371">
        <f>'[4]Continental Express'!$DY$41</f>
        <v>10424</v>
      </c>
      <c r="M40" s="41">
        <f>L40/$L$53</f>
        <v>1.6496698761165024E-2</v>
      </c>
      <c r="N40" s="9">
        <f>'[4]Continental Express'!$DK$41</f>
        <v>14450</v>
      </c>
      <c r="O40" s="89">
        <f t="shared" si="8"/>
        <v>-0.27861591695501731</v>
      </c>
      <c r="P40" s="9">
        <f>SUM('[4]Continental Express'!$DX$41:$DY$41)</f>
        <v>20924</v>
      </c>
      <c r="Q40" s="9">
        <f>SUM('[4]Continental Express'!$BT$41)</f>
        <v>19813</v>
      </c>
      <c r="R40" s="89">
        <f t="shared" si="9"/>
        <v>5.6074294655024476E-2</v>
      </c>
      <c r="T40" s="21"/>
    </row>
    <row r="41" spans="1:21" s="7" customFormat="1" ht="14.1" customHeight="1" x14ac:dyDescent="0.2">
      <c r="A41" s="383"/>
      <c r="B41" s="375" t="s">
        <v>180</v>
      </c>
      <c r="C41" s="371">
        <f>'[4]Go Jet_UA'!$DY$19</f>
        <v>62</v>
      </c>
      <c r="D41" s="41">
        <f>C41/$C$54</f>
        <v>2.3298635902446359E-3</v>
      </c>
      <c r="E41" s="9">
        <f>'[4]Go Jet_UA'!$DK$19</f>
        <v>214</v>
      </c>
      <c r="F41" s="89">
        <f t="shared" si="6"/>
        <v>-0.71028037383177567</v>
      </c>
      <c r="G41" s="9">
        <f>SUM('[4]Go Jet_UA'!$DX$19:$DY$19)</f>
        <v>168</v>
      </c>
      <c r="H41" s="9">
        <f>SUM('[4]Go Jet_UA'!$DJ$19:$DK$19)</f>
        <v>510</v>
      </c>
      <c r="I41" s="89">
        <f t="shared" si="7"/>
        <v>-0.6705882352941176</v>
      </c>
      <c r="J41" s="383"/>
      <c r="K41" s="376" t="s">
        <v>180</v>
      </c>
      <c r="L41" s="371">
        <f>'[4]Go Jet_UA'!$DY$41</f>
        <v>3727</v>
      </c>
      <c r="M41" s="41">
        <f>L41/$L$54</f>
        <v>1.5205796398996506E-3</v>
      </c>
      <c r="N41" s="9">
        <f>'[4]Go Jet_UA'!$DK$41</f>
        <v>12446</v>
      </c>
      <c r="O41" s="89">
        <f t="shared" si="8"/>
        <v>-0.70054636027639405</v>
      </c>
      <c r="P41" s="9">
        <f>SUM('[4]Go Jet_UA'!$DX$41:$DY$41)</f>
        <v>10531</v>
      </c>
      <c r="Q41" s="9">
        <f>SUM('[4]Go Jet_UA'!$DJ$41:$DK$41)</f>
        <v>28524</v>
      </c>
      <c r="R41" s="89">
        <f t="shared" si="9"/>
        <v>-0.63080213153835363</v>
      </c>
      <c r="T41" s="21"/>
    </row>
    <row r="42" spans="1:21" s="7" customFormat="1" ht="14.1" customHeight="1" x14ac:dyDescent="0.2">
      <c r="A42" s="383"/>
      <c r="B42" s="375" t="s">
        <v>57</v>
      </c>
      <c r="C42" s="371">
        <f>[4]MESA_UA!$DY$19</f>
        <v>170</v>
      </c>
      <c r="D42" s="41">
        <f>C42/$C$54</f>
        <v>6.3883356506707753E-3</v>
      </c>
      <c r="E42" s="9">
        <f>[4]MESA_UA!$DK$19</f>
        <v>102</v>
      </c>
      <c r="F42" s="89">
        <f>(C42-E42)/E42</f>
        <v>0.66666666666666663</v>
      </c>
      <c r="G42" s="9">
        <f>SUM([4]MESA_UA!$DX$19:$DY$19)</f>
        <v>320</v>
      </c>
      <c r="H42" s="9">
        <f>SUM([4]MESA_UA!$DJ$19:$DK$19)</f>
        <v>152</v>
      </c>
      <c r="I42" s="89">
        <f>(G42-H42)/H42</f>
        <v>1.1052631578947369</v>
      </c>
      <c r="J42" s="383"/>
      <c r="K42" s="376" t="s">
        <v>57</v>
      </c>
      <c r="L42" s="371">
        <f>[4]MESA_UA!$DY$41</f>
        <v>10596</v>
      </c>
      <c r="M42" s="41">
        <f>L42/$L$54</f>
        <v>4.3230646268786425E-3</v>
      </c>
      <c r="N42" s="9">
        <f>[4]MESA_UA!$DK$41</f>
        <v>6315</v>
      </c>
      <c r="O42" s="89">
        <f>(L42-N42)/N42</f>
        <v>0.67790973871733962</v>
      </c>
      <c r="P42" s="9">
        <f>SUM([4]MESA_UA!$DX$41:$DY$41)</f>
        <v>20056</v>
      </c>
      <c r="Q42" s="9">
        <f>SUM([4]MESA_UA!$DJ$41:$DK$41)</f>
        <v>8956</v>
      </c>
      <c r="R42" s="89">
        <f t="shared" si="9"/>
        <v>1.2393925859758821</v>
      </c>
      <c r="T42" s="21"/>
    </row>
    <row r="43" spans="1:21" s="7" customFormat="1" ht="14.1" customHeight="1" x14ac:dyDescent="0.2">
      <c r="A43" s="383"/>
      <c r="B43" s="375" t="s">
        <v>110</v>
      </c>
      <c r="C43" s="371">
        <f>'[4]Sky West_UA'!$DY$19</f>
        <v>312</v>
      </c>
      <c r="D43" s="41">
        <f>C43/$C$54</f>
        <v>1.172447484123107E-2</v>
      </c>
      <c r="E43" s="9">
        <f>'[4]Sky West_UA'!$DK$19+'[4]Sky West_CO'!$DK$19</f>
        <v>108</v>
      </c>
      <c r="F43" s="89">
        <f t="shared" si="6"/>
        <v>1.8888888888888888</v>
      </c>
      <c r="G43" s="9">
        <f>SUM('[4]Sky West_UA'!$DX$19:$DY$19)</f>
        <v>602</v>
      </c>
      <c r="H43" s="9">
        <f>SUM('[4]Sky West_UA'!$DJ$19:$DK$19)+SUM('[4]Sky West_CO'!$DJ$19:$DK$19)</f>
        <v>168</v>
      </c>
      <c r="I43" s="89">
        <f t="shared" si="7"/>
        <v>2.5833333333333335</v>
      </c>
      <c r="J43" s="383"/>
      <c r="K43" s="375" t="s">
        <v>110</v>
      </c>
      <c r="L43" s="371">
        <f>'[4]Sky West_UA'!$DY$41</f>
        <v>19618</v>
      </c>
      <c r="M43" s="41">
        <f>L43/$L$54</f>
        <v>8.0039526094852018E-3</v>
      </c>
      <c r="N43" s="9">
        <f>'[4]Sky West_UA'!$DK$41+'[4]Sky West_CO'!$DK$41</f>
        <v>6538</v>
      </c>
      <c r="O43" s="89">
        <f t="shared" si="8"/>
        <v>2.0006118078923216</v>
      </c>
      <c r="P43" s="9">
        <f>SUM('[4]Sky West_UA'!$DX$41:$DY$41)</f>
        <v>37967</v>
      </c>
      <c r="Q43" s="9">
        <f>SUM('[4]Sky West_UA'!$DJ$41:$DK$41)+SUM('[4]Sky West_CO'!$DJ$41:$DK$41)</f>
        <v>9508</v>
      </c>
      <c r="R43" s="89">
        <f t="shared" si="9"/>
        <v>2.9931636516617584</v>
      </c>
      <c r="T43" s="21"/>
    </row>
    <row r="44" spans="1:21" s="7" customFormat="1" ht="14.1" customHeight="1" x14ac:dyDescent="0.2">
      <c r="A44" s="383"/>
      <c r="B44" s="377" t="s">
        <v>148</v>
      </c>
      <c r="C44" s="371">
        <f>'[4]Shuttle America'!$DY$19</f>
        <v>208</v>
      </c>
      <c r="D44" s="41">
        <f>C44/$C$54</f>
        <v>7.816316560820713E-3</v>
      </c>
      <c r="E44" s="9">
        <f>'[4]Shuttle America'!$DK$19</f>
        <v>222</v>
      </c>
      <c r="F44" s="89">
        <f t="shared" si="6"/>
        <v>-6.3063063063063057E-2</v>
      </c>
      <c r="G44" s="9">
        <f>SUM('[4]Shuttle America'!$DX$19:$DY$19)</f>
        <v>472</v>
      </c>
      <c r="H44" s="9">
        <f>SUM('[4]Shuttle America'!$DJ$19:$DK$19)</f>
        <v>388</v>
      </c>
      <c r="I44" s="89">
        <f t="shared" si="7"/>
        <v>0.21649484536082475</v>
      </c>
      <c r="J44" s="383"/>
      <c r="K44" s="377" t="s">
        <v>148</v>
      </c>
      <c r="L44" s="371">
        <f>'[4]Shuttle America'!$DY$41</f>
        <v>11973</v>
      </c>
      <c r="M44" s="41">
        <f>L44/$L$54</f>
        <v>4.8848671930556793E-3</v>
      </c>
      <c r="N44" s="9">
        <f>'[4]Shuttle America'!$DK$41</f>
        <v>12962</v>
      </c>
      <c r="O44" s="89">
        <f t="shared" si="8"/>
        <v>-7.6299953710847093E-2</v>
      </c>
      <c r="P44" s="9">
        <f>SUM('[4]Shuttle America'!$DX$41:$DY$41)</f>
        <v>27588</v>
      </c>
      <c r="Q44" s="9">
        <f>SUM('[4]Shuttle America'!$DJ$41:$DK$41)</f>
        <v>21750</v>
      </c>
      <c r="R44" s="89">
        <f t="shared" si="9"/>
        <v>0.26841379310344826</v>
      </c>
      <c r="T44" s="21"/>
    </row>
    <row r="45" spans="1:21" s="7" customFormat="1" ht="14.1" customHeight="1" x14ac:dyDescent="0.2">
      <c r="A45" s="383"/>
      <c r="B45" s="377"/>
      <c r="C45" s="371"/>
      <c r="D45" s="41"/>
      <c r="E45" s="5"/>
      <c r="F45" s="89"/>
      <c r="G45" s="9"/>
      <c r="H45" s="9"/>
      <c r="I45" s="89"/>
      <c r="J45" s="383"/>
      <c r="K45" s="377"/>
      <c r="L45" s="371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8" t="s">
        <v>22</v>
      </c>
      <c r="B46" s="379"/>
      <c r="C46" s="367">
        <f>SUM(C47:C50)</f>
        <v>683</v>
      </c>
      <c r="D46" s="368">
        <f>C46/$C$54</f>
        <v>2.5666077937694938E-2</v>
      </c>
      <c r="E46" s="369">
        <f>SUM(E47:E50)</f>
        <v>757</v>
      </c>
      <c r="F46" s="370">
        <f>(C46-E46)/E46</f>
        <v>-9.7754293262879793E-2</v>
      </c>
      <c r="G46" s="369">
        <f>SUM(G47:G50)</f>
        <v>1470</v>
      </c>
      <c r="H46" s="369">
        <f>SUM(H47:H50)</f>
        <v>1597</v>
      </c>
      <c r="I46" s="370">
        <f>(G46-H46)/H46</f>
        <v>-7.9524107701941141E-2</v>
      </c>
      <c r="J46" s="378" t="s">
        <v>22</v>
      </c>
      <c r="K46" s="379"/>
      <c r="L46" s="367">
        <f>SUM(L47:L50)</f>
        <v>86932</v>
      </c>
      <c r="M46" s="368">
        <f>L46/$L$54</f>
        <v>3.5467407903342213E-2</v>
      </c>
      <c r="N46" s="369">
        <f>SUM(N47:N50)</f>
        <v>90484</v>
      </c>
      <c r="O46" s="370">
        <f>(L46-N46)/N46</f>
        <v>-3.9255558993855265E-2</v>
      </c>
      <c r="P46" s="369">
        <f>SUM(P47:P50)</f>
        <v>182988</v>
      </c>
      <c r="Q46" s="369">
        <f>SUM(Q47:Q50)</f>
        <v>191438</v>
      </c>
      <c r="R46" s="370">
        <f>(P46-Q46)/Q46</f>
        <v>-4.4139617003938612E-2</v>
      </c>
      <c r="T46" s="21"/>
      <c r="U46"/>
    </row>
    <row r="47" spans="1:21" s="7" customFormat="1" ht="14.1" customHeight="1" x14ac:dyDescent="0.2">
      <c r="A47" s="383"/>
      <c r="B47" s="375" t="s">
        <v>22</v>
      </c>
      <c r="C47" s="371">
        <f>'[4]US Airways'!$DY$19</f>
        <v>656</v>
      </c>
      <c r="D47" s="41">
        <f>C47/$C$54</f>
        <v>2.4651459922588402E-2</v>
      </c>
      <c r="E47" s="9">
        <f>'[4]US Airways'!$DK$19</f>
        <v>609</v>
      </c>
      <c r="F47" s="89">
        <f>(C47-E47)/E47</f>
        <v>7.7175697865353041E-2</v>
      </c>
      <c r="G47" s="9">
        <f>SUM('[4]US Airways'!$DX$19:$DY$19)</f>
        <v>1381</v>
      </c>
      <c r="H47" s="9">
        <f>SUM('[4]US Airways'!$DJ$19:$DK$19)</f>
        <v>1265</v>
      </c>
      <c r="I47" s="89">
        <f>(G47-H47)/H47</f>
        <v>9.1699604743083002E-2</v>
      </c>
      <c r="J47" s="383"/>
      <c r="K47" s="375" t="s">
        <v>22</v>
      </c>
      <c r="L47" s="371">
        <f>'[4]US Airways'!$DY$41</f>
        <v>85143</v>
      </c>
      <c r="M47" s="41">
        <f>L47/$L$54</f>
        <v>3.4737513356580617E-2</v>
      </c>
      <c r="N47" s="9">
        <f>'[4]US Airways'!$DK$41</f>
        <v>82819</v>
      </c>
      <c r="O47" s="89">
        <f>(L47-N47)/N47</f>
        <v>2.8061193687438871E-2</v>
      </c>
      <c r="P47" s="9">
        <f>SUM('[4]US Airways'!$DX$41:$DY$41)</f>
        <v>177419</v>
      </c>
      <c r="Q47" s="9">
        <f>SUM('[4]US Airways'!$DJ$41:$DK$41)</f>
        <v>172713</v>
      </c>
      <c r="R47" s="89">
        <f>(P47-Q47)/Q47</f>
        <v>2.7247514663053737E-2</v>
      </c>
      <c r="T47" s="342"/>
    </row>
    <row r="48" spans="1:21" s="7" customFormat="1" ht="14.1" customHeight="1" x14ac:dyDescent="0.2">
      <c r="A48" s="383"/>
      <c r="B48" s="377" t="s">
        <v>58</v>
      </c>
      <c r="C48" s="371">
        <f>[4]Republic!$DY$19</f>
        <v>25</v>
      </c>
      <c r="D48" s="41">
        <f>C48/$C$54</f>
        <v>9.3946112509864341E-4</v>
      </c>
      <c r="E48" s="9">
        <f>[4]Republic!$DK$19</f>
        <v>147</v>
      </c>
      <c r="F48" s="89">
        <f>(C48-E48)/E48</f>
        <v>-0.82993197278911568</v>
      </c>
      <c r="G48" s="9">
        <f>SUM([4]Republic!$DX$19:$DY$19)</f>
        <v>77</v>
      </c>
      <c r="H48" s="9">
        <f>SUM([4]Republic!$DJ$19:$DK$19)</f>
        <v>328</v>
      </c>
      <c r="I48" s="89">
        <f>(G48-H48)/H48</f>
        <v>-0.7652439024390244</v>
      </c>
      <c r="J48" s="383"/>
      <c r="K48" s="377" t="s">
        <v>58</v>
      </c>
      <c r="L48" s="371">
        <f>[4]Republic!$DY$41</f>
        <v>1680</v>
      </c>
      <c r="M48" s="41">
        <f>L48/$L$54</f>
        <v>6.8542361015063412E-4</v>
      </c>
      <c r="N48" s="9">
        <f>[4]Republic!$DK$41</f>
        <v>7665</v>
      </c>
      <c r="O48" s="89">
        <f>(L48-N48)/N48</f>
        <v>-0.78082191780821919</v>
      </c>
      <c r="P48" s="9">
        <f>SUM([4]Republic!$DX$41:$DY$41)</f>
        <v>4872</v>
      </c>
      <c r="Q48" s="9">
        <f>SUM([4]Republic!$DJ$41:$DK$41)</f>
        <v>18480</v>
      </c>
      <c r="R48" s="89">
        <f>(P48-Q48)/Q48</f>
        <v>-0.73636363636363633</v>
      </c>
      <c r="T48" s="339"/>
    </row>
    <row r="49" spans="1:21" s="7" customFormat="1" ht="14.1" customHeight="1" x14ac:dyDescent="0.2">
      <c r="A49" s="383"/>
      <c r="B49" s="376" t="s">
        <v>109</v>
      </c>
      <c r="C49" s="371">
        <f>[4]MESA!$DY$19</f>
        <v>2</v>
      </c>
      <c r="D49" s="41">
        <f>C49/$C$54</f>
        <v>7.5156890007891479E-5</v>
      </c>
      <c r="E49" s="9">
        <f>[4]MESA!$DK$19</f>
        <v>0</v>
      </c>
      <c r="F49" s="89" t="e">
        <f>(C49-E49)/E49</f>
        <v>#DIV/0!</v>
      </c>
      <c r="G49" s="9">
        <f>SUM([4]MESA!$DX$19:$DY$19)</f>
        <v>12</v>
      </c>
      <c r="H49" s="9">
        <f>SUM([4]MESA!$DJ$19:$DK$19)</f>
        <v>0</v>
      </c>
      <c r="I49" s="89" t="e">
        <f>(G49-H49)/H49</f>
        <v>#DIV/0!</v>
      </c>
      <c r="J49" s="383"/>
      <c r="K49" s="376" t="s">
        <v>109</v>
      </c>
      <c r="L49" s="371">
        <f>[4]MESA!$DY$41</f>
        <v>109</v>
      </c>
      <c r="M49" s="41">
        <f>L49/$L$54</f>
        <v>4.447093661096376E-5</v>
      </c>
      <c r="N49" s="9">
        <f>[4]MESA!$DK$41</f>
        <v>0</v>
      </c>
      <c r="O49" s="89" t="e">
        <f>(L49-N49)/N49</f>
        <v>#DIV/0!</v>
      </c>
      <c r="P49" s="9">
        <f>SUM([4]MESA!$DX$41:$DY$41)</f>
        <v>697</v>
      </c>
      <c r="Q49" s="9">
        <f>SUM([4]MESA!$DJ$41:$DK$41)</f>
        <v>0</v>
      </c>
      <c r="R49" s="89" t="e">
        <f>(P49-Q49)/Q49</f>
        <v>#DIV/0!</v>
      </c>
      <c r="T49" s="339"/>
      <c r="U49"/>
    </row>
    <row r="50" spans="1:21" ht="14.1" customHeight="1" thickBot="1" x14ac:dyDescent="0.25">
      <c r="A50" s="384"/>
      <c r="B50" s="385" t="s">
        <v>54</v>
      </c>
      <c r="C50" s="386">
        <f>'[4]Air Wisconsin'!$DY$19</f>
        <v>0</v>
      </c>
      <c r="D50" s="387">
        <f>C50/$C$54</f>
        <v>0</v>
      </c>
      <c r="E50" s="388">
        <f>'[4]Air Wisconsin'!$DK$19</f>
        <v>1</v>
      </c>
      <c r="F50" s="389">
        <f>(C50-E50)/E50</f>
        <v>-1</v>
      </c>
      <c r="G50" s="390">
        <f>SUM('[4]Air Wisconsin'!$DX$19:$DY$19)</f>
        <v>0</v>
      </c>
      <c r="H50" s="390">
        <f>SUM('[4]Air Wisconsin'!$DJ$19:$DK$19)</f>
        <v>4</v>
      </c>
      <c r="I50" s="414">
        <f>(G50-H50)/H50</f>
        <v>-1</v>
      </c>
      <c r="J50" s="384"/>
      <c r="K50" s="385" t="s">
        <v>54</v>
      </c>
      <c r="L50" s="386">
        <f>'[4]Air Wisconsin'!$DY$41</f>
        <v>0</v>
      </c>
      <c r="M50" s="387">
        <f>L50/$L$54</f>
        <v>0</v>
      </c>
      <c r="N50" s="390">
        <f>'[4]Air Wisconsin'!$DK$41</f>
        <v>0</v>
      </c>
      <c r="O50" s="389" t="e">
        <f>(L50-N50)/N50</f>
        <v>#DIV/0!</v>
      </c>
      <c r="P50" s="390">
        <f>SUM('[4]Air Wisconsin'!$DX$41:$DY$41)</f>
        <v>0</v>
      </c>
      <c r="Q50" s="390">
        <f>SUM('[4]Air Wisconsin'!$DJ$41:$DK$41)</f>
        <v>245</v>
      </c>
      <c r="R50" s="389">
        <f>(P50-Q50)/Q50</f>
        <v>-1</v>
      </c>
      <c r="T50" s="21"/>
      <c r="U50" s="230"/>
    </row>
    <row r="51" spans="1:21" s="233" customFormat="1" ht="14.1" customHeight="1" x14ac:dyDescent="0.2">
      <c r="B51" s="268"/>
      <c r="C51" s="391"/>
      <c r="D51" s="368"/>
      <c r="E51" s="369"/>
      <c r="F51" s="368"/>
      <c r="G51" s="392"/>
      <c r="H51" s="369"/>
      <c r="I51" s="393"/>
      <c r="J51" s="394"/>
      <c r="K51" s="268"/>
      <c r="L51" s="395"/>
      <c r="M51" s="394"/>
      <c r="N51" s="396"/>
      <c r="O51" s="394"/>
      <c r="P51" s="234"/>
      <c r="Q51" s="234"/>
      <c r="R51" s="234"/>
      <c r="T51" s="232"/>
      <c r="U51"/>
    </row>
    <row r="52" spans="1:21" ht="14.1" customHeight="1" x14ac:dyDescent="0.2">
      <c r="B52" s="397" t="s">
        <v>150</v>
      </c>
      <c r="C52" s="398">
        <f>+C54-C53</f>
        <v>14055</v>
      </c>
      <c r="D52" s="468">
        <f>C52/$C$54</f>
        <v>0.52816504453045732</v>
      </c>
      <c r="E52" s="398">
        <f>+E54-E53</f>
        <v>13399</v>
      </c>
      <c r="F52" s="400">
        <f>(C52-E52)/E52</f>
        <v>4.8958877528173746E-2</v>
      </c>
      <c r="G52" s="398">
        <f>+G54-G53</f>
        <v>28983</v>
      </c>
      <c r="H52" s="398">
        <f>+H54-H53</f>
        <v>28360</v>
      </c>
      <c r="I52" s="401">
        <f>(G52-H52)/H52</f>
        <v>2.1967559943582512E-2</v>
      </c>
      <c r="K52" s="397" t="s">
        <v>150</v>
      </c>
      <c r="L52" s="398">
        <f>+L54-L53</f>
        <v>1819155</v>
      </c>
      <c r="M52" s="399">
        <f>+L52/L54</f>
        <v>0.7421974925735576</v>
      </c>
      <c r="N52" s="398">
        <f>+N54-N53</f>
        <v>1706760</v>
      </c>
      <c r="O52" s="400">
        <f>(L52-N52)/N52</f>
        <v>6.585284398509457E-2</v>
      </c>
      <c r="P52" s="398">
        <f>+P54-P53</f>
        <v>3650886</v>
      </c>
      <c r="Q52" s="398">
        <f>+Q54-Q53</f>
        <v>3471809</v>
      </c>
      <c r="R52" s="401">
        <f>(P52-Q52)/Q52</f>
        <v>5.1580314470064455E-2</v>
      </c>
    </row>
    <row r="53" spans="1:21" ht="14.1" customHeight="1" x14ac:dyDescent="0.2">
      <c r="B53" s="340" t="s">
        <v>151</v>
      </c>
      <c r="C53" s="402">
        <f>+C50+C49+C48+C44+C21+C19+C17+C16+C4+C20+C12+C43+C41+C18+C40+C39+C42</f>
        <v>12556</v>
      </c>
      <c r="D53" s="469">
        <f>C53/$C$54</f>
        <v>0.47183495546954268</v>
      </c>
      <c r="E53" s="402">
        <f>+E50+E49+E48+E44+E21+E19+E17+E16+E4+E20+E12+E43+E41+E18+E40+E39+E42</f>
        <v>13816</v>
      </c>
      <c r="F53" s="404">
        <f>(C53-E53)/E53</f>
        <v>-9.1198610306890568E-2</v>
      </c>
      <c r="G53" s="402">
        <f>+G50+G49+G48+G44+G21+G19+G17+G16+G4+G20+G12+G43+G41+G18+G40+G39+G42</f>
        <v>26565</v>
      </c>
      <c r="H53" s="402">
        <f>+H50+H49+H48+H44+H21+H19+H17+H16+H4+H20+H12+H43+H41+H18+H40+H39+H42</f>
        <v>29211</v>
      </c>
      <c r="I53" s="405">
        <f>(G53-H53)/H53</f>
        <v>-9.0582314881380299E-2</v>
      </c>
      <c r="K53" s="340" t="s">
        <v>151</v>
      </c>
      <c r="L53" s="402">
        <f>+L50+L49+L48+L44+L21+L19+L17+L16+L4+L20+L12+L43+L41+L18+L40+L39+L42</f>
        <v>631884</v>
      </c>
      <c r="M53" s="403">
        <f>+L53/L54</f>
        <v>0.2578025074264424</v>
      </c>
      <c r="N53" s="402">
        <f>+N50+N49+N48+N44+N21+N19+N17+N16+N4+N20+N12+N43+N41+N18+N40+N39+N42</f>
        <v>667381</v>
      </c>
      <c r="O53" s="404">
        <f>(L53-N53)/N53</f>
        <v>-5.3188508513128181E-2</v>
      </c>
      <c r="P53" s="402">
        <f>+P50+P49+P48+P44+P21+P19+P17+P16+P4+P20+P12+P43+P41+P18+P40+P39+P42</f>
        <v>1305847</v>
      </c>
      <c r="Q53" s="402">
        <f>+Q50+Q49+Q48+Q44+Q21+Q19+Q17+Q16+Q4+Q20+Q12+Q43+Q41+Q18+Q40+Q39+Q42</f>
        <v>1362871</v>
      </c>
      <c r="R53" s="405">
        <f>(P53-Q53)/Q53</f>
        <v>-4.1841084005749624E-2</v>
      </c>
    </row>
    <row r="54" spans="1:21" ht="14.1" customHeight="1" x14ac:dyDescent="0.2">
      <c r="B54" s="340" t="s">
        <v>152</v>
      </c>
      <c r="C54" s="406">
        <f>+C46+C37+C35+C29+C27+C23+C14+C10+C8+C4+C25+C33</f>
        <v>26611</v>
      </c>
      <c r="D54" s="470">
        <f>+C54/C54</f>
        <v>1</v>
      </c>
      <c r="E54" s="406">
        <f>+E46+E37+E35+E29+E27+E23+E14+E10+E8+E4+E25+E33</f>
        <v>27215</v>
      </c>
      <c r="F54" s="408">
        <f>(C54-E54)/E54</f>
        <v>-2.2193643211464265E-2</v>
      </c>
      <c r="G54" s="406">
        <f>+G46+G37+G35+G29+G27+G23+G14+G10+G8+G4+G25+G33</f>
        <v>55548</v>
      </c>
      <c r="H54" s="406">
        <f>+H46+H37+H35+H29+H27+H23+H14+H10+H8+H4+H25+H33</f>
        <v>57571</v>
      </c>
      <c r="I54" s="409">
        <f>(G54-H54)/H54</f>
        <v>-3.5139219398655573E-2</v>
      </c>
      <c r="K54" s="340" t="s">
        <v>152</v>
      </c>
      <c r="L54" s="406">
        <f>+L46+L37+L35+L29+L27+L23+L14+L10+L8+L4+L25+L33</f>
        <v>2451039</v>
      </c>
      <c r="M54" s="407">
        <f>+L54/L54</f>
        <v>1</v>
      </c>
      <c r="N54" s="406">
        <f>+N46+N37+N35+N29+N27+N23+N14+N10+N8+N4+N25+N33</f>
        <v>2374141</v>
      </c>
      <c r="O54" s="408">
        <f>(L54-N54)/N54</f>
        <v>3.2389820149687824E-2</v>
      </c>
      <c r="P54" s="406">
        <f>+P46+P37+P35+P29+P27+P23+P14+P10+P8+P4+P25+P33+P6</f>
        <v>4956733</v>
      </c>
      <c r="Q54" s="406">
        <f>+Q46+Q37+Q35+Q29+Q27+Q23+Q14+Q10+Q8+Q4+Q25+Q33</f>
        <v>4834680</v>
      </c>
      <c r="R54" s="409">
        <f>(P54-Q54)/Q54</f>
        <v>2.5245310961635518E-2</v>
      </c>
    </row>
    <row r="55" spans="1:21" x14ac:dyDescent="0.2">
      <c r="B55" s="340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8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40"/>
      <c r="D57" s="4"/>
      <c r="E57" s="458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8"/>
      <c r="D58" s="4"/>
      <c r="E58" s="458"/>
      <c r="F58" s="231"/>
      <c r="G58" s="4"/>
      <c r="H58" s="4"/>
      <c r="I58"/>
      <c r="J58"/>
      <c r="K58"/>
      <c r="L58"/>
      <c r="M58"/>
      <c r="O58"/>
      <c r="P58" s="453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February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Normal="100" zoomScaleSheetLayoutView="100" workbookViewId="0">
      <selection activeCell="B28" sqref="B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15">
        <v>42036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188</v>
      </c>
      <c r="I1" s="12" t="s">
        <v>23</v>
      </c>
      <c r="J1" s="282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90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[4]American!$DY$22</f>
        <v>38147</v>
      </c>
      <c r="C4" s="22">
        <f>[4]Delta!$DY$22+[4]Delta!$DY$32</f>
        <v>585141</v>
      </c>
      <c r="D4" s="22">
        <f>[4]United!$DY$22</f>
        <v>18214</v>
      </c>
      <c r="E4" s="22">
        <f>'[4]US Airways'!$DY$22</f>
        <v>41619</v>
      </c>
      <c r="F4" s="22">
        <f>[4]Spirit!$DY$22</f>
        <v>43656</v>
      </c>
      <c r="G4" s="22">
        <f>[4]Condor!$DY$22</f>
        <v>0</v>
      </c>
      <c r="H4" s="22">
        <f>'[4]Air France'!$DY$22</f>
        <v>0</v>
      </c>
      <c r="I4" s="22">
        <f>'Other Major Airline Stats'!I5</f>
        <v>168702</v>
      </c>
      <c r="J4" s="291">
        <f>SUM(B4:I4)</f>
        <v>895479</v>
      </c>
    </row>
    <row r="5" spans="1:19" x14ac:dyDescent="0.2">
      <c r="A5" s="65" t="s">
        <v>34</v>
      </c>
      <c r="B5" s="14">
        <f>[4]American!$DY$23</f>
        <v>38986</v>
      </c>
      <c r="C5" s="14">
        <f>[4]Delta!$DY$23+[4]Delta!$DY$33</f>
        <v>599311</v>
      </c>
      <c r="D5" s="14">
        <f>[4]United!$DY$23</f>
        <v>19709</v>
      </c>
      <c r="E5" s="14">
        <f>'[4]US Airways'!$DY$23</f>
        <v>43524</v>
      </c>
      <c r="F5" s="14">
        <f>[4]Spirit!$DY$23</f>
        <v>44886</v>
      </c>
      <c r="G5" s="14">
        <f>[4]Condor!$DY$23</f>
        <v>0</v>
      </c>
      <c r="H5" s="14">
        <f>'[4]Air France'!$DY$23</f>
        <v>0</v>
      </c>
      <c r="I5" s="14">
        <f>'Other Major Airline Stats'!I6</f>
        <v>177260</v>
      </c>
      <c r="J5" s="292">
        <f>SUM(B5:I5)</f>
        <v>923676</v>
      </c>
      <c r="L5" s="320"/>
      <c r="M5" s="320"/>
      <c r="N5" s="320"/>
      <c r="O5" s="320"/>
      <c r="P5" s="320"/>
      <c r="Q5" s="320"/>
      <c r="R5" s="320"/>
      <c r="S5" s="320"/>
    </row>
    <row r="6" spans="1:19" ht="15" x14ac:dyDescent="0.25">
      <c r="A6" s="63" t="s">
        <v>7</v>
      </c>
      <c r="B6" s="36">
        <f t="shared" ref="B6:I6" si="0">SUM(B4:B5)</f>
        <v>77133</v>
      </c>
      <c r="C6" s="36">
        <f t="shared" si="0"/>
        <v>1184452</v>
      </c>
      <c r="D6" s="36">
        <f t="shared" si="0"/>
        <v>37923</v>
      </c>
      <c r="E6" s="36">
        <f t="shared" si="0"/>
        <v>85143</v>
      </c>
      <c r="F6" s="36">
        <f t="shared" si="0"/>
        <v>88542</v>
      </c>
      <c r="G6" s="36">
        <f>SUM(G4:G5)</f>
        <v>0</v>
      </c>
      <c r="H6" s="36">
        <f>SUM(H4:H5)</f>
        <v>0</v>
      </c>
      <c r="I6" s="36">
        <f t="shared" si="0"/>
        <v>345962</v>
      </c>
      <c r="J6" s="293">
        <f>SUM(B6:I6)</f>
        <v>1819155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91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91">
        <f>SUM(B8:I8)</f>
        <v>0</v>
      </c>
    </row>
    <row r="9" spans="1:19" x14ac:dyDescent="0.2">
      <c r="A9" s="65" t="s">
        <v>33</v>
      </c>
      <c r="B9" s="22">
        <f>[4]American!$DY$27</f>
        <v>1362</v>
      </c>
      <c r="C9" s="22">
        <f>[4]Delta!$DY$27+[4]Delta!$DY$37</f>
        <v>23240</v>
      </c>
      <c r="D9" s="22">
        <f>[4]United!$DY$27</f>
        <v>568</v>
      </c>
      <c r="E9" s="22">
        <f>'[4]US Airways'!$DY$27</f>
        <v>955</v>
      </c>
      <c r="F9" s="22">
        <f>[4]Spirit!$DY$27</f>
        <v>252</v>
      </c>
      <c r="G9" s="22">
        <f>[4]Condor!$DY$27</f>
        <v>0</v>
      </c>
      <c r="H9" s="22">
        <f>'[4]Air France'!$DY$27</f>
        <v>0</v>
      </c>
      <c r="I9" s="22">
        <f>'Other Major Airline Stats'!I10</f>
        <v>2850</v>
      </c>
      <c r="J9" s="291">
        <f>SUM(B9:I9)</f>
        <v>29227</v>
      </c>
    </row>
    <row r="10" spans="1:19" x14ac:dyDescent="0.2">
      <c r="A10" s="65" t="s">
        <v>36</v>
      </c>
      <c r="B10" s="14">
        <f>[4]American!$DY$28</f>
        <v>1333</v>
      </c>
      <c r="C10" s="14">
        <f>[4]Delta!$DY$28+[4]Delta!$DY$38</f>
        <v>22789</v>
      </c>
      <c r="D10" s="14">
        <f>[4]United!$DY$28</f>
        <v>575</v>
      </c>
      <c r="E10" s="14">
        <f>'[4]US Airways'!$DY$28</f>
        <v>996</v>
      </c>
      <c r="F10" s="14">
        <f>[4]Spirit!$DY$28</f>
        <v>288</v>
      </c>
      <c r="G10" s="14">
        <f>[4]Condor!$DY$28</f>
        <v>0</v>
      </c>
      <c r="H10" s="14">
        <f>'[4]Air France'!$DY$28</f>
        <v>0</v>
      </c>
      <c r="I10" s="14">
        <f>'Other Major Airline Stats'!I11</f>
        <v>2735</v>
      </c>
      <c r="J10" s="292">
        <f>SUM(B10:I10)</f>
        <v>28716</v>
      </c>
    </row>
    <row r="11" spans="1:19" ht="15.75" thickBot="1" x14ac:dyDescent="0.3">
      <c r="A11" s="66" t="s">
        <v>37</v>
      </c>
      <c r="B11" s="294">
        <f t="shared" ref="B11:I11" si="1">SUM(B9:B10)</f>
        <v>2695</v>
      </c>
      <c r="C11" s="294">
        <f t="shared" si="1"/>
        <v>46029</v>
      </c>
      <c r="D11" s="294">
        <f t="shared" si="1"/>
        <v>1143</v>
      </c>
      <c r="E11" s="294">
        <f t="shared" si="1"/>
        <v>1951</v>
      </c>
      <c r="F11" s="294">
        <f t="shared" si="1"/>
        <v>540</v>
      </c>
      <c r="G11" s="294">
        <f>SUM(G9:G10)</f>
        <v>0</v>
      </c>
      <c r="H11" s="294">
        <f>SUM(H9:H10)</f>
        <v>0</v>
      </c>
      <c r="I11" s="294">
        <f t="shared" si="1"/>
        <v>5585</v>
      </c>
      <c r="J11" s="295">
        <f>SUM(B11:I11)</f>
        <v>57943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[4]American!$DY$4</f>
        <v>315</v>
      </c>
      <c r="C15" s="22">
        <f>[4]Delta!$DY$4+[4]Delta!$DY$15</f>
        <v>4385</v>
      </c>
      <c r="D15" s="22">
        <f>[4]United!$DY$4</f>
        <v>160</v>
      </c>
      <c r="E15" s="22">
        <f>'[4]US Airways'!$DY$4</f>
        <v>331</v>
      </c>
      <c r="F15" s="22">
        <f>[4]Spirit!$DY$4</f>
        <v>303</v>
      </c>
      <c r="G15" s="22">
        <f>[4]Condor!$DY$4</f>
        <v>0</v>
      </c>
      <c r="H15" s="22">
        <f>'[4]Air France'!$DY$4</f>
        <v>0</v>
      </c>
      <c r="I15" s="22">
        <f>'Other Major Airline Stats'!I16</f>
        <v>1493</v>
      </c>
      <c r="J15" s="29">
        <f>SUM(B15:I15)</f>
        <v>6987</v>
      </c>
    </row>
    <row r="16" spans="1:19" x14ac:dyDescent="0.2">
      <c r="A16" s="65" t="s">
        <v>26</v>
      </c>
      <c r="B16" s="14">
        <f>[4]American!$DY$5</f>
        <v>314</v>
      </c>
      <c r="C16" s="14">
        <f>[4]Delta!$DY$5+[4]Delta!$DY$16</f>
        <v>4375</v>
      </c>
      <c r="D16" s="14">
        <f>[4]United!$DY$5</f>
        <v>160</v>
      </c>
      <c r="E16" s="14">
        <f>'[4]US Airways'!$DY$5</f>
        <v>325</v>
      </c>
      <c r="F16" s="14">
        <f>[4]Spirit!$DY$5</f>
        <v>304</v>
      </c>
      <c r="G16" s="14">
        <f>[4]Condor!$DY$5</f>
        <v>0</v>
      </c>
      <c r="H16" s="14">
        <f>'[4]Air France'!$DY$5</f>
        <v>0</v>
      </c>
      <c r="I16" s="14">
        <f>'Other Major Airline Stats'!I17</f>
        <v>1497</v>
      </c>
      <c r="J16" s="35">
        <f>SUM(B16:I16)</f>
        <v>6975</v>
      </c>
    </row>
    <row r="17" spans="1:10" x14ac:dyDescent="0.2">
      <c r="A17" s="65" t="s">
        <v>27</v>
      </c>
      <c r="B17" s="298">
        <f t="shared" ref="B17:I17" si="2">SUM(B15:B16)</f>
        <v>629</v>
      </c>
      <c r="C17" s="296">
        <f t="shared" si="2"/>
        <v>8760</v>
      </c>
      <c r="D17" s="296">
        <f t="shared" si="2"/>
        <v>320</v>
      </c>
      <c r="E17" s="296">
        <f t="shared" si="2"/>
        <v>656</v>
      </c>
      <c r="F17" s="296">
        <f t="shared" si="2"/>
        <v>607</v>
      </c>
      <c r="G17" s="296">
        <f>SUM(G15:G16)</f>
        <v>0</v>
      </c>
      <c r="H17" s="296">
        <f>SUM(H15:H16)</f>
        <v>0</v>
      </c>
      <c r="I17" s="296">
        <f t="shared" si="2"/>
        <v>2990</v>
      </c>
      <c r="J17" s="297">
        <f>SUM(B17:I17)</f>
        <v>13962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[4]American!$DY$8</f>
        <v>0</v>
      </c>
      <c r="C19" s="22">
        <f>[4]Delta!$DY$8</f>
        <v>2</v>
      </c>
      <c r="D19" s="22">
        <f>[4]United!$DY$8</f>
        <v>0</v>
      </c>
      <c r="E19" s="22">
        <f>'[4]US Airways'!$DY$8</f>
        <v>0</v>
      </c>
      <c r="F19" s="22">
        <f>[4]Spirit!$DY$8</f>
        <v>0</v>
      </c>
      <c r="G19" s="22">
        <f>[4]Condor!$DY$8</f>
        <v>0</v>
      </c>
      <c r="H19" s="22">
        <f>'[4]Air France'!$DY$8</f>
        <v>0</v>
      </c>
      <c r="I19" s="22">
        <f>'Other Major Airline Stats'!I20</f>
        <v>45</v>
      </c>
      <c r="J19" s="29">
        <f>SUM(B19:I19)</f>
        <v>47</v>
      </c>
    </row>
    <row r="20" spans="1:10" x14ac:dyDescent="0.2">
      <c r="A20" s="65" t="s">
        <v>29</v>
      </c>
      <c r="B20" s="14">
        <f>[4]American!$DY$9</f>
        <v>0</v>
      </c>
      <c r="C20" s="14">
        <f>[4]Delta!$DY$9</f>
        <v>6</v>
      </c>
      <c r="D20" s="14">
        <f>[4]United!$DY$9</f>
        <v>0</v>
      </c>
      <c r="E20" s="14">
        <f>'[4]US Airways'!$DY$9</f>
        <v>0</v>
      </c>
      <c r="F20" s="14">
        <f>[4]Spirit!$DY$9</f>
        <v>0</v>
      </c>
      <c r="G20" s="14">
        <f>[4]Condor!$DY$9</f>
        <v>0</v>
      </c>
      <c r="H20" s="14">
        <f>'[4]Air France'!$DY$9</f>
        <v>0</v>
      </c>
      <c r="I20" s="14">
        <f>'Other Major Airline Stats'!I21</f>
        <v>40</v>
      </c>
      <c r="J20" s="35">
        <f>SUM(B20:I20)</f>
        <v>46</v>
      </c>
    </row>
    <row r="21" spans="1:10" x14ac:dyDescent="0.2">
      <c r="A21" s="65" t="s">
        <v>30</v>
      </c>
      <c r="B21" s="298">
        <f t="shared" ref="B21:I21" si="3">SUM(B19:B20)</f>
        <v>0</v>
      </c>
      <c r="C21" s="296">
        <f t="shared" si="3"/>
        <v>8</v>
      </c>
      <c r="D21" s="296">
        <f t="shared" si="3"/>
        <v>0</v>
      </c>
      <c r="E21" s="296">
        <f t="shared" si="3"/>
        <v>0</v>
      </c>
      <c r="F21" s="296">
        <f t="shared" si="3"/>
        <v>0</v>
      </c>
      <c r="G21" s="296">
        <f>SUM(G19:G20)</f>
        <v>0</v>
      </c>
      <c r="H21" s="296">
        <f>SUM(H19:H20)</f>
        <v>0</v>
      </c>
      <c r="I21" s="296">
        <f t="shared" si="3"/>
        <v>85</v>
      </c>
      <c r="J21" s="180">
        <f>SUM(B21:I21)</f>
        <v>93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629</v>
      </c>
      <c r="C23" s="30">
        <f t="shared" si="4"/>
        <v>8768</v>
      </c>
      <c r="D23" s="30">
        <f t="shared" si="4"/>
        <v>320</v>
      </c>
      <c r="E23" s="30">
        <f t="shared" si="4"/>
        <v>656</v>
      </c>
      <c r="F23" s="30">
        <f>F17+F21</f>
        <v>607</v>
      </c>
      <c r="G23" s="30">
        <f>G17+G21</f>
        <v>0</v>
      </c>
      <c r="H23" s="30">
        <f>H17+H21</f>
        <v>0</v>
      </c>
      <c r="I23" s="30">
        <f t="shared" si="4"/>
        <v>3075</v>
      </c>
      <c r="J23" s="31">
        <f>SUM(B23:I23)</f>
        <v>14055</v>
      </c>
    </row>
    <row r="25" spans="1:10" ht="13.5" thickBot="1" x14ac:dyDescent="0.25">
      <c r="B25" s="457"/>
      <c r="C25" s="457"/>
      <c r="D25" s="457"/>
      <c r="E25" s="457"/>
      <c r="F25" s="457"/>
      <c r="G25" s="457"/>
      <c r="H25" s="457"/>
      <c r="I25" s="457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[4]American!$DY$47</f>
        <v>29073</v>
      </c>
      <c r="C28" s="22">
        <f>[4]Delta!$DY$47</f>
        <v>4566991</v>
      </c>
      <c r="D28" s="22">
        <f>[4]United!$DY$47</f>
        <v>10126</v>
      </c>
      <c r="E28" s="22">
        <f>'[4]US Airways'!$DY$47</f>
        <v>1175</v>
      </c>
      <c r="F28" s="22">
        <f>[4]Spirit!$DY$47</f>
        <v>0</v>
      </c>
      <c r="G28" s="22">
        <f>[4]Condor!$DY$47</f>
        <v>0</v>
      </c>
      <c r="H28" s="22">
        <f>'[4]Air France'!$DY$47</f>
        <v>0</v>
      </c>
      <c r="I28" s="22">
        <f>'Other Major Airline Stats'!I28</f>
        <v>250542</v>
      </c>
      <c r="J28" s="29">
        <f>SUM(B28:I28)</f>
        <v>4857907</v>
      </c>
    </row>
    <row r="29" spans="1:10" x14ac:dyDescent="0.2">
      <c r="A29" s="65" t="s">
        <v>41</v>
      </c>
      <c r="B29" s="14">
        <f>[4]American!$DY$48</f>
        <v>2046</v>
      </c>
      <c r="C29" s="14">
        <f>[4]Delta!$DY$48</f>
        <v>832741</v>
      </c>
      <c r="D29" s="14">
        <f>[4]United!$DY$48</f>
        <v>84292</v>
      </c>
      <c r="E29" s="14">
        <f>'[4]US Airways'!$DY$48</f>
        <v>38651</v>
      </c>
      <c r="F29" s="14">
        <f>[4]Spirit!$DY$48</f>
        <v>0</v>
      </c>
      <c r="G29" s="14">
        <f>[4]Condor!$DY$48</f>
        <v>0</v>
      </c>
      <c r="H29" s="14">
        <f>'[4]Air France'!$DY$48</f>
        <v>0</v>
      </c>
      <c r="I29" s="14">
        <f>'Other Major Airline Stats'!I29</f>
        <v>155790</v>
      </c>
      <c r="J29" s="35">
        <f>SUM(B29:I29)</f>
        <v>1113520</v>
      </c>
    </row>
    <row r="30" spans="1:10" x14ac:dyDescent="0.2">
      <c r="A30" s="69" t="s">
        <v>42</v>
      </c>
      <c r="B30" s="298">
        <f t="shared" ref="B30:I30" si="5">SUM(B28:B29)</f>
        <v>31119</v>
      </c>
      <c r="C30" s="298">
        <f t="shared" si="5"/>
        <v>5399732</v>
      </c>
      <c r="D30" s="298">
        <f t="shared" si="5"/>
        <v>94418</v>
      </c>
      <c r="E30" s="298">
        <f t="shared" si="5"/>
        <v>39826</v>
      </c>
      <c r="F30" s="298">
        <f t="shared" si="5"/>
        <v>0</v>
      </c>
      <c r="G30" s="298">
        <f>SUM(G28:G29)</f>
        <v>0</v>
      </c>
      <c r="H30" s="298">
        <f>SUM(H28:H29)</f>
        <v>0</v>
      </c>
      <c r="I30" s="298">
        <f t="shared" si="5"/>
        <v>406332</v>
      </c>
      <c r="J30" s="29">
        <f>SUM(B30:I30)</f>
        <v>5971427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[4]American!$DY$52</f>
        <v>11737</v>
      </c>
      <c r="C33" s="22">
        <f>[4]Delta!$DY$52</f>
        <v>4106918</v>
      </c>
      <c r="D33" s="22">
        <f>[4]United!$DY$52</f>
        <v>28629</v>
      </c>
      <c r="E33" s="22">
        <f>'[4]US Airways'!$DY$52</f>
        <v>4118</v>
      </c>
      <c r="F33" s="22">
        <f>[4]Spirit!$DY$52</f>
        <v>0</v>
      </c>
      <c r="G33" s="22">
        <f>[4]Condor!$DY$52</f>
        <v>0</v>
      </c>
      <c r="H33" s="22">
        <f>'[4]Air France'!$DY$52</f>
        <v>0</v>
      </c>
      <c r="I33" s="22">
        <f>'Other Major Airline Stats'!I33</f>
        <v>177632</v>
      </c>
      <c r="J33" s="29">
        <f t="shared" si="6"/>
        <v>4329034</v>
      </c>
    </row>
    <row r="34" spans="1:10" x14ac:dyDescent="0.2">
      <c r="A34" s="65" t="s">
        <v>41</v>
      </c>
      <c r="B34" s="14">
        <f>[4]American!$DY$53</f>
        <v>2046</v>
      </c>
      <c r="C34" s="14">
        <f>[4]Delta!$DY$53</f>
        <v>108689</v>
      </c>
      <c r="D34" s="14">
        <f>[4]United!$DY$53</f>
        <v>161819</v>
      </c>
      <c r="E34" s="14">
        <f>'[4]US Airways'!$DY$53</f>
        <v>73453</v>
      </c>
      <c r="F34" s="14">
        <f>[4]Spirit!$DY$53</f>
        <v>0</v>
      </c>
      <c r="G34" s="14">
        <f>[4]Condor!$DY$53</f>
        <v>0</v>
      </c>
      <c r="H34" s="14">
        <f>'[4]Air France'!$DY$53</f>
        <v>0</v>
      </c>
      <c r="I34" s="14">
        <f>'Other Major Airline Stats'!I34</f>
        <v>365454</v>
      </c>
      <c r="J34" s="35">
        <f t="shared" si="6"/>
        <v>711461</v>
      </c>
    </row>
    <row r="35" spans="1:10" x14ac:dyDescent="0.2">
      <c r="A35" s="69" t="s">
        <v>44</v>
      </c>
      <c r="B35" s="298">
        <f t="shared" ref="B35:I35" si="7">SUM(B33:B34)</f>
        <v>13783</v>
      </c>
      <c r="C35" s="298">
        <f t="shared" si="7"/>
        <v>4215607</v>
      </c>
      <c r="D35" s="298">
        <f t="shared" si="7"/>
        <v>190448</v>
      </c>
      <c r="E35" s="298">
        <f t="shared" si="7"/>
        <v>77571</v>
      </c>
      <c r="F35" s="298">
        <f t="shared" si="7"/>
        <v>0</v>
      </c>
      <c r="G35" s="298">
        <f>SUM(G33:G34)</f>
        <v>0</v>
      </c>
      <c r="H35" s="298">
        <f>SUM(H33:H34)</f>
        <v>0</v>
      </c>
      <c r="I35" s="298">
        <f t="shared" si="7"/>
        <v>543086</v>
      </c>
      <c r="J35" s="29">
        <f t="shared" si="6"/>
        <v>5040495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[4]American!$DY$57</f>
        <v>0</v>
      </c>
      <c r="C38" s="22">
        <f>[4]Delta!$DY$57</f>
        <v>0</v>
      </c>
      <c r="D38" s="22">
        <f>[4]United!$DY$57</f>
        <v>0</v>
      </c>
      <c r="E38" s="22">
        <f>'[4]US Airways'!$DY$57</f>
        <v>0</v>
      </c>
      <c r="F38" s="22">
        <f>[4]Spirit!$DY$57</f>
        <v>0</v>
      </c>
      <c r="G38" s="22">
        <f>[4]Condor!$DY$57</f>
        <v>0</v>
      </c>
      <c r="H38" s="22">
        <f>'[4]Air France'!$DY$57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[4]American!$DY$58</f>
        <v>0</v>
      </c>
      <c r="C39" s="14">
        <f>[4]Delta!$DY$58</f>
        <v>0</v>
      </c>
      <c r="D39" s="14">
        <f>[4]United!$DY$58</f>
        <v>0</v>
      </c>
      <c r="E39" s="14">
        <f>'[4]US Airways'!$DY$58</f>
        <v>0</v>
      </c>
      <c r="F39" s="14">
        <f>[4]Spirit!$DY$58</f>
        <v>0</v>
      </c>
      <c r="G39" s="14">
        <f>[4]Condor!$DY$58</f>
        <v>0</v>
      </c>
      <c r="H39" s="14">
        <f>'[4]Air France'!$DY$58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8">
        <f t="shared" ref="B40:I40" si="8">SUM(B38:B39)</f>
        <v>0</v>
      </c>
      <c r="C40" s="298">
        <f t="shared" si="8"/>
        <v>0</v>
      </c>
      <c r="D40" s="298">
        <f t="shared" si="8"/>
        <v>0</v>
      </c>
      <c r="E40" s="298">
        <f t="shared" si="8"/>
        <v>0</v>
      </c>
      <c r="F40" s="298">
        <f t="shared" si="8"/>
        <v>0</v>
      </c>
      <c r="G40" s="298">
        <f>SUM(G38:G39)</f>
        <v>0</v>
      </c>
      <c r="H40" s="298">
        <f>SUM(H38:H39)</f>
        <v>0</v>
      </c>
      <c r="I40" s="298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40810</v>
      </c>
      <c r="C43" s="22">
        <f t="shared" si="9"/>
        <v>8673909</v>
      </c>
      <c r="D43" s="22">
        <f t="shared" si="9"/>
        <v>38755</v>
      </c>
      <c r="E43" s="22">
        <f t="shared" si="9"/>
        <v>5293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428174</v>
      </c>
      <c r="J43" s="29">
        <f>SUM(B43:I43)</f>
        <v>9186941</v>
      </c>
    </row>
    <row r="44" spans="1:10" x14ac:dyDescent="0.2">
      <c r="A44" s="65" t="s">
        <v>41</v>
      </c>
      <c r="B44" s="14">
        <f t="shared" si="9"/>
        <v>4092</v>
      </c>
      <c r="C44" s="14">
        <f t="shared" si="9"/>
        <v>941430</v>
      </c>
      <c r="D44" s="14">
        <f t="shared" si="9"/>
        <v>246111</v>
      </c>
      <c r="E44" s="14">
        <f t="shared" si="9"/>
        <v>112104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521244</v>
      </c>
      <c r="J44" s="29">
        <f>SUM(B44:I44)</f>
        <v>1824981</v>
      </c>
    </row>
    <row r="45" spans="1:10" ht="15.75" thickBot="1" x14ac:dyDescent="0.3">
      <c r="A45" s="66" t="s">
        <v>49</v>
      </c>
      <c r="B45" s="299">
        <f t="shared" ref="B45:I45" si="11">SUM(B43:B44)</f>
        <v>44902</v>
      </c>
      <c r="C45" s="299">
        <f t="shared" si="11"/>
        <v>9615339</v>
      </c>
      <c r="D45" s="299">
        <f t="shared" si="11"/>
        <v>284866</v>
      </c>
      <c r="E45" s="299">
        <f t="shared" si="11"/>
        <v>117397</v>
      </c>
      <c r="F45" s="299">
        <f t="shared" si="11"/>
        <v>0</v>
      </c>
      <c r="G45" s="299">
        <f>SUM(G43:G44)</f>
        <v>0</v>
      </c>
      <c r="H45" s="299">
        <f>SUM(H43:H44)</f>
        <v>0</v>
      </c>
      <c r="I45" s="299">
        <f t="shared" si="11"/>
        <v>949418</v>
      </c>
      <c r="J45" s="300">
        <f>SUM(B45:I45)</f>
        <v>11011922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10" t="s">
        <v>136</v>
      </c>
      <c r="C47" s="330">
        <f>[4]Delta!$DY$70+[4]Delta!$DY$73</f>
        <v>308046</v>
      </c>
      <c r="D47" s="317"/>
      <c r="E47" s="317"/>
      <c r="F47" s="317"/>
      <c r="G47" s="317"/>
      <c r="H47" s="317"/>
      <c r="I47" s="317"/>
      <c r="J47" s="318">
        <f>SUM(B47:I47)</f>
        <v>308046</v>
      </c>
    </row>
    <row r="48" spans="1:10" hidden="1" x14ac:dyDescent="0.2">
      <c r="A48" s="411" t="s">
        <v>137</v>
      </c>
      <c r="C48" s="330">
        <f>[4]Delta!$DY$71+[4]Delta!$DY$74</f>
        <v>291265</v>
      </c>
      <c r="D48" s="317"/>
      <c r="E48" s="317"/>
      <c r="F48" s="317"/>
      <c r="G48" s="317"/>
      <c r="H48" s="317"/>
      <c r="I48" s="317"/>
      <c r="J48" s="318">
        <f>SUM(B48:I48)</f>
        <v>291265</v>
      </c>
    </row>
    <row r="49" spans="1:10" hidden="1" x14ac:dyDescent="0.2">
      <c r="A49" s="412" t="s">
        <v>138</v>
      </c>
      <c r="C49" s="331">
        <f>SUM(C47:C48)</f>
        <v>599311</v>
      </c>
      <c r="J49" s="318">
        <f>SUM(B49:I49)</f>
        <v>599311</v>
      </c>
    </row>
    <row r="50" spans="1:10" x14ac:dyDescent="0.2">
      <c r="A50" s="410" t="s">
        <v>136</v>
      </c>
      <c r="B50" s="424"/>
      <c r="C50" s="333">
        <f>[4]Delta!$DY$70+[4]Delta!$DY$73</f>
        <v>308046</v>
      </c>
      <c r="D50" s="424"/>
      <c r="E50" s="424"/>
      <c r="F50" s="424"/>
      <c r="G50" s="424"/>
      <c r="H50" s="424"/>
      <c r="I50" s="332">
        <f>'Other Major Airline Stats'!I48</f>
        <v>162907</v>
      </c>
      <c r="J50" s="321">
        <f>SUM(B50:I50)</f>
        <v>470953</v>
      </c>
    </row>
    <row r="51" spans="1:10" x14ac:dyDescent="0.2">
      <c r="A51" s="426" t="s">
        <v>137</v>
      </c>
      <c r="B51" s="424"/>
      <c r="C51" s="333">
        <f>[4]Delta!$DY$71+[4]Delta!$DY$74</f>
        <v>291265</v>
      </c>
      <c r="D51" s="424"/>
      <c r="E51" s="424"/>
      <c r="F51" s="424"/>
      <c r="G51" s="424"/>
      <c r="H51" s="424"/>
      <c r="I51" s="332">
        <f>+'Other Major Airline Stats'!I49</f>
        <v>2527</v>
      </c>
      <c r="J51" s="321">
        <f>SUM(B51:I51)</f>
        <v>293792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G11" activeCellId="1" sqref="G6 G11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15">
        <v>42036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82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[4]AirTran!$DY$22</f>
        <v>0</v>
      </c>
      <c r="C5" s="150">
        <f>[4]Frontier!$DY$22</f>
        <v>7995</v>
      </c>
      <c r="D5" s="150">
        <f>'[4]Great Lakes'!$DY$22</f>
        <v>303</v>
      </c>
      <c r="E5" s="150">
        <f>[4]Icelandair!$DY$32</f>
        <v>0</v>
      </c>
      <c r="F5" s="122">
        <f>[4]Southwest!$DY$22</f>
        <v>64570</v>
      </c>
      <c r="G5" s="122">
        <f>'[4]Sun Country'!$DY$22+'[4]Sun Country'!$DY$32</f>
        <v>92206</v>
      </c>
      <c r="H5" s="122">
        <f>[4]Alaska!$DY$22</f>
        <v>3628</v>
      </c>
      <c r="I5" s="151">
        <f>SUM(B5:H5)</f>
        <v>168702</v>
      </c>
      <c r="L5" s="134"/>
    </row>
    <row r="6" spans="1:12" x14ac:dyDescent="0.2">
      <c r="A6" s="65" t="s">
        <v>34</v>
      </c>
      <c r="B6" s="302">
        <f>[4]AirTran!$DY$23</f>
        <v>0</v>
      </c>
      <c r="C6" s="150">
        <f>[4]Frontier!$DY$23</f>
        <v>8007</v>
      </c>
      <c r="D6" s="150">
        <f>'[4]Great Lakes'!$DY$23</f>
        <v>300</v>
      </c>
      <c r="E6" s="150">
        <f>[4]Icelandair!$DY$33</f>
        <v>0</v>
      </c>
      <c r="F6" s="122">
        <f>[4]Southwest!$DY$23</f>
        <v>66635</v>
      </c>
      <c r="G6" s="122">
        <f>'[4]Sun Country'!$DY$23+'[4]Sun Country'!$DY$33</f>
        <v>98799</v>
      </c>
      <c r="H6" s="122">
        <f>[4]Alaska!$DY$23</f>
        <v>3519</v>
      </c>
      <c r="I6" s="151">
        <f>SUM(B6:H6)</f>
        <v>177260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16002</v>
      </c>
      <c r="D7" s="159">
        <f t="shared" si="0"/>
        <v>603</v>
      </c>
      <c r="E7" s="159">
        <f t="shared" si="0"/>
        <v>0</v>
      </c>
      <c r="F7" s="159">
        <f t="shared" si="0"/>
        <v>131205</v>
      </c>
      <c r="G7" s="159">
        <f>SUM(G5:G6)</f>
        <v>191005</v>
      </c>
      <c r="H7" s="159">
        <f t="shared" si="0"/>
        <v>7147</v>
      </c>
      <c r="I7" s="160">
        <f>SUM(B7:H7)</f>
        <v>345962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[4]AirTran!$DY$27</f>
        <v>0</v>
      </c>
      <c r="C10" s="158">
        <f>[4]Frontier!$DY$27</f>
        <v>95</v>
      </c>
      <c r="D10" s="158">
        <f>'[4]Great Lakes'!$DY$27</f>
        <v>24</v>
      </c>
      <c r="E10" s="158">
        <f>[4]Icelandair!$DY$37</f>
        <v>0</v>
      </c>
      <c r="F10" s="158">
        <f>[4]Southwest!$DY$27</f>
        <v>1124</v>
      </c>
      <c r="G10" s="158">
        <f>'[4]Sun Country'!$DY$27+'[4]Sun Country'!$DY$37</f>
        <v>1484</v>
      </c>
      <c r="H10" s="158">
        <f>[4]Alaska!$DY$27</f>
        <v>123</v>
      </c>
      <c r="I10" s="151">
        <f>SUM(B10:H10)</f>
        <v>2850</v>
      </c>
    </row>
    <row r="11" spans="1:12" x14ac:dyDescent="0.2">
      <c r="A11" s="65" t="s">
        <v>36</v>
      </c>
      <c r="B11" s="14">
        <f>[4]AirTran!$DY$28</f>
        <v>0</v>
      </c>
      <c r="C11" s="161">
        <f>[4]Frontier!$DY$28</f>
        <v>120</v>
      </c>
      <c r="D11" s="161">
        <f>'[4]Great Lakes'!$DY$28</f>
        <v>32</v>
      </c>
      <c r="E11" s="161">
        <f>[4]Icelandair!$DY$38</f>
        <v>0</v>
      </c>
      <c r="F11" s="161">
        <f>[4]Southwest!$DY$28</f>
        <v>1102</v>
      </c>
      <c r="G11" s="161">
        <f>'[4]Sun Country'!$DY$28+'[4]Sun Country'!$DY$38</f>
        <v>1313</v>
      </c>
      <c r="H11" s="161">
        <f>[4]Alaska!$DY$28</f>
        <v>168</v>
      </c>
      <c r="I11" s="151">
        <f>SUM(B11:H11)</f>
        <v>2735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215</v>
      </c>
      <c r="D12" s="154">
        <f t="shared" si="1"/>
        <v>56</v>
      </c>
      <c r="E12" s="154">
        <f t="shared" si="1"/>
        <v>0</v>
      </c>
      <c r="F12" s="154">
        <f t="shared" si="1"/>
        <v>2226</v>
      </c>
      <c r="G12" s="154">
        <f>SUM(G10:G11)</f>
        <v>2797</v>
      </c>
      <c r="H12" s="154">
        <f t="shared" si="1"/>
        <v>291</v>
      </c>
      <c r="I12" s="162">
        <f>SUM(B12:H12)</f>
        <v>5585</v>
      </c>
      <c r="L12" s="134"/>
    </row>
    <row r="13" spans="1:12" ht="15" x14ac:dyDescent="0.25">
      <c r="A13" s="62"/>
      <c r="B13" s="303"/>
      <c r="C13" s="303"/>
      <c r="D13" s="303"/>
      <c r="E13" s="303"/>
      <c r="F13" s="303"/>
      <c r="G13" s="303"/>
      <c r="H13" s="303"/>
      <c r="I13" s="304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[4]AirTran!$DY$4</f>
        <v>0</v>
      </c>
      <c r="C16" s="150">
        <f>[4]Frontier!$DY$4</f>
        <v>56</v>
      </c>
      <c r="D16" s="150">
        <f>'[4]Great Lakes'!$DY$4</f>
        <v>77</v>
      </c>
      <c r="E16" s="150">
        <f>[4]Icelandair!$DY$15</f>
        <v>0</v>
      </c>
      <c r="F16" s="109">
        <f>[4]Southwest!$DY$4</f>
        <v>564</v>
      </c>
      <c r="G16" s="122">
        <f>'[4]Sun Country'!$DY$4+'[4]Sun Country'!$DY$15</f>
        <v>767</v>
      </c>
      <c r="H16" s="122">
        <f>[4]Alaska!$DY$4</f>
        <v>29</v>
      </c>
      <c r="I16" s="151">
        <f>SUM(B16:H16)</f>
        <v>1493</v>
      </c>
    </row>
    <row r="17" spans="1:256" x14ac:dyDescent="0.2">
      <c r="A17" s="65" t="s">
        <v>26</v>
      </c>
      <c r="B17" s="14">
        <f>[4]AirTran!$DY$5</f>
        <v>0</v>
      </c>
      <c r="C17" s="150">
        <f>[4]Frontier!$DY$5</f>
        <v>56</v>
      </c>
      <c r="D17" s="150">
        <f>'[4]Great Lakes'!$DY$5</f>
        <v>77</v>
      </c>
      <c r="E17" s="150">
        <f>[4]Icelandair!$DY$16</f>
        <v>0</v>
      </c>
      <c r="F17" s="109">
        <f>[4]Southwest!$DY$5</f>
        <v>564</v>
      </c>
      <c r="G17" s="122">
        <f>'[4]Sun Country'!$DY$5+'[4]Sun Country'!$DY$16</f>
        <v>771</v>
      </c>
      <c r="H17" s="122">
        <f>[4]Alaska!$DY$5</f>
        <v>29</v>
      </c>
      <c r="I17" s="151">
        <f>SUM(B17:H17)</f>
        <v>1497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112</v>
      </c>
      <c r="D18" s="152">
        <f t="shared" si="2"/>
        <v>154</v>
      </c>
      <c r="E18" s="152">
        <f t="shared" si="2"/>
        <v>0</v>
      </c>
      <c r="F18" s="152">
        <f t="shared" si="2"/>
        <v>1128</v>
      </c>
      <c r="G18" s="152">
        <f t="shared" si="2"/>
        <v>1538</v>
      </c>
      <c r="H18" s="152">
        <f t="shared" si="2"/>
        <v>58</v>
      </c>
      <c r="I18" s="153">
        <f>SUM(B18:H18)</f>
        <v>2990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[4]AirTran!$DY$8</f>
        <v>0</v>
      </c>
      <c r="C20" s="150">
        <f>[4]Frontier!$DY$8</f>
        <v>0</v>
      </c>
      <c r="D20" s="150">
        <f>'[4]Great Lakes'!$DY$8</f>
        <v>0</v>
      </c>
      <c r="E20" s="150">
        <f>[4]Icelandair!$DY$8</f>
        <v>0</v>
      </c>
      <c r="F20" s="122">
        <f>[4]Southwest!$DY$8</f>
        <v>1</v>
      </c>
      <c r="G20" s="122">
        <f>'[4]Sun Country'!$DY$8</f>
        <v>44</v>
      </c>
      <c r="H20" s="122">
        <f>[4]Alaska!$DY$8</f>
        <v>0</v>
      </c>
      <c r="I20" s="151">
        <f>SUM(B20:H20)</f>
        <v>45</v>
      </c>
    </row>
    <row r="21" spans="1:256" x14ac:dyDescent="0.2">
      <c r="A21" s="65" t="s">
        <v>29</v>
      </c>
      <c r="B21" s="14">
        <f>[4]AirTran!$DY$9</f>
        <v>0</v>
      </c>
      <c r="C21" s="150">
        <f>[4]Frontier!$DY$9</f>
        <v>0</v>
      </c>
      <c r="D21" s="150">
        <f>'[4]Great Lakes'!$DY$9</f>
        <v>0</v>
      </c>
      <c r="E21" s="150">
        <f>[4]Icelandair!$DY$9</f>
        <v>0</v>
      </c>
      <c r="F21" s="122">
        <f>[4]Southwest!$DY$9</f>
        <v>0</v>
      </c>
      <c r="G21" s="122">
        <f>'[4]Sun Country'!$DY$9</f>
        <v>40</v>
      </c>
      <c r="H21" s="122">
        <f>[4]Alaska!$DY$9</f>
        <v>0</v>
      </c>
      <c r="I21" s="151">
        <f>SUM(B21:H21)</f>
        <v>40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1</v>
      </c>
      <c r="G22" s="152">
        <f t="shared" si="3"/>
        <v>84</v>
      </c>
      <c r="H22" s="152">
        <f t="shared" si="3"/>
        <v>0</v>
      </c>
      <c r="I22" s="153">
        <f>SUM(B22:H22)</f>
        <v>85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112</v>
      </c>
      <c r="D23" s="154">
        <f t="shared" si="4"/>
        <v>154</v>
      </c>
      <c r="E23" s="154">
        <f t="shared" si="4"/>
        <v>0</v>
      </c>
      <c r="F23" s="154">
        <f t="shared" si="4"/>
        <v>1129</v>
      </c>
      <c r="G23" s="154">
        <f t="shared" si="4"/>
        <v>1622</v>
      </c>
      <c r="H23" s="154">
        <f t="shared" si="4"/>
        <v>58</v>
      </c>
      <c r="I23" s="155">
        <f>SUM(B23:H23)</f>
        <v>3075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7"/>
      <c r="C25" s="457"/>
      <c r="D25" s="457"/>
      <c r="E25" s="457"/>
      <c r="F25" s="457"/>
      <c r="G25" s="457"/>
      <c r="H25" s="457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[4]AirTran!$DY$47</f>
        <v>0</v>
      </c>
      <c r="C28" s="150">
        <f>[4]Frontier!$DY$47</f>
        <v>0</v>
      </c>
      <c r="D28" s="150">
        <f>'[4]Great Lakes'!$DY$47</f>
        <v>0</v>
      </c>
      <c r="E28" s="150">
        <f>[4]Icelandair!$DY$47</f>
        <v>0</v>
      </c>
      <c r="F28" s="122">
        <f>[4]Southwest!$DY$47</f>
        <v>182388</v>
      </c>
      <c r="G28" s="122">
        <f>'[4]Sun Country'!$DY$47</f>
        <v>67497</v>
      </c>
      <c r="H28" s="122">
        <f>[4]Alaska!$DY$47</f>
        <v>657</v>
      </c>
      <c r="I28" s="151">
        <f>SUM(B28:H28)</f>
        <v>250542</v>
      </c>
    </row>
    <row r="29" spans="1:256" x14ac:dyDescent="0.2">
      <c r="A29" s="65" t="s">
        <v>41</v>
      </c>
      <c r="B29" s="14">
        <f>[4]AirTran!$DY$48</f>
        <v>0</v>
      </c>
      <c r="C29" s="150">
        <f>[4]Frontier!$DY$48</f>
        <v>0</v>
      </c>
      <c r="D29" s="150">
        <f>'[4]Great Lakes'!$DY$48</f>
        <v>0</v>
      </c>
      <c r="E29" s="150">
        <f>[4]Icelandair!$DY$48</f>
        <v>0</v>
      </c>
      <c r="F29" s="122">
        <f>[4]Southwest!$DY$48</f>
        <v>0</v>
      </c>
      <c r="G29" s="122">
        <f>'[4]Sun Country'!$DY$48</f>
        <v>155790</v>
      </c>
      <c r="H29" s="122">
        <f>[4]Alaska!$DY$48</f>
        <v>0</v>
      </c>
      <c r="I29" s="151">
        <f>SUM(B29:H29)</f>
        <v>155790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0</v>
      </c>
      <c r="E30" s="166">
        <f t="shared" si="5"/>
        <v>0</v>
      </c>
      <c r="F30" s="166">
        <f t="shared" si="5"/>
        <v>182388</v>
      </c>
      <c r="G30" s="166">
        <f t="shared" si="5"/>
        <v>223287</v>
      </c>
      <c r="H30" s="166">
        <f t="shared" si="5"/>
        <v>657</v>
      </c>
      <c r="I30" s="169">
        <f>SUM(B30:H30)</f>
        <v>406332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[4]AirTran!$DY$52</f>
        <v>0</v>
      </c>
      <c r="C33" s="150">
        <f>[4]Frontier!$DY$52</f>
        <v>0</v>
      </c>
      <c r="D33" s="150">
        <f>'[4]Great Lakes'!$DY$52</f>
        <v>0</v>
      </c>
      <c r="E33" s="150">
        <f>[4]Icelandair!$DY$52</f>
        <v>0</v>
      </c>
      <c r="F33" s="122">
        <f>[4]Southwest!$DY$52</f>
        <v>119535</v>
      </c>
      <c r="G33" s="122">
        <f>'[4]Sun Country'!$DY$52</f>
        <v>57004</v>
      </c>
      <c r="H33" s="122">
        <f>[4]Alaska!$DY$52</f>
        <v>1093</v>
      </c>
      <c r="I33" s="151">
        <f>SUM(B33:H33)</f>
        <v>177632</v>
      </c>
    </row>
    <row r="34" spans="1:9" x14ac:dyDescent="0.2">
      <c r="A34" s="65" t="s">
        <v>41</v>
      </c>
      <c r="B34" s="14">
        <f>[4]AirTran!$DY$53</f>
        <v>0</v>
      </c>
      <c r="C34" s="150">
        <f>[4]Frontier!$DY$53</f>
        <v>0</v>
      </c>
      <c r="D34" s="150">
        <f>'[4]Great Lakes'!$DY$53</f>
        <v>0</v>
      </c>
      <c r="E34" s="150">
        <f>[4]Icelandair!$DY$53</f>
        <v>0</v>
      </c>
      <c r="F34" s="122">
        <f>[4]Southwest!$DY$53</f>
        <v>0</v>
      </c>
      <c r="G34" s="122">
        <f>'[4]Sun Country'!$DY$53</f>
        <v>365454</v>
      </c>
      <c r="H34" s="122">
        <f>[4]Alaska!$DY$53</f>
        <v>0</v>
      </c>
      <c r="I34" s="167">
        <f>SUM(B34:H34)</f>
        <v>365454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119535</v>
      </c>
      <c r="G35" s="168">
        <f t="shared" si="6"/>
        <v>422458</v>
      </c>
      <c r="H35" s="168">
        <f t="shared" si="6"/>
        <v>1093</v>
      </c>
      <c r="I35" s="169">
        <f>SUM(B35:H35)</f>
        <v>543086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[4]AirTran!$DY$57</f>
        <v>0</v>
      </c>
      <c r="C38" s="158">
        <f>[4]Frontier!$DY$57</f>
        <v>0</v>
      </c>
      <c r="D38" s="158">
        <f>'[4]Great Lakes'!$DY$57</f>
        <v>0</v>
      </c>
      <c r="E38" s="158">
        <f>[4]Icelandair!$DY$57</f>
        <v>0</v>
      </c>
      <c r="F38" s="158">
        <f>[4]Southwest!$DY$57</f>
        <v>0</v>
      </c>
      <c r="G38" s="158">
        <f>'[4]Sun Country'!$DY$57</f>
        <v>0</v>
      </c>
      <c r="H38" s="158">
        <f>[4]Alaska!$DY$57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[4]AirTran!$DY$58</f>
        <v>0</v>
      </c>
      <c r="C39" s="161">
        <f>[4]Frontier!$DY$58</f>
        <v>0</v>
      </c>
      <c r="D39" s="161">
        <f>'[4]Great Lakes'!$DY$58</f>
        <v>0</v>
      </c>
      <c r="E39" s="161">
        <f>[4]Icelandair!$DY$58</f>
        <v>0</v>
      </c>
      <c r="F39" s="161">
        <f>[4]Southwest!$DY$58</f>
        <v>0</v>
      </c>
      <c r="G39" s="161">
        <f>'[4]Sun Country'!$DY$58</f>
        <v>0</v>
      </c>
      <c r="H39" s="161">
        <f>[4]Alaska!$DY$58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0</v>
      </c>
      <c r="E43" s="158">
        <f t="shared" si="8"/>
        <v>0</v>
      </c>
      <c r="F43" s="158">
        <f t="shared" si="8"/>
        <v>301923</v>
      </c>
      <c r="G43" s="158">
        <f t="shared" si="8"/>
        <v>124501</v>
      </c>
      <c r="H43" s="158">
        <f t="shared" si="8"/>
        <v>1750</v>
      </c>
      <c r="I43" s="151">
        <f>SUM(B43:H43)</f>
        <v>428174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521244</v>
      </c>
      <c r="H44" s="161">
        <f t="shared" si="9"/>
        <v>0</v>
      </c>
      <c r="I44" s="151">
        <f>SUM(B44:H44)</f>
        <v>521244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0</v>
      </c>
      <c r="E45" s="171">
        <f t="shared" si="10"/>
        <v>0</v>
      </c>
      <c r="F45" s="171">
        <f t="shared" si="10"/>
        <v>301923</v>
      </c>
      <c r="G45" s="171">
        <f t="shared" si="10"/>
        <v>645745</v>
      </c>
      <c r="H45" s="171">
        <f t="shared" si="10"/>
        <v>1750</v>
      </c>
      <c r="I45" s="172">
        <f>SUM(B45:H45)</f>
        <v>949418</v>
      </c>
    </row>
    <row r="48" spans="1:9" x14ac:dyDescent="0.2">
      <c r="A48" s="410" t="s">
        <v>136</v>
      </c>
      <c r="B48" s="424"/>
      <c r="C48" s="424"/>
      <c r="D48" s="424"/>
      <c r="F48" s="333">
        <f>[4]Southwest!$DY$70+[4]Southwest!$DY$73</f>
        <v>66193</v>
      </c>
      <c r="G48" s="333">
        <f>'[4]Sun Country'!$DY$70+'[4]Sun Country'!$DY$73</f>
        <v>96714</v>
      </c>
      <c r="H48" s="424"/>
      <c r="I48" s="321">
        <f>SUM(B48:H48)</f>
        <v>162907</v>
      </c>
    </row>
    <row r="49" spans="1:9" x14ac:dyDescent="0.2">
      <c r="A49" s="426" t="s">
        <v>137</v>
      </c>
      <c r="B49" s="424"/>
      <c r="C49" s="424"/>
      <c r="D49" s="424"/>
      <c r="F49" s="333">
        <f>[4]Southwest!$DY$71+[4]Southwest!$DY$74</f>
        <v>442</v>
      </c>
      <c r="G49" s="333">
        <f>'[4]Sun Country'!$DY$71+'[4]Sun Country'!$DY$74</f>
        <v>2085</v>
      </c>
      <c r="H49" s="424"/>
      <c r="I49" s="321">
        <f>SUM(B49:H49)</f>
        <v>2527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February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activeCell="F12" sqref="F1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22"/>
    </row>
    <row r="2" spans="1:11" s="7" customFormat="1" ht="39" thickBot="1" x14ac:dyDescent="0.25">
      <c r="A2" s="415">
        <v>42036</v>
      </c>
      <c r="B2" s="19" t="s">
        <v>193</v>
      </c>
      <c r="C2" s="19" t="s">
        <v>198</v>
      </c>
      <c r="D2" s="19" t="s">
        <v>212</v>
      </c>
      <c r="E2" s="19" t="s">
        <v>197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9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[4]Pinnacle!$DY$22+[4]Pinnacle!$DY$32</f>
        <v>135508</v>
      </c>
      <c r="C5" s="136">
        <f>[4]Chautaqua_Continental!$DY$22</f>
        <v>0</v>
      </c>
      <c r="D5" s="136">
        <f>[4]Chautaqua_AA!$DY$22</f>
        <v>0</v>
      </c>
      <c r="E5" s="136">
        <f>[4]MESA_UA!$DY$22</f>
        <v>5403</v>
      </c>
      <c r="F5" s="134">
        <f>'[4]Sky West'!$DY$22+'[4]Sky West'!$DY$32</f>
        <v>71566</v>
      </c>
      <c r="G5" s="134">
        <f>'[4]Sky West_UA'!$DY$22</f>
        <v>10167</v>
      </c>
      <c r="H5" s="134">
        <f>[4]Republic!$DY$22</f>
        <v>861</v>
      </c>
      <c r="I5" s="134">
        <f>'[4]American Eagle'!$DY$22</f>
        <v>5752</v>
      </c>
      <c r="J5" s="134">
        <f>'Other Regional'!L5</f>
        <v>87606</v>
      </c>
      <c r="K5" s="113">
        <f>SUM(B5:J5)</f>
        <v>316863</v>
      </c>
    </row>
    <row r="6" spans="1:11" s="10" customFormat="1" x14ac:dyDescent="0.2">
      <c r="A6" s="65" t="s">
        <v>34</v>
      </c>
      <c r="B6" s="135">
        <f>[4]Pinnacle!$DY$23+[4]Pinnacle!$DY$33</f>
        <v>134462</v>
      </c>
      <c r="C6" s="136">
        <f>[4]Chautaqua_Continental!$DY$23</f>
        <v>0</v>
      </c>
      <c r="D6" s="136">
        <f>[4]Chautaqua_AA!$DY$23</f>
        <v>0</v>
      </c>
      <c r="E6" s="136">
        <f>[4]MESA_UA!$DY$23</f>
        <v>5193</v>
      </c>
      <c r="F6" s="134">
        <f>'[4]Sky West'!$DY$23+'[4]Sky West'!$DY$33</f>
        <v>69312</v>
      </c>
      <c r="G6" s="134">
        <f>'[4]Sky West_UA'!$DY$23</f>
        <v>9451</v>
      </c>
      <c r="H6" s="134">
        <f>[4]Republic!$DY$23</f>
        <v>819</v>
      </c>
      <c r="I6" s="134">
        <f>'[4]American Eagle'!$DY$23</f>
        <v>5292</v>
      </c>
      <c r="J6" s="134">
        <f>'Other Regional'!L6</f>
        <v>90492</v>
      </c>
      <c r="K6" s="119">
        <f>SUM(B6:J6)</f>
        <v>315021</v>
      </c>
    </row>
    <row r="7" spans="1:11" ht="15" thickBot="1" x14ac:dyDescent="0.25">
      <c r="A7" s="76" t="s">
        <v>7</v>
      </c>
      <c r="B7" s="137">
        <f>SUM(B5:B6)</f>
        <v>269970</v>
      </c>
      <c r="C7" s="137">
        <f t="shared" ref="C7:J7" si="0">SUM(C5:C6)</f>
        <v>0</v>
      </c>
      <c r="D7" s="137">
        <f>SUM(D5:D6)</f>
        <v>0</v>
      </c>
      <c r="E7" s="137">
        <f t="shared" si="0"/>
        <v>10596</v>
      </c>
      <c r="F7" s="137">
        <f t="shared" si="0"/>
        <v>140878</v>
      </c>
      <c r="G7" s="137">
        <f t="shared" si="0"/>
        <v>19618</v>
      </c>
      <c r="H7" s="137">
        <f t="shared" si="0"/>
        <v>1680</v>
      </c>
      <c r="I7" s="137">
        <f t="shared" si="0"/>
        <v>11044</v>
      </c>
      <c r="J7" s="137">
        <f t="shared" si="0"/>
        <v>178098</v>
      </c>
      <c r="K7" s="138">
        <f>SUM(B7:J7)</f>
        <v>631884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[4]Pinnacle!$DY$27+[4]Pinnacle!$DY$37</f>
        <v>4521</v>
      </c>
      <c r="C10" s="136">
        <f>[4]Chautaqua_Continental!$DY$27</f>
        <v>0</v>
      </c>
      <c r="D10" s="136">
        <f>[4]Chautaqua_AA!$DY$27</f>
        <v>0</v>
      </c>
      <c r="E10" s="136">
        <f>[4]MESA_UA!$DY$27</f>
        <v>131</v>
      </c>
      <c r="F10" s="134">
        <f>'[4]Sky West'!$DY$27+'[4]Sky West'!$DY$37</f>
        <v>2606</v>
      </c>
      <c r="G10" s="134">
        <f>'[4]Sky West_UA'!$DY$27</f>
        <v>225</v>
      </c>
      <c r="H10" s="134">
        <f>[4]Republic!$DY$27</f>
        <v>0</v>
      </c>
      <c r="I10" s="134">
        <f>'[4]American Eagle'!$DY$27</f>
        <v>97</v>
      </c>
      <c r="J10" s="134">
        <f>'Other Regional'!L10</f>
        <v>2852</v>
      </c>
      <c r="K10" s="113">
        <f>SUM(B10:J10)</f>
        <v>10432</v>
      </c>
    </row>
    <row r="11" spans="1:11" x14ac:dyDescent="0.2">
      <c r="A11" s="65" t="s">
        <v>36</v>
      </c>
      <c r="B11" s="135">
        <f>[4]Pinnacle!$DY$28+[4]Pinnacle!$DY$38</f>
        <v>4598</v>
      </c>
      <c r="C11" s="136">
        <f>[4]Chautaqua_Continental!$DY$28</f>
        <v>0</v>
      </c>
      <c r="D11" s="136">
        <f>[4]Chautaqua_AA!$DY$28</f>
        <v>0</v>
      </c>
      <c r="E11" s="136">
        <f>[4]MESA_UA!$DY$28</f>
        <v>173</v>
      </c>
      <c r="F11" s="134">
        <f>'[4]Sky West'!$DY$28+'[4]Sky West'!$DY$38</f>
        <v>2889</v>
      </c>
      <c r="G11" s="134">
        <f>'[4]Sky West_UA'!$DY$28</f>
        <v>276</v>
      </c>
      <c r="H11" s="134">
        <f>[4]Republic!$DY$28</f>
        <v>0</v>
      </c>
      <c r="I11" s="134">
        <f>'[4]American Eagle'!$DY$28</f>
        <v>78</v>
      </c>
      <c r="J11" s="134">
        <f>'Other Regional'!L11</f>
        <v>2601</v>
      </c>
      <c r="K11" s="119">
        <f>SUM(B11:J11)</f>
        <v>10615</v>
      </c>
    </row>
    <row r="12" spans="1:11" ht="15" thickBot="1" x14ac:dyDescent="0.25">
      <c r="A12" s="77" t="s">
        <v>37</v>
      </c>
      <c r="B12" s="140">
        <f t="shared" ref="B12:J12" si="1">SUM(B10:B11)</f>
        <v>9119</v>
      </c>
      <c r="C12" s="140">
        <f t="shared" si="1"/>
        <v>0</v>
      </c>
      <c r="D12" s="140">
        <f>SUM(D10:D11)</f>
        <v>0</v>
      </c>
      <c r="E12" s="140">
        <f t="shared" si="1"/>
        <v>304</v>
      </c>
      <c r="F12" s="140">
        <f t="shared" si="1"/>
        <v>5495</v>
      </c>
      <c r="G12" s="140">
        <f t="shared" si="1"/>
        <v>501</v>
      </c>
      <c r="H12" s="140">
        <f t="shared" si="1"/>
        <v>0</v>
      </c>
      <c r="I12" s="140">
        <f t="shared" si="1"/>
        <v>175</v>
      </c>
      <c r="J12" s="140">
        <f t="shared" si="1"/>
        <v>5453</v>
      </c>
      <c r="K12" s="141">
        <f>SUM(B12:J12)</f>
        <v>21047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2">SUM(B14:J14)</f>
        <v>0</v>
      </c>
    </row>
    <row r="15" spans="1:11" x14ac:dyDescent="0.2">
      <c r="A15" s="65" t="s">
        <v>59</v>
      </c>
      <c r="B15" s="22">
        <f>[4]Pinnacle!$DY$4+[4]Pinnacle!$DY$15</f>
        <v>2551</v>
      </c>
      <c r="C15" s="111">
        <f>[4]Chautaqua_Continental!$DY$4</f>
        <v>0</v>
      </c>
      <c r="D15" s="111">
        <f>[4]Chautaqua_AA!$DY$4</f>
        <v>0</v>
      </c>
      <c r="E15" s="111">
        <f>[4]MESA_UA!$DY$4</f>
        <v>85</v>
      </c>
      <c r="F15" s="109">
        <f>'[4]Sky West'!$DY$4+'[4]Sky West'!$DY$15</f>
        <v>1697</v>
      </c>
      <c r="G15" s="109">
        <f>'[4]Sky West_UA'!$DY$4</f>
        <v>156</v>
      </c>
      <c r="H15" s="112">
        <f>[4]Republic!$DY$4</f>
        <v>12</v>
      </c>
      <c r="I15" s="112">
        <f>'[4]American Eagle'!$DY$4</f>
        <v>94</v>
      </c>
      <c r="J15" s="110">
        <f>'Other Regional'!L15</f>
        <v>1677</v>
      </c>
      <c r="K15" s="113">
        <f t="shared" si="2"/>
        <v>6272</v>
      </c>
    </row>
    <row r="16" spans="1:11" x14ac:dyDescent="0.2">
      <c r="A16" s="65" t="s">
        <v>60</v>
      </c>
      <c r="B16" s="14">
        <f>[4]Pinnacle!$DY$5+[4]Pinnacle!$DY$16</f>
        <v>2549</v>
      </c>
      <c r="C16" s="116">
        <f>[4]Chautaqua_Continental!$DY$5</f>
        <v>0</v>
      </c>
      <c r="D16" s="116">
        <f>[4]Chautaqua_AA!$DY$5</f>
        <v>0</v>
      </c>
      <c r="E16" s="116">
        <f>[4]MESA_UA!$DY$5</f>
        <v>85</v>
      </c>
      <c r="F16" s="114">
        <f>'[4]Sky West'!$DY$5+'[4]Sky West'!$DY$16</f>
        <v>1695</v>
      </c>
      <c r="G16" s="114">
        <f>'[4]Sky West_UA'!$DY$5</f>
        <v>156</v>
      </c>
      <c r="H16" s="117">
        <f>[4]Republic!$DY$5</f>
        <v>13</v>
      </c>
      <c r="I16" s="117">
        <f>'[4]American Eagle'!$DY$5</f>
        <v>91</v>
      </c>
      <c r="J16" s="115">
        <f>'Other Regional'!L16</f>
        <v>1681</v>
      </c>
      <c r="K16" s="119">
        <f t="shared" si="2"/>
        <v>6270</v>
      </c>
    </row>
    <row r="17" spans="1:11" x14ac:dyDescent="0.2">
      <c r="A17" s="74" t="s">
        <v>61</v>
      </c>
      <c r="B17" s="120">
        <f t="shared" ref="B17:I17" si="3">SUM(B15:B16)</f>
        <v>5100</v>
      </c>
      <c r="C17" s="120">
        <f t="shared" si="3"/>
        <v>0</v>
      </c>
      <c r="D17" s="120">
        <f>SUM(D15:D16)</f>
        <v>0</v>
      </c>
      <c r="E17" s="120">
        <f t="shared" si="3"/>
        <v>170</v>
      </c>
      <c r="F17" s="120">
        <f t="shared" si="3"/>
        <v>3392</v>
      </c>
      <c r="G17" s="120">
        <f t="shared" si="3"/>
        <v>312</v>
      </c>
      <c r="H17" s="120">
        <f t="shared" si="3"/>
        <v>25</v>
      </c>
      <c r="I17" s="120">
        <f t="shared" si="3"/>
        <v>185</v>
      </c>
      <c r="J17" s="120">
        <f>SUM(J15:J16)</f>
        <v>3358</v>
      </c>
      <c r="K17" s="121">
        <f t="shared" si="2"/>
        <v>12542</v>
      </c>
    </row>
    <row r="18" spans="1:11" x14ac:dyDescent="0.2">
      <c r="A18" s="65" t="s">
        <v>62</v>
      </c>
      <c r="B18" s="122">
        <f>[4]Pinnacle!$DY$8</f>
        <v>0</v>
      </c>
      <c r="C18" s="123">
        <f>[4]Chautaqua_Continental!$DY$8</f>
        <v>0</v>
      </c>
      <c r="D18" s="123">
        <f>[4]Chautaqua_AA!$DY$8</f>
        <v>0</v>
      </c>
      <c r="E18" s="123">
        <f>[4]MESA_UA!$DY$8</f>
        <v>0</v>
      </c>
      <c r="F18" s="122">
        <f>'[4]Sky West'!$DY$8</f>
        <v>0</v>
      </c>
      <c r="G18" s="122">
        <f>'[4]Sky West_UA'!$DY$8</f>
        <v>0</v>
      </c>
      <c r="H18" s="122">
        <f>[4]Republic!$DY$8</f>
        <v>0</v>
      </c>
      <c r="I18" s="122">
        <f>'[4]American Eagle'!$DY$8</f>
        <v>0</v>
      </c>
      <c r="J18" s="122">
        <f>'Other Regional'!L18</f>
        <v>2</v>
      </c>
      <c r="K18" s="113">
        <f t="shared" si="2"/>
        <v>2</v>
      </c>
    </row>
    <row r="19" spans="1:11" x14ac:dyDescent="0.2">
      <c r="A19" s="65" t="s">
        <v>63</v>
      </c>
      <c r="B19" s="124">
        <f>[4]Pinnacle!$DY$9</f>
        <v>2</v>
      </c>
      <c r="C19" s="125">
        <f>[4]Chautaqua_Continental!$DY$9</f>
        <v>0</v>
      </c>
      <c r="D19" s="125">
        <f>[4]Chautaqua_AA!$DY$9</f>
        <v>0</v>
      </c>
      <c r="E19" s="125">
        <f>[4]MESA_UA!$DY$9</f>
        <v>0</v>
      </c>
      <c r="F19" s="124">
        <f>'[4]Sky West'!$DY$9</f>
        <v>6</v>
      </c>
      <c r="G19" s="124">
        <f>'[4]Sky West_UA'!$DY$9</f>
        <v>0</v>
      </c>
      <c r="H19" s="124">
        <f>[4]Republic!$DY$9</f>
        <v>0</v>
      </c>
      <c r="I19" s="124">
        <f>'[4]American Eagle'!$DY$9</f>
        <v>0</v>
      </c>
      <c r="J19" s="124">
        <f>'Other Regional'!L19</f>
        <v>4</v>
      </c>
      <c r="K19" s="119">
        <f t="shared" si="2"/>
        <v>12</v>
      </c>
    </row>
    <row r="20" spans="1:11" x14ac:dyDescent="0.2">
      <c r="A20" s="74" t="s">
        <v>64</v>
      </c>
      <c r="B20" s="120">
        <f t="shared" ref="B20:J20" si="4">SUM(B18:B19)</f>
        <v>2</v>
      </c>
      <c r="C20" s="120">
        <f t="shared" si="4"/>
        <v>0</v>
      </c>
      <c r="D20" s="120">
        <f>SUM(D18:D19)</f>
        <v>0</v>
      </c>
      <c r="E20" s="120">
        <f t="shared" si="4"/>
        <v>0</v>
      </c>
      <c r="F20" s="120">
        <f t="shared" si="4"/>
        <v>6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6</v>
      </c>
      <c r="K20" s="121">
        <f t="shared" si="2"/>
        <v>14</v>
      </c>
    </row>
    <row r="21" spans="1:11" ht="15.75" thickBot="1" x14ac:dyDescent="0.3">
      <c r="A21" s="75" t="s">
        <v>31</v>
      </c>
      <c r="B21" s="126">
        <f t="shared" ref="B21:I21" si="5">SUM(B20,B17)</f>
        <v>5102</v>
      </c>
      <c r="C21" s="126">
        <f t="shared" si="5"/>
        <v>0</v>
      </c>
      <c r="D21" s="126">
        <f>SUM(D20,D17)</f>
        <v>0</v>
      </c>
      <c r="E21" s="126">
        <f t="shared" si="5"/>
        <v>170</v>
      </c>
      <c r="F21" s="126">
        <f t="shared" si="5"/>
        <v>3398</v>
      </c>
      <c r="G21" s="126">
        <f t="shared" si="5"/>
        <v>312</v>
      </c>
      <c r="H21" s="126">
        <f t="shared" si="5"/>
        <v>25</v>
      </c>
      <c r="I21" s="126">
        <f t="shared" si="5"/>
        <v>185</v>
      </c>
      <c r="J21" s="126">
        <f>SUM(J20,J17)</f>
        <v>3364</v>
      </c>
      <c r="K21" s="127">
        <f t="shared" si="2"/>
        <v>12556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[4]Pinnacle!$DY$47</f>
        <v>0</v>
      </c>
      <c r="C25" s="136">
        <f>[4]Chautaqua_Continental!$DY$47</f>
        <v>0</v>
      </c>
      <c r="D25" s="136">
        <f>[4]Chautaqua_AA!$DY$47</f>
        <v>0</v>
      </c>
      <c r="E25" s="136">
        <f>[4]MESA_UA!$DY$47</f>
        <v>0</v>
      </c>
      <c r="F25" s="134">
        <f>'[4]Sky West'!$DY$47</f>
        <v>0</v>
      </c>
      <c r="G25" s="134">
        <f>'[4]Sky West_UA'!$DY$47</f>
        <v>0</v>
      </c>
      <c r="H25" s="134">
        <f>[4]Republic!$DY$47</f>
        <v>0</v>
      </c>
      <c r="I25" s="134">
        <f>'[4]American Eagle'!$DY$47</f>
        <v>47</v>
      </c>
      <c r="J25" s="134">
        <f>'Other Regional'!L25</f>
        <v>0</v>
      </c>
      <c r="K25" s="113">
        <f>SUM(B25:J25)</f>
        <v>47</v>
      </c>
    </row>
    <row r="26" spans="1:11" x14ac:dyDescent="0.2">
      <c r="A26" s="78" t="s">
        <v>41</v>
      </c>
      <c r="B26" s="134">
        <f>[4]Pinnacle!$DY$48</f>
        <v>0</v>
      </c>
      <c r="C26" s="136">
        <f>[4]Chautaqua_Continental!$DY$48</f>
        <v>0</v>
      </c>
      <c r="D26" s="136">
        <f>[4]Chautaqua_AA!$DY$48</f>
        <v>0</v>
      </c>
      <c r="E26" s="136">
        <f>[4]MESA_UA!$DY$48</f>
        <v>0</v>
      </c>
      <c r="F26" s="134">
        <f>'[4]Sky West'!$DY$48</f>
        <v>0</v>
      </c>
      <c r="G26" s="134">
        <f>'[4]Sky West_UA'!$DY$48</f>
        <v>0</v>
      </c>
      <c r="H26" s="134">
        <f>[4]Republic!$DY$48</f>
        <v>0</v>
      </c>
      <c r="I26" s="134">
        <f>'[4]American Eagle'!$DY$48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6">SUM(B25:B26)</f>
        <v>0</v>
      </c>
      <c r="C27" s="137">
        <f t="shared" si="6"/>
        <v>0</v>
      </c>
      <c r="D27" s="137">
        <f>SUM(D25:D26)</f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47</v>
      </c>
      <c r="J27" s="137">
        <f t="shared" si="6"/>
        <v>0</v>
      </c>
      <c r="K27" s="138">
        <f>SUM(B27:J27)</f>
        <v>47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[4]Pinnacle!$DY$52</f>
        <v>0</v>
      </c>
      <c r="C30" s="136">
        <f>[4]Chautaqua_Continental!$DY$52</f>
        <v>0</v>
      </c>
      <c r="D30" s="136">
        <f>[4]Chautaqua_AA!$DY$52</f>
        <v>0</v>
      </c>
      <c r="E30" s="136">
        <f>[4]MESA_UA!$DY$52</f>
        <v>0</v>
      </c>
      <c r="F30" s="134">
        <f>'[4]Sky West'!$DY$52</f>
        <v>0</v>
      </c>
      <c r="G30" s="134">
        <f>'[4]Sky West_UA'!$DY$52</f>
        <v>0</v>
      </c>
      <c r="H30" s="134">
        <f>[4]Republic!$DY$52</f>
        <v>0</v>
      </c>
      <c r="I30" s="134">
        <f>'[4]American Eagle'!$DY$52</f>
        <v>0</v>
      </c>
      <c r="J30" s="134">
        <f>'Other Regional'!L30</f>
        <v>0</v>
      </c>
      <c r="K30" s="113">
        <f t="shared" ref="K30:K37" si="7">SUM(B30:J30)</f>
        <v>0</v>
      </c>
    </row>
    <row r="31" spans="1:11" x14ac:dyDescent="0.2">
      <c r="A31" s="78" t="s">
        <v>66</v>
      </c>
      <c r="B31" s="134">
        <f>[4]Pinnacle!$DY$53</f>
        <v>0</v>
      </c>
      <c r="C31" s="136">
        <f>[4]Chautaqua_Continental!$DY$53</f>
        <v>0</v>
      </c>
      <c r="D31" s="136">
        <f>[4]Chautaqua_AA!$DY$53</f>
        <v>0</v>
      </c>
      <c r="E31" s="136">
        <f>[4]MESA_UA!$DY$53</f>
        <v>0</v>
      </c>
      <c r="F31" s="134">
        <f>'[4]Sky West'!$DY$53</f>
        <v>0</v>
      </c>
      <c r="G31" s="134">
        <f>'[4]Sky West_UA'!$DY$53</f>
        <v>0</v>
      </c>
      <c r="H31" s="134">
        <f>[4]Republic!$DY$53</f>
        <v>0</v>
      </c>
      <c r="I31" s="134">
        <f>'[4]American Eagle'!$DY$53</f>
        <v>0</v>
      </c>
      <c r="J31" s="134">
        <f>'Other Regional'!L31</f>
        <v>0</v>
      </c>
      <c r="K31" s="113">
        <f t="shared" si="7"/>
        <v>0</v>
      </c>
    </row>
    <row r="32" spans="1:11" ht="15" thickBot="1" x14ac:dyDescent="0.25">
      <c r="A32" s="76" t="s">
        <v>44</v>
      </c>
      <c r="B32" s="137">
        <f t="shared" ref="B32:I32" si="8">SUM(B30:B31)</f>
        <v>0</v>
      </c>
      <c r="C32" s="137">
        <f t="shared" si="8"/>
        <v>0</v>
      </c>
      <c r="D32" s="137">
        <f>SUM(D30:D31)</f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>SUM(J30:J31)</f>
        <v>0</v>
      </c>
      <c r="K32" s="138">
        <f t="shared" si="7"/>
        <v>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7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7"/>
        <v>0</v>
      </c>
    </row>
    <row r="35" spans="1:11" ht="13.5" hidden="1" thickTop="1" x14ac:dyDescent="0.2">
      <c r="A35" s="78" t="s">
        <v>40</v>
      </c>
      <c r="B35" s="134">
        <f>[4]Pinnacle!$DY$57</f>
        <v>0</v>
      </c>
      <c r="C35" s="136">
        <f>[4]Chautaqua_Continental!$DY$57</f>
        <v>0</v>
      </c>
      <c r="D35" s="136">
        <f>[4]Chautaqua_AA!$DY$57</f>
        <v>0</v>
      </c>
      <c r="E35" s="136">
        <f>[4]MESA_UA!$DY$57</f>
        <v>0</v>
      </c>
      <c r="F35" s="134">
        <f>'[4]Sky West'!$DY$57</f>
        <v>0</v>
      </c>
      <c r="G35" s="134">
        <f>'[4]Sky West_UA'!$DY$57</f>
        <v>0</v>
      </c>
      <c r="H35" s="134">
        <f>[4]Republic!$DY$57</f>
        <v>0</v>
      </c>
      <c r="I35" s="134">
        <f>'[4]American Eagle'!$DY$57</f>
        <v>0</v>
      </c>
      <c r="J35" s="134">
        <f>'Other Regional'!L35</f>
        <v>0</v>
      </c>
      <c r="K35" s="113">
        <f t="shared" si="7"/>
        <v>0</v>
      </c>
    </row>
    <row r="36" spans="1:11" ht="13.5" hidden="1" thickTop="1" x14ac:dyDescent="0.2">
      <c r="A36" s="78" t="s">
        <v>41</v>
      </c>
      <c r="B36" s="134">
        <f>[4]Pinnacle!$DY$58</f>
        <v>0</v>
      </c>
      <c r="C36" s="136">
        <f>[4]Chautaqua_Continental!$DY$58</f>
        <v>0</v>
      </c>
      <c r="D36" s="136">
        <f>[4]Chautaqua_AA!$DY$58</f>
        <v>0</v>
      </c>
      <c r="E36" s="136">
        <f>[4]MESA_UA!$DY$58</f>
        <v>0</v>
      </c>
      <c r="F36" s="134">
        <f>'[4]Sky West'!$DY$58</f>
        <v>0</v>
      </c>
      <c r="G36" s="134">
        <f>'[4]Sky West_UA'!$DY$58</f>
        <v>0</v>
      </c>
      <c r="H36" s="134">
        <f>[4]Republic!$DY$58</f>
        <v>0</v>
      </c>
      <c r="I36" s="134">
        <f>'[4]American Eagle'!$DY$58</f>
        <v>0</v>
      </c>
      <c r="J36" s="134">
        <f>'Other Regional'!L36</f>
        <v>0</v>
      </c>
      <c r="K36" s="113">
        <f t="shared" si="7"/>
        <v>0</v>
      </c>
    </row>
    <row r="37" spans="1:11" ht="13.5" hidden="1" thickTop="1" x14ac:dyDescent="0.2">
      <c r="A37" s="79" t="s">
        <v>46</v>
      </c>
      <c r="B37" s="145">
        <f t="shared" ref="B37:I37" si="9">SUM(B35:B36)</f>
        <v>0</v>
      </c>
      <c r="C37" s="145">
        <f t="shared" si="9"/>
        <v>0</v>
      </c>
      <c r="D37" s="145">
        <f>SUM(D35:D36)</f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>SUM(J35:J36)</f>
        <v>0</v>
      </c>
      <c r="K37" s="147">
        <f t="shared" si="7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0">SUM(B35,B30,B25)</f>
        <v>0</v>
      </c>
      <c r="C40" s="134">
        <f t="shared" si="10"/>
        <v>0</v>
      </c>
      <c r="D40" s="134">
        <f t="shared" ref="D40:E42" si="11">SUM(D35,D30,D25)</f>
        <v>0</v>
      </c>
      <c r="E40" s="134">
        <f t="shared" si="11"/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>SUM(I35,I30,I25)</f>
        <v>47</v>
      </c>
      <c r="J40" s="134">
        <f>J35+J30+J25</f>
        <v>0</v>
      </c>
      <c r="K40" s="113">
        <f>SUM(B40:J40)</f>
        <v>47</v>
      </c>
    </row>
    <row r="41" spans="1:11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1"/>
        <v>0</v>
      </c>
      <c r="E41" s="134">
        <f t="shared" si="11"/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1"/>
        <v>0</v>
      </c>
      <c r="E42" s="140">
        <f t="shared" si="11"/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>SUM(I37,I32,I27)</f>
        <v>47</v>
      </c>
      <c r="J42" s="140">
        <f>SUM(J37,J32,J27)</f>
        <v>0</v>
      </c>
      <c r="K42" s="141">
        <f>SUM(B42:J42)</f>
        <v>47</v>
      </c>
    </row>
    <row r="44" spans="1:11" x14ac:dyDescent="0.2">
      <c r="A44" s="410" t="s">
        <v>136</v>
      </c>
      <c r="B44" s="332">
        <f>[4]Pinnacle!$DY$70+[4]Pinnacle!$DY$73</f>
        <v>38860</v>
      </c>
      <c r="F44" s="333">
        <f>'[4]Sky West'!$DY$70+'[4]Sky West'!$DY$73</f>
        <v>16496</v>
      </c>
      <c r="G44" s="333">
        <f>'[4]Sky West_UA'!$DY$70+'[4]Sky West_UA'!$DY$73</f>
        <v>0</v>
      </c>
      <c r="J44" s="333">
        <f>+'Other Regional'!L46</f>
        <v>30011</v>
      </c>
      <c r="K44" s="321">
        <f>SUM(B44:J44)</f>
        <v>85367</v>
      </c>
    </row>
    <row r="45" spans="1:11" x14ac:dyDescent="0.2">
      <c r="A45" s="426" t="s">
        <v>137</v>
      </c>
      <c r="B45" s="332">
        <f>[4]Pinnacle!$DY$71+[4]Pinnacle!$DY$74</f>
        <v>95602</v>
      </c>
      <c r="F45" s="333">
        <f>'[4]Sky West'!$DY$71+'[4]Sky West'!$DY$74</f>
        <v>52816</v>
      </c>
      <c r="G45" s="333">
        <f>'[4]Sky West_UA'!$DY$71+'[4]Sky West_UA'!$DY$74</f>
        <v>0</v>
      </c>
      <c r="J45" s="333">
        <f>+'Other Regional'!L47</f>
        <v>44704</v>
      </c>
      <c r="K45" s="321">
        <f>SUM(B45:J45)</f>
        <v>193122</v>
      </c>
    </row>
    <row r="46" spans="1:11" x14ac:dyDescent="0.2">
      <c r="A46" s="323" t="s">
        <v>138</v>
      </c>
      <c r="B46" s="324">
        <f>SUM(B44:B45)</f>
        <v>134462</v>
      </c>
      <c r="J46" s="2"/>
      <c r="K46" s="322"/>
    </row>
    <row r="47" spans="1:11" x14ac:dyDescent="0.2">
      <c r="A47" s="325"/>
      <c r="B47" s="326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February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I14" sqref="I1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22"/>
    </row>
    <row r="2" spans="1:12" s="7" customFormat="1" ht="55.5" customHeight="1" thickBot="1" x14ac:dyDescent="0.25">
      <c r="A2" s="415">
        <v>42036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199</v>
      </c>
      <c r="H2" s="19" t="s">
        <v>196</v>
      </c>
      <c r="I2" s="19" t="s">
        <v>213</v>
      </c>
      <c r="J2" s="19" t="s">
        <v>129</v>
      </c>
      <c r="K2" s="19" t="s">
        <v>200</v>
      </c>
      <c r="L2" s="301" t="s">
        <v>24</v>
      </c>
    </row>
    <row r="3" spans="1:12" ht="15.75" thickTop="1" x14ac:dyDescent="0.25">
      <c r="A3" s="289" t="s">
        <v>3</v>
      </c>
      <c r="B3" s="438"/>
      <c r="C3" s="438"/>
      <c r="D3" s="438"/>
      <c r="E3" s="438"/>
      <c r="F3" s="439"/>
      <c r="G3" s="439"/>
      <c r="H3" s="439"/>
      <c r="I3" s="439"/>
      <c r="J3" s="439"/>
      <c r="K3" s="438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'[4]Shuttle America'!$DY$22+'[4]Shuttle America'!$DY$32</f>
        <v>6029</v>
      </c>
      <c r="C5" s="135">
        <f>'[4]Shuttle America_Delta'!$DY$22+'[4]Shuttle America_Delta'!$DY$32</f>
        <v>10092</v>
      </c>
      <c r="D5" s="135">
        <f>[4]AirCanada!$DY$32</f>
        <v>2506</v>
      </c>
      <c r="E5" s="22">
        <f>[4]Compass!$DY$22+[4]Compass!$DY$32</f>
        <v>34899</v>
      </c>
      <c r="F5" s="135">
        <f>'[4]Atlantic Southeast'!$DY$22+'[4]Atlantic Southeast'!$DY$32</f>
        <v>26363</v>
      </c>
      <c r="G5" s="135">
        <f>'[4]Continental Express'!$DY$22</f>
        <v>4949</v>
      </c>
      <c r="H5" s="134">
        <f>'[4]Go Jet_UA'!$DY$22</f>
        <v>1994</v>
      </c>
      <c r="I5" s="22">
        <f>'[4]Go Jet'!$DY$22+'[4]Go Jet'!$DY$32</f>
        <v>735</v>
      </c>
      <c r="J5" s="136">
        <f>'[4]Air Wisconsin'!$DY$22</f>
        <v>0</v>
      </c>
      <c r="K5" s="134">
        <f>[4]MESA!$DY$22</f>
        <v>39</v>
      </c>
      <c r="L5" s="113">
        <f>SUM(B5:K5)</f>
        <v>87606</v>
      </c>
    </row>
    <row r="6" spans="1:12" s="10" customFormat="1" x14ac:dyDescent="0.2">
      <c r="A6" s="65" t="s">
        <v>34</v>
      </c>
      <c r="B6" s="135">
        <f>'[4]Shuttle America'!$DY$23+'[4]Shuttle America'!$DY$33</f>
        <v>5944</v>
      </c>
      <c r="C6" s="135">
        <f>'[4]Shuttle America_Delta'!$DY$23+'[4]Shuttle America_Delta'!$DY$33</f>
        <v>10141</v>
      </c>
      <c r="D6" s="135">
        <f>[4]AirCanada!$DY$33</f>
        <v>2555</v>
      </c>
      <c r="E6" s="14">
        <f>[4]Compass!$DY$23+[4]Compass!$DY$33</f>
        <v>36230</v>
      </c>
      <c r="F6" s="135">
        <f>'[4]Atlantic Southeast'!$DY$23+'[4]Atlantic Southeast'!$DY$33</f>
        <v>27620</v>
      </c>
      <c r="G6" s="135">
        <f>'[4]Continental Express'!$DY$23</f>
        <v>5475</v>
      </c>
      <c r="H6" s="134">
        <f>'[4]Go Jet_UA'!$DY$23</f>
        <v>1733</v>
      </c>
      <c r="I6" s="14">
        <f>'[4]Go Jet'!$DY$23+'[4]Go Jet'!$DY$33</f>
        <v>724</v>
      </c>
      <c r="J6" s="136">
        <f>'[4]Air Wisconsin'!$DY$23</f>
        <v>0</v>
      </c>
      <c r="K6" s="134">
        <f>[4]MESA!$DY$23</f>
        <v>70</v>
      </c>
      <c r="L6" s="119">
        <f>SUM(B6:K6)</f>
        <v>90492</v>
      </c>
    </row>
    <row r="7" spans="1:12" ht="15" thickBot="1" x14ac:dyDescent="0.25">
      <c r="A7" s="76" t="s">
        <v>7</v>
      </c>
      <c r="B7" s="137">
        <f>SUM(B5:B6)</f>
        <v>11973</v>
      </c>
      <c r="C7" s="137">
        <f>SUM(C5:C6)</f>
        <v>20233</v>
      </c>
      <c r="D7" s="137">
        <f t="shared" ref="D7:K7" si="0">SUM(D5:D6)</f>
        <v>5061</v>
      </c>
      <c r="E7" s="137">
        <f>SUM(E5:E6)</f>
        <v>71129</v>
      </c>
      <c r="F7" s="137">
        <f t="shared" si="0"/>
        <v>53983</v>
      </c>
      <c r="G7" s="137">
        <f t="shared" si="0"/>
        <v>10424</v>
      </c>
      <c r="H7" s="137">
        <f t="shared" si="0"/>
        <v>3727</v>
      </c>
      <c r="I7" s="137">
        <f>SUM(I5:I6)</f>
        <v>1459</v>
      </c>
      <c r="J7" s="137">
        <f t="shared" si="0"/>
        <v>0</v>
      </c>
      <c r="K7" s="137">
        <f t="shared" si="0"/>
        <v>109</v>
      </c>
      <c r="L7" s="138">
        <f>SUM(L5:L6)</f>
        <v>178098</v>
      </c>
    </row>
    <row r="8" spans="1:12" ht="13.5" thickTop="1" x14ac:dyDescent="0.2">
      <c r="A8" s="65"/>
      <c r="B8" s="135"/>
      <c r="C8" s="135"/>
      <c r="D8" s="135"/>
      <c r="E8" s="356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'[4]Shuttle America'!$DY$27+'[4]Shuttle America'!$DY$37</f>
        <v>0</v>
      </c>
      <c r="C10" s="135">
        <f>'[4]Shuttle America_Delta'!$DY$27+'[4]Shuttle America_Delta'!$DY$37</f>
        <v>382</v>
      </c>
      <c r="D10" s="135">
        <f>[4]AirCanada!$DY$37</f>
        <v>40</v>
      </c>
      <c r="E10" s="22">
        <f>[4]Compass!$DY$27+[4]Compass!$DY$37</f>
        <v>1190</v>
      </c>
      <c r="F10" s="22">
        <f>'[4]Atlantic Southeast'!$DY$27+'[4]Atlantic Southeast'!$DY$37</f>
        <v>930</v>
      </c>
      <c r="G10" s="135">
        <f>'[4]Continental Express'!$DY$27</f>
        <v>221</v>
      </c>
      <c r="H10" s="134">
        <f>'[4]Go Jet_UA'!$DY$27</f>
        <v>43</v>
      </c>
      <c r="I10" s="22">
        <f>'[4]Go Jet'!$DY$27+'[4]Go Jet'!$DY$37</f>
        <v>46</v>
      </c>
      <c r="J10" s="136">
        <f>'[4]Air Wisconsin'!$DY$27</f>
        <v>0</v>
      </c>
      <c r="K10" s="134">
        <f>[4]MESA!$DY$27</f>
        <v>0</v>
      </c>
      <c r="L10" s="113">
        <f>SUM(B10:K10)</f>
        <v>2852</v>
      </c>
    </row>
    <row r="11" spans="1:12" x14ac:dyDescent="0.2">
      <c r="A11" s="65" t="s">
        <v>36</v>
      </c>
      <c r="B11" s="135">
        <f>'[4]Shuttle America'!$DY$28+'[4]Shuttle America'!$DY$38</f>
        <v>0</v>
      </c>
      <c r="C11" s="135">
        <f>'[4]Shuttle America_Delta'!$DY$28+'[4]Shuttle America_Delta'!$DY$38</f>
        <v>384</v>
      </c>
      <c r="D11" s="135">
        <f>[4]AirCanada!$DY$38</f>
        <v>47</v>
      </c>
      <c r="E11" s="14">
        <f>[4]Compass!$DY$28+[4]Compass!$DY$38</f>
        <v>1141</v>
      </c>
      <c r="F11" s="14">
        <f>'[4]Atlantic Southeast'!$DY$28+'[4]Atlantic Southeast'!$DY$38</f>
        <v>833</v>
      </c>
      <c r="G11" s="135">
        <f>'[4]Continental Express'!$DY$28</f>
        <v>125</v>
      </c>
      <c r="H11" s="134">
        <f>'[4]Go Jet_UA'!$DY$28</f>
        <v>36</v>
      </c>
      <c r="I11" s="14">
        <f>'[4]Go Jet'!$DY$28+'[4]Go Jet'!$DY$38</f>
        <v>35</v>
      </c>
      <c r="J11" s="136">
        <f>'[4]Air Wisconsin'!$DY$28</f>
        <v>0</v>
      </c>
      <c r="K11" s="134">
        <f>[4]MESA!$DY$28</f>
        <v>0</v>
      </c>
      <c r="L11" s="119">
        <f>SUM(B11:K11)</f>
        <v>2601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766</v>
      </c>
      <c r="D12" s="140">
        <f t="shared" ref="D12:K12" si="1">SUM(D10:D11)</f>
        <v>87</v>
      </c>
      <c r="E12" s="140">
        <f t="shared" si="1"/>
        <v>2331</v>
      </c>
      <c r="F12" s="140">
        <f t="shared" si="1"/>
        <v>1763</v>
      </c>
      <c r="G12" s="140">
        <f t="shared" si="1"/>
        <v>346</v>
      </c>
      <c r="H12" s="140">
        <f t="shared" si="1"/>
        <v>79</v>
      </c>
      <c r="I12" s="140">
        <f>SUM(I10:I11)</f>
        <v>81</v>
      </c>
      <c r="J12" s="140">
        <f t="shared" si="1"/>
        <v>0</v>
      </c>
      <c r="K12" s="140">
        <f t="shared" si="1"/>
        <v>0</v>
      </c>
      <c r="L12" s="141">
        <f>SUM(B12:K12)</f>
        <v>5453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'[4]Shuttle America'!$DY$4+'[4]Shuttle America'!$DY$15</f>
        <v>104</v>
      </c>
      <c r="C15" s="109">
        <f>'[4]Shuttle America_Delta'!$DY$4+'[4]Shuttle America_Delta'!$DY$15</f>
        <v>193</v>
      </c>
      <c r="D15" s="110">
        <f>[4]AirCanada!$DY$15</f>
        <v>79</v>
      </c>
      <c r="E15" s="22">
        <f>[4]Compass!$DY$4+[4]Compass!$DY$15</f>
        <v>613</v>
      </c>
      <c r="F15" s="110">
        <f>'[4]Atlantic Southeast'!$DY$4+'[4]Atlantic Southeast'!$DY$15</f>
        <v>509</v>
      </c>
      <c r="G15" s="110">
        <f>'[4]Continental Express'!$DY$4</f>
        <v>134</v>
      </c>
      <c r="H15" s="109">
        <f>'[4]Go Jet_UA'!$DY$4</f>
        <v>31</v>
      </c>
      <c r="I15" s="22">
        <f>'[4]Go Jet'!$DY$4+'[4]Go Jet'!$DY$15</f>
        <v>13</v>
      </c>
      <c r="J15" s="111">
        <f>'[4]Air Wisconsin'!$DY$4</f>
        <v>0</v>
      </c>
      <c r="K15" s="109">
        <f>[4]MESA!$DY$4</f>
        <v>1</v>
      </c>
      <c r="L15" s="113">
        <f t="shared" ref="L15:L21" si="2">SUM(B15:K15)</f>
        <v>1677</v>
      </c>
    </row>
    <row r="16" spans="1:12" x14ac:dyDescent="0.2">
      <c r="A16" s="65" t="s">
        <v>60</v>
      </c>
      <c r="B16" s="114">
        <f>'[4]Shuttle America'!$DY$5+'[4]Shuttle America'!$DY$16</f>
        <v>104</v>
      </c>
      <c r="C16" s="114">
        <f>'[4]Shuttle America_Delta'!$DY$5+'[4]Shuttle America_Delta'!$DY$16</f>
        <v>194</v>
      </c>
      <c r="D16" s="115">
        <f>[4]AirCanada!$DY$16</f>
        <v>79</v>
      </c>
      <c r="E16" s="14">
        <f>[4]Compass!$DY$5+[4]Compass!$DY$16</f>
        <v>612</v>
      </c>
      <c r="F16" s="115">
        <f>'[4]Atlantic Southeast'!$DY$5+'[4]Atlantic Southeast'!$DY$16</f>
        <v>513</v>
      </c>
      <c r="G16" s="115">
        <f>'[4]Continental Express'!$DY$5</f>
        <v>134</v>
      </c>
      <c r="H16" s="114">
        <f>'[4]Go Jet_UA'!$DY$5</f>
        <v>31</v>
      </c>
      <c r="I16" s="14">
        <f>'[4]Go Jet'!$DY$5+'[4]Go Jet'!$DY$16</f>
        <v>13</v>
      </c>
      <c r="J16" s="116">
        <f>'[4]Air Wisconsin'!$DY$5</f>
        <v>0</v>
      </c>
      <c r="K16" s="114">
        <f>[4]MESA!$DY$5</f>
        <v>1</v>
      </c>
      <c r="L16" s="119">
        <f t="shared" si="2"/>
        <v>1681</v>
      </c>
    </row>
    <row r="17" spans="1:12" x14ac:dyDescent="0.2">
      <c r="A17" s="74" t="s">
        <v>61</v>
      </c>
      <c r="B17" s="120">
        <f>SUM(B15:B16)</f>
        <v>208</v>
      </c>
      <c r="C17" s="120">
        <f>SUM(C15:C16)</f>
        <v>387</v>
      </c>
      <c r="D17" s="120">
        <f t="shared" ref="D17:K17" si="3">SUM(D15:D16)</f>
        <v>158</v>
      </c>
      <c r="E17" s="296">
        <f>SUM(E15:E16)</f>
        <v>1225</v>
      </c>
      <c r="F17" s="120">
        <f t="shared" si="3"/>
        <v>1022</v>
      </c>
      <c r="G17" s="120">
        <f t="shared" si="3"/>
        <v>268</v>
      </c>
      <c r="H17" s="120">
        <f t="shared" si="3"/>
        <v>62</v>
      </c>
      <c r="I17" s="120">
        <f>SUM(I15:I16)</f>
        <v>26</v>
      </c>
      <c r="J17" s="120">
        <f t="shared" si="3"/>
        <v>0</v>
      </c>
      <c r="K17" s="120">
        <f t="shared" si="3"/>
        <v>2</v>
      </c>
      <c r="L17" s="121">
        <f t="shared" si="2"/>
        <v>3358</v>
      </c>
    </row>
    <row r="18" spans="1:12" x14ac:dyDescent="0.2">
      <c r="A18" s="65" t="s">
        <v>62</v>
      </c>
      <c r="B18" s="122">
        <f>'[4]Shuttle America'!$DY$8</f>
        <v>0</v>
      </c>
      <c r="C18" s="122">
        <f>'[4]Shuttle America_Delta'!$DY$8</f>
        <v>0</v>
      </c>
      <c r="D18" s="122">
        <f>[4]AirCanada!$DY$8</f>
        <v>0</v>
      </c>
      <c r="E18" s="22">
        <f>[4]Compass!$DY$8</f>
        <v>0</v>
      </c>
      <c r="F18" s="112">
        <f>'[4]Atlantic Southeast'!$DY$8</f>
        <v>2</v>
      </c>
      <c r="G18" s="112">
        <f>'[4]Continental Express'!$DY$8</f>
        <v>0</v>
      </c>
      <c r="H18" s="122">
        <f>'[4]Go Jet_UA'!$DY$8</f>
        <v>0</v>
      </c>
      <c r="I18" s="22">
        <f>'[4]Go Jet'!$DY$8</f>
        <v>0</v>
      </c>
      <c r="J18" s="123">
        <f>'[4]Air Wisconsin'!$DY$8</f>
        <v>0</v>
      </c>
      <c r="K18" s="122">
        <f>[4]MESA!$DY$8</f>
        <v>0</v>
      </c>
      <c r="L18" s="113">
        <f t="shared" si="2"/>
        <v>2</v>
      </c>
    </row>
    <row r="19" spans="1:12" x14ac:dyDescent="0.2">
      <c r="A19" s="65" t="s">
        <v>63</v>
      </c>
      <c r="B19" s="124">
        <f>'[4]Shuttle America'!$DY$9</f>
        <v>0</v>
      </c>
      <c r="C19" s="124">
        <f>'[4]Shuttle America_Delta'!$DY$9</f>
        <v>1</v>
      </c>
      <c r="D19" s="124">
        <f>[4]AirCanada!$DY$9</f>
        <v>0</v>
      </c>
      <c r="E19" s="14">
        <f>[4]Compass!$DY$9</f>
        <v>2</v>
      </c>
      <c r="F19" s="117">
        <f>'[4]Atlantic Southeast'!$DY$9</f>
        <v>1</v>
      </c>
      <c r="G19" s="117">
        <f>'[4]Continental Express'!$DY$9</f>
        <v>0</v>
      </c>
      <c r="H19" s="124">
        <f>'[4]Go Jet_UA'!$DY$9</f>
        <v>0</v>
      </c>
      <c r="I19" s="14">
        <f>'[4]Go Jet'!$DY$9</f>
        <v>0</v>
      </c>
      <c r="J19" s="125">
        <f>'[4]Air Wisconsin'!$DY$9</f>
        <v>0</v>
      </c>
      <c r="K19" s="124">
        <f>[4]MESA!$DY$9</f>
        <v>0</v>
      </c>
      <c r="L19" s="119">
        <f t="shared" si="2"/>
        <v>4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1</v>
      </c>
      <c r="D20" s="120">
        <f t="shared" ref="D20:K20" si="4">SUM(D18:D19)</f>
        <v>0</v>
      </c>
      <c r="E20" s="296">
        <f>SUM(E18:E19)</f>
        <v>2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>SUM(I18:I19)</f>
        <v>0</v>
      </c>
      <c r="J20" s="120">
        <f t="shared" si="4"/>
        <v>0</v>
      </c>
      <c r="K20" s="120">
        <f t="shared" si="4"/>
        <v>0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>SUM(B20,B17)</f>
        <v>208</v>
      </c>
      <c r="C21" s="126">
        <f>SUM(C20,C17)</f>
        <v>388</v>
      </c>
      <c r="D21" s="126">
        <f t="shared" ref="D21:K21" si="5">SUM(D20,D17)</f>
        <v>158</v>
      </c>
      <c r="E21" s="126">
        <f t="shared" si="5"/>
        <v>1227</v>
      </c>
      <c r="F21" s="126">
        <f t="shared" si="5"/>
        <v>1025</v>
      </c>
      <c r="G21" s="126">
        <f t="shared" si="5"/>
        <v>268</v>
      </c>
      <c r="H21" s="126">
        <f t="shared" si="5"/>
        <v>62</v>
      </c>
      <c r="I21" s="126">
        <f>SUM(I20,I17)</f>
        <v>26</v>
      </c>
      <c r="J21" s="126">
        <f t="shared" si="5"/>
        <v>0</v>
      </c>
      <c r="K21" s="126">
        <f t="shared" si="5"/>
        <v>2</v>
      </c>
      <c r="L21" s="127">
        <f t="shared" si="2"/>
        <v>3364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'[4]Shuttle America'!$DY$47</f>
        <v>0</v>
      </c>
      <c r="C25" s="134">
        <f>'[4]Shuttle America_Delta'!$DY$47</f>
        <v>0</v>
      </c>
      <c r="D25" s="134">
        <f>[4]AirCanada!$DY$47</f>
        <v>0</v>
      </c>
      <c r="E25" s="134">
        <f>[4]Compass!$DY$47</f>
        <v>0</v>
      </c>
      <c r="F25" s="135">
        <f>'[4]Atlantic Southeast'!$DY$47</f>
        <v>0</v>
      </c>
      <c r="G25" s="135">
        <f>'[4]Continental Express'!$DY$47</f>
        <v>0</v>
      </c>
      <c r="H25" s="134">
        <f>'[4]Go Jet_UA'!$DY$47</f>
        <v>0</v>
      </c>
      <c r="I25" s="134">
        <f>'[4]Go Jet'!$DY$47</f>
        <v>0</v>
      </c>
      <c r="J25" s="136">
        <f>'[4]Air Wisconsin'!$DY$47</f>
        <v>0</v>
      </c>
      <c r="K25" s="134">
        <f>[4]MESA!$DY$47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'[4]Shuttle America'!$DY$48</f>
        <v>0</v>
      </c>
      <c r="C26" s="134">
        <f>'[4]Shuttle America_Delta'!$DY$48</f>
        <v>0</v>
      </c>
      <c r="D26" s="134">
        <f>[4]AirCanada!$DY$48</f>
        <v>0</v>
      </c>
      <c r="E26" s="134">
        <f>[4]Compass!$DY$48</f>
        <v>0</v>
      </c>
      <c r="F26" s="135">
        <f>'[4]Atlantic Southeast'!$DY$48</f>
        <v>0</v>
      </c>
      <c r="G26" s="135">
        <f>'[4]Continental Express'!$DY$48</f>
        <v>0</v>
      </c>
      <c r="H26" s="134">
        <f>'[4]Go Jet_UA'!$DY$48</f>
        <v>0</v>
      </c>
      <c r="I26" s="134">
        <f>'[4]Go Jet'!$DY$48</f>
        <v>0</v>
      </c>
      <c r="J26" s="136">
        <f>'[4]Air Wisconsin'!$DY$48</f>
        <v>0</v>
      </c>
      <c r="K26" s="134">
        <f>[4]MESA!$DY$48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>SUM(I25:I26)</f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'[4]Shuttle America'!$DY$52</f>
        <v>0</v>
      </c>
      <c r="C30" s="134">
        <f>'[4]Shuttle America_Delta'!$DY$52</f>
        <v>0</v>
      </c>
      <c r="D30" s="134">
        <f>[4]AirCanada!$DY$52</f>
        <v>0</v>
      </c>
      <c r="E30" s="134">
        <f>[4]Compass!$DY$52</f>
        <v>0</v>
      </c>
      <c r="F30" s="135">
        <f>'[4]Atlantic Southeast'!$DY$52</f>
        <v>0</v>
      </c>
      <c r="G30" s="135">
        <f>'[4]Continental Express'!$DY$52</f>
        <v>0</v>
      </c>
      <c r="H30" s="134">
        <f>'[4]Go Jet_UA'!$DY$52</f>
        <v>0</v>
      </c>
      <c r="I30" s="134">
        <f>'[4]Go Jet'!$DY$52</f>
        <v>0</v>
      </c>
      <c r="J30" s="136">
        <f>'[4]Air Wisconsin'!BH$52</f>
        <v>0</v>
      </c>
      <c r="K30" s="134">
        <f>[4]MESA!$DY$52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'[4]Shuttle America'!$DY$53</f>
        <v>0</v>
      </c>
      <c r="C31" s="134">
        <f>'[4]Shuttle America_Delta'!$DY$53</f>
        <v>0</v>
      </c>
      <c r="D31" s="134">
        <f>[4]AirCanada!$DY$53</f>
        <v>0</v>
      </c>
      <c r="E31" s="134">
        <f>[4]Compass!$DY$53</f>
        <v>0</v>
      </c>
      <c r="F31" s="135">
        <f>'[4]Atlantic Southeast'!$DY$53</f>
        <v>0</v>
      </c>
      <c r="G31" s="135">
        <f>'[4]Continental Express'!$DY$53</f>
        <v>0</v>
      </c>
      <c r="H31" s="134">
        <f>'[4]Go Jet_UA'!$DY$53</f>
        <v>0</v>
      </c>
      <c r="I31" s="134">
        <f>'[4]Go Jet'!$DY$53</f>
        <v>0</v>
      </c>
      <c r="J31" s="136">
        <f>'[4]Air Wisconsin'!$DY$53</f>
        <v>0</v>
      </c>
      <c r="K31" s="134">
        <f>[4]MESA!$DY$53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>SUM(I30:I31)</f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'[4]Shuttle America'!$DY$57</f>
        <v>0</v>
      </c>
      <c r="C35" s="134">
        <f>'[4]Shuttle America_Delta'!$DY$57</f>
        <v>0</v>
      </c>
      <c r="D35" s="134">
        <f>[4]AirCanada!$DY$57</f>
        <v>0</v>
      </c>
      <c r="E35" s="134">
        <f>[4]Compass!$DY$57</f>
        <v>0</v>
      </c>
      <c r="F35" s="135">
        <f>'[4]Atlantic Southeast'!$DY$57</f>
        <v>0</v>
      </c>
      <c r="G35" s="135">
        <f>'[4]Continental Express'!$DY$57</f>
        <v>0</v>
      </c>
      <c r="H35" s="134">
        <f>'[4]Go Jet_UA'!$AJ$57</f>
        <v>0</v>
      </c>
      <c r="I35" s="134">
        <f>'[4]Go Jet'!$AJ$57</f>
        <v>0</v>
      </c>
      <c r="J35" s="136">
        <f>'[4]Air Wisconsin'!BG$57</f>
        <v>0</v>
      </c>
      <c r="K35" s="134">
        <f>[4]MESA!$AJ$57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'[4]Shuttle America'!BG$58</f>
        <v>0</v>
      </c>
      <c r="C36" s="134">
        <f>'[4]Shuttle America_Delta'!BH$58</f>
        <v>0</v>
      </c>
      <c r="D36" s="134">
        <f>[4]AirCanada!BG$58</f>
        <v>0</v>
      </c>
      <c r="E36" s="134">
        <f>[4]Compass!BG$58</f>
        <v>0</v>
      </c>
      <c r="F36" s="135">
        <f>'[4]Atlantic Southeast'!BG$58</f>
        <v>0</v>
      </c>
      <c r="G36" s="135">
        <f>'[4]Continental Express'!BG$58</f>
        <v>0</v>
      </c>
      <c r="H36" s="134">
        <f>'[4]Go Jet_UA'!$AJ$58</f>
        <v>0</v>
      </c>
      <c r="I36" s="134">
        <f>'[4]Go Jet'!$AJ$58</f>
        <v>0</v>
      </c>
      <c r="J36" s="136">
        <f>'[4]Air Wisconsin'!BG$58</f>
        <v>0</v>
      </c>
      <c r="K36" s="134">
        <f>[4]MESA!$AJ$58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>SUM(I35:I36)</f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>SUM(I40:I41)</f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34" t="s">
        <v>139</v>
      </c>
      <c r="E44" s="333">
        <f>[4]Compass!BG$70+[4]Compass!BG$73</f>
        <v>27782</v>
      </c>
      <c r="F44" s="319"/>
      <c r="L44" s="321">
        <f>SUM(E44:E44)</f>
        <v>27782</v>
      </c>
    </row>
    <row r="45" spans="1:12" hidden="1" x14ac:dyDescent="0.2">
      <c r="A45" s="334" t="s">
        <v>140</v>
      </c>
      <c r="E45" s="333">
        <f>[4]Compass!BG$71+[4]Compass!BG$74</f>
        <v>47176</v>
      </c>
      <c r="F45" s="337"/>
      <c r="L45" s="321">
        <f>SUM(E45:E45)</f>
        <v>47176</v>
      </c>
    </row>
    <row r="46" spans="1:12" x14ac:dyDescent="0.2">
      <c r="A46" s="410" t="s">
        <v>136</v>
      </c>
      <c r="C46" s="333">
        <f>'[4]Shuttle America_Delta'!$DY$70+'[4]Shuttle America_Delta'!$DY$73</f>
        <v>4330</v>
      </c>
      <c r="E46" s="333">
        <f>[4]Compass!$DY$70+[4]Compass!$DY$73</f>
        <v>14311</v>
      </c>
      <c r="F46" s="333">
        <f>'[4]Atlantic Southeast'!$DY$70+'[4]Atlantic Southeast'!$DY$73</f>
        <v>11075</v>
      </c>
      <c r="H46" s="333">
        <f>'[4]Go Jet'!$DY$70+'[4]Go Jet'!$DY$73</f>
        <v>295</v>
      </c>
      <c r="I46" s="5"/>
      <c r="L46" s="425">
        <f>SUM(B46:K46)</f>
        <v>30011</v>
      </c>
    </row>
    <row r="47" spans="1:12" x14ac:dyDescent="0.2">
      <c r="A47" s="426" t="s">
        <v>137</v>
      </c>
      <c r="C47" s="333">
        <f>'[4]Shuttle America_Delta'!$DY$71+'[4]Shuttle America_Delta'!$DY$74</f>
        <v>5811</v>
      </c>
      <c r="E47" s="333">
        <f>[4]Compass!$DY$71+[4]Compass!$DY$74</f>
        <v>21919</v>
      </c>
      <c r="F47" s="333">
        <f>'[4]Atlantic Southeast'!$DY$71+'[4]Atlantic Southeast'!$DY$74</f>
        <v>16545</v>
      </c>
      <c r="H47" s="333">
        <f>'[4]Go Jet'!$DY$71+'[4]Go Jet'!$DY$74</f>
        <v>429</v>
      </c>
      <c r="I47" s="5"/>
      <c r="L47" s="425">
        <f>SUM(B47:K47)</f>
        <v>44704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February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C22" sqref="C2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15">
        <v>42036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8" t="s">
        <v>3</v>
      </c>
      <c r="B3" s="190"/>
      <c r="C3" s="189"/>
      <c r="D3" s="189"/>
      <c r="E3" s="189"/>
      <c r="F3" s="189"/>
      <c r="G3" s="279"/>
    </row>
    <row r="4" spans="1:17" x14ac:dyDescent="0.2">
      <c r="A4" s="65" t="s">
        <v>32</v>
      </c>
      <c r="B4" s="462"/>
      <c r="C4" s="188"/>
      <c r="D4" s="188"/>
      <c r="E4" s="188"/>
      <c r="F4" s="188"/>
      <c r="G4" s="258"/>
    </row>
    <row r="5" spans="1:17" x14ac:dyDescent="0.2">
      <c r="A5" s="65" t="s">
        <v>33</v>
      </c>
      <c r="B5" s="462">
        <f>'[4]Charter Misc'!$DY$22</f>
        <v>94</v>
      </c>
      <c r="C5" s="188">
        <f>[4]Ryan!$DY$22</f>
        <v>0</v>
      </c>
      <c r="D5" s="188">
        <f>'[4]Charter Misc'!$DY$32</f>
        <v>0</v>
      </c>
      <c r="E5" s="188">
        <f>[4]Omni!$DY$32</f>
        <v>0</v>
      </c>
      <c r="F5" s="188">
        <f>[4]Xtra!$DY$32+[4]Xtra!$DY$22</f>
        <v>0</v>
      </c>
      <c r="G5" s="355">
        <f>SUM(B5:F5)</f>
        <v>94</v>
      </c>
    </row>
    <row r="6" spans="1:17" x14ac:dyDescent="0.2">
      <c r="A6" s="65" t="s">
        <v>34</v>
      </c>
      <c r="B6" s="463">
        <f>'[4]Charter Misc'!$DY$23</f>
        <v>192</v>
      </c>
      <c r="C6" s="191">
        <f>[4]Ryan!$DY$23</f>
        <v>0</v>
      </c>
      <c r="D6" s="191">
        <f>'[4]Charter Misc'!$DY$33</f>
        <v>0</v>
      </c>
      <c r="E6" s="191">
        <f>[4]Omni!$DY$33</f>
        <v>0</v>
      </c>
      <c r="F6" s="191">
        <f>[4]Xtra!$DY$33+[4]Xtra!$DY$23</f>
        <v>0</v>
      </c>
      <c r="G6" s="354">
        <f>SUM(B6:F6)</f>
        <v>192</v>
      </c>
    </row>
    <row r="7" spans="1:17" ht="15.75" thickBot="1" x14ac:dyDescent="0.3">
      <c r="A7" s="187" t="s">
        <v>7</v>
      </c>
      <c r="B7" s="464">
        <f>SUM(B5:B6)</f>
        <v>286</v>
      </c>
      <c r="C7" s="309">
        <f>SUM(C5:C6)</f>
        <v>0</v>
      </c>
      <c r="D7" s="309">
        <f>SUM(D5:D6)</f>
        <v>0</v>
      </c>
      <c r="E7" s="309">
        <f>SUM(E5:E6)</f>
        <v>0</v>
      </c>
      <c r="F7" s="309">
        <f>SUM(F5:F6)</f>
        <v>0</v>
      </c>
      <c r="G7" s="310">
        <f>SUM(B7:F7)</f>
        <v>286</v>
      </c>
    </row>
    <row r="8" spans="1:17" ht="13.5" thickBot="1" x14ac:dyDescent="0.25"/>
    <row r="9" spans="1:17" x14ac:dyDescent="0.2">
      <c r="A9" s="185" t="s">
        <v>9</v>
      </c>
      <c r="B9" s="465"/>
      <c r="C9" s="47"/>
      <c r="D9" s="47"/>
      <c r="E9" s="47"/>
      <c r="F9" s="47"/>
      <c r="G9" s="60"/>
    </row>
    <row r="10" spans="1:17" x14ac:dyDescent="0.2">
      <c r="A10" s="186" t="s">
        <v>86</v>
      </c>
      <c r="B10" s="462">
        <f>'[4]Charter Misc'!$DY$4</f>
        <v>3</v>
      </c>
      <c r="C10" s="188">
        <f>[4]Ryan!$DY$4</f>
        <v>0</v>
      </c>
      <c r="D10" s="188">
        <f>'[4]Charter Misc'!$DY$15</f>
        <v>0</v>
      </c>
      <c r="E10" s="188">
        <f>[4]Omni!$DY$15</f>
        <v>0</v>
      </c>
      <c r="F10" s="188">
        <f>[4]Xtra!$DY$15+[4]Xtra!$DY$4</f>
        <v>0</v>
      </c>
      <c r="G10" s="354">
        <f>SUM(B10:F10)</f>
        <v>3</v>
      </c>
    </row>
    <row r="11" spans="1:17" x14ac:dyDescent="0.2">
      <c r="A11" s="186" t="s">
        <v>87</v>
      </c>
      <c r="B11" s="462">
        <f>'[4]Charter Misc'!$DY$5</f>
        <v>3</v>
      </c>
      <c r="C11" s="188">
        <f>[4]Ryan!$DY$5</f>
        <v>0</v>
      </c>
      <c r="D11" s="188">
        <f>'[4]Charter Misc'!$DY$16</f>
        <v>0</v>
      </c>
      <c r="E11" s="188">
        <f>[4]Omni!$DY$16</f>
        <v>0</v>
      </c>
      <c r="F11" s="188">
        <f>[4]Xtra!$DY$16+[4]Xtra!$DY$5</f>
        <v>0</v>
      </c>
      <c r="G11" s="354">
        <f>SUM(B11:F11)</f>
        <v>3</v>
      </c>
    </row>
    <row r="12" spans="1:17" ht="15.75" thickBot="1" x14ac:dyDescent="0.3">
      <c r="A12" s="287" t="s">
        <v>31</v>
      </c>
      <c r="B12" s="466">
        <f>SUM(B10:B11)</f>
        <v>6</v>
      </c>
      <c r="C12" s="311">
        <f>SUM(C10:C11)</f>
        <v>0</v>
      </c>
      <c r="D12" s="311">
        <f>SUM(D10:D11)</f>
        <v>0</v>
      </c>
      <c r="E12" s="311">
        <f>SUM(E10:E11)</f>
        <v>0</v>
      </c>
      <c r="F12" s="311">
        <f>SUM(F10:F11)</f>
        <v>0</v>
      </c>
      <c r="G12" s="312">
        <f>SUM(B12:F12)</f>
        <v>6</v>
      </c>
      <c r="Q12" s="134"/>
    </row>
    <row r="17" spans="1:16" x14ac:dyDescent="0.2">
      <c r="B17" s="482" t="s">
        <v>175</v>
      </c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4"/>
    </row>
    <row r="18" spans="1:16" ht="13.5" thickBot="1" x14ac:dyDescent="0.25">
      <c r="A18" s="328"/>
      <c r="E18" s="230"/>
      <c r="G18" s="230"/>
      <c r="H18" s="230"/>
      <c r="L18" s="237"/>
      <c r="N18" s="238"/>
    </row>
    <row r="19" spans="1:16" ht="13.5" customHeight="1" thickBot="1" x14ac:dyDescent="0.25">
      <c r="A19" s="440"/>
      <c r="B19" s="485" t="s">
        <v>133</v>
      </c>
      <c r="C19" s="486"/>
      <c r="D19" s="486"/>
      <c r="E19" s="487"/>
      <c r="G19" s="485" t="s">
        <v>134</v>
      </c>
      <c r="H19" s="488"/>
      <c r="I19" s="488"/>
      <c r="J19" s="489"/>
      <c r="L19" s="490" t="s">
        <v>135</v>
      </c>
      <c r="M19" s="491"/>
      <c r="N19" s="491"/>
      <c r="O19" s="492"/>
    </row>
    <row r="20" spans="1:16" ht="13.5" thickBot="1" x14ac:dyDescent="0.25">
      <c r="A20" s="241" t="s">
        <v>112</v>
      </c>
      <c r="B20" s="246" t="s">
        <v>113</v>
      </c>
      <c r="C20" s="8" t="s">
        <v>114</v>
      </c>
      <c r="D20" s="8" t="s">
        <v>208</v>
      </c>
      <c r="E20" s="8" t="s">
        <v>186</v>
      </c>
      <c r="F20" s="247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47" t="s">
        <v>108</v>
      </c>
      <c r="L20" s="246" t="s">
        <v>113</v>
      </c>
      <c r="M20" s="240" t="s">
        <v>114</v>
      </c>
      <c r="N20" s="8" t="s">
        <v>208</v>
      </c>
      <c r="O20" s="8" t="s">
        <v>186</v>
      </c>
      <c r="P20" s="247" t="s">
        <v>108</v>
      </c>
    </row>
    <row r="21" spans="1:16" ht="14.1" customHeight="1" x14ac:dyDescent="0.2">
      <c r="A21" s="250" t="s">
        <v>115</v>
      </c>
      <c r="B21" s="348">
        <f>[2]Charter!$B$21</f>
        <v>118818</v>
      </c>
      <c r="C21" s="349">
        <f>[2]Charter!$C$21</f>
        <v>117747</v>
      </c>
      <c r="D21" s="349">
        <f t="shared" ref="D21:D32" si="0">SUM(B21:C21)</f>
        <v>236565</v>
      </c>
      <c r="E21" s="350">
        <f>[3]Charter!$D$21</f>
        <v>216467</v>
      </c>
      <c r="F21" s="353">
        <f t="shared" ref="F21:F32" si="1">(D21-E21)/E21</f>
        <v>9.2845560755219034E-2</v>
      </c>
      <c r="G21" s="348">
        <f>L21-B21</f>
        <v>1169695</v>
      </c>
      <c r="H21" s="349">
        <f>M21-C21</f>
        <v>1187740</v>
      </c>
      <c r="I21" s="349">
        <f>SUM(G21:H21)</f>
        <v>2357435</v>
      </c>
      <c r="J21" s="350">
        <f>[3]Charter!$I$21</f>
        <v>2341884</v>
      </c>
      <c r="K21" s="251">
        <f t="shared" ref="K21:K32" si="2">(I21-J21)/J21</f>
        <v>6.6403801383843096E-3</v>
      </c>
      <c r="L21" s="348">
        <f>[2]Charter!$L$21</f>
        <v>1288513</v>
      </c>
      <c r="M21" s="349">
        <f>[2]Charter!$M$21</f>
        <v>1305487</v>
      </c>
      <c r="N21" s="349">
        <f t="shared" ref="N21:N32" si="3">SUM(L21:M21)</f>
        <v>2594000</v>
      </c>
      <c r="O21" s="350">
        <f>[3]Charter!$N$21</f>
        <v>2558351</v>
      </c>
      <c r="P21" s="251">
        <f>(N21-O21)/O21</f>
        <v>1.3934366316428044E-2</v>
      </c>
    </row>
    <row r="22" spans="1:16" ht="14.1" customHeight="1" x14ac:dyDescent="0.2">
      <c r="A22" s="252" t="s">
        <v>116</v>
      </c>
      <c r="B22" s="344">
        <f>'Intl Detail'!$N$4+'Intl Detail'!$N$9</f>
        <v>125389</v>
      </c>
      <c r="C22" s="346">
        <f>'Intl Detail'!$N$5+'Intl Detail'!$N$10</f>
        <v>126341</v>
      </c>
      <c r="D22" s="345">
        <f>SUM(B22:C22)</f>
        <v>251730</v>
      </c>
      <c r="E22" s="352">
        <f>[1]Charter!$D$22</f>
        <v>221590</v>
      </c>
      <c r="F22" s="347">
        <f t="shared" si="1"/>
        <v>0.13601696827474163</v>
      </c>
      <c r="G22" s="344">
        <f>L22-B22</f>
        <v>1126706</v>
      </c>
      <c r="H22" s="346">
        <f>M22-C22</f>
        <v>1151879</v>
      </c>
      <c r="I22" s="345">
        <f>SUM(G22:H22)</f>
        <v>2278585</v>
      </c>
      <c r="J22" s="352">
        <f>[1]Charter!$I$22</f>
        <v>2230304</v>
      </c>
      <c r="K22" s="254">
        <f t="shared" si="2"/>
        <v>2.1647721566208016E-2</v>
      </c>
      <c r="L22" s="344">
        <f>'Monthly Summary'!$B$11</f>
        <v>1252095</v>
      </c>
      <c r="M22" s="346">
        <f>'Monthly Summary'!$C$11</f>
        <v>1278220</v>
      </c>
      <c r="N22" s="345">
        <f>SUM(L22:M22)</f>
        <v>2530315</v>
      </c>
      <c r="O22" s="352">
        <f>[1]Charter!$N$22</f>
        <v>2451894</v>
      </c>
      <c r="P22" s="253">
        <f t="shared" ref="P22:P32" si="4">(N22-O22)/O22</f>
        <v>3.198384595745167E-2</v>
      </c>
    </row>
    <row r="23" spans="1:16" ht="14.1" customHeight="1" x14ac:dyDescent="0.2">
      <c r="A23" s="252" t="s">
        <v>117</v>
      </c>
      <c r="B23" s="344"/>
      <c r="C23" s="346"/>
      <c r="D23" s="345">
        <f t="shared" si="0"/>
        <v>0</v>
      </c>
      <c r="E23" s="351"/>
      <c r="F23" s="253" t="e">
        <f t="shared" si="1"/>
        <v>#DIV/0!</v>
      </c>
      <c r="G23" s="344"/>
      <c r="H23" s="346"/>
      <c r="I23" s="345">
        <f>SUM(G23:H23)</f>
        <v>0</v>
      </c>
      <c r="J23" s="351"/>
      <c r="K23" s="254" t="e">
        <f t="shared" si="2"/>
        <v>#DIV/0!</v>
      </c>
      <c r="L23" s="344"/>
      <c r="M23" s="346"/>
      <c r="N23" s="345">
        <f t="shared" si="3"/>
        <v>0</v>
      </c>
      <c r="O23" s="351"/>
      <c r="P23" s="253" t="e">
        <f t="shared" si="4"/>
        <v>#DIV/0!</v>
      </c>
    </row>
    <row r="24" spans="1:16" ht="14.1" customHeight="1" x14ac:dyDescent="0.2">
      <c r="A24" s="252" t="s">
        <v>118</v>
      </c>
      <c r="B24" s="344"/>
      <c r="C24" s="346"/>
      <c r="D24" s="345">
        <f t="shared" si="0"/>
        <v>0</v>
      </c>
      <c r="E24" s="351"/>
      <c r="F24" s="253" t="e">
        <f t="shared" si="1"/>
        <v>#DIV/0!</v>
      </c>
      <c r="G24" s="344"/>
      <c r="H24" s="346"/>
      <c r="I24" s="345">
        <f>SUM(G24:H24)</f>
        <v>0</v>
      </c>
      <c r="J24" s="351"/>
      <c r="K24" s="254" t="e">
        <f t="shared" si="2"/>
        <v>#DIV/0!</v>
      </c>
      <c r="L24" s="344"/>
      <c r="M24" s="346"/>
      <c r="N24" s="345">
        <f t="shared" si="3"/>
        <v>0</v>
      </c>
      <c r="O24" s="351"/>
      <c r="P24" s="253" t="e">
        <f t="shared" si="4"/>
        <v>#DIV/0!</v>
      </c>
    </row>
    <row r="25" spans="1:16" ht="14.1" customHeight="1" x14ac:dyDescent="0.2">
      <c r="A25" s="239" t="s">
        <v>82</v>
      </c>
      <c r="B25" s="344"/>
      <c r="C25" s="346"/>
      <c r="D25" s="345">
        <f t="shared" si="0"/>
        <v>0</v>
      </c>
      <c r="E25" s="351"/>
      <c r="F25" s="242" t="e">
        <f t="shared" si="1"/>
        <v>#DIV/0!</v>
      </c>
      <c r="G25" s="344"/>
      <c r="H25" s="346"/>
      <c r="I25" s="345">
        <f t="shared" ref="I25:I32" si="5">SUM(G25:H25)</f>
        <v>0</v>
      </c>
      <c r="J25" s="351"/>
      <c r="K25" s="248" t="e">
        <f t="shared" si="2"/>
        <v>#DIV/0!</v>
      </c>
      <c r="L25" s="344"/>
      <c r="M25" s="346"/>
      <c r="N25" s="345">
        <f t="shared" si="3"/>
        <v>0</v>
      </c>
      <c r="O25" s="351"/>
      <c r="P25" s="242" t="e">
        <f t="shared" si="4"/>
        <v>#DIV/0!</v>
      </c>
    </row>
    <row r="26" spans="1:16" ht="14.1" customHeight="1" x14ac:dyDescent="0.2">
      <c r="A26" s="252" t="s">
        <v>119</v>
      </c>
      <c r="B26" s="344"/>
      <c r="C26" s="346"/>
      <c r="D26" s="345">
        <f t="shared" si="0"/>
        <v>0</v>
      </c>
      <c r="E26" s="351"/>
      <c r="F26" s="253" t="e">
        <f t="shared" si="1"/>
        <v>#DIV/0!</v>
      </c>
      <c r="G26" s="344"/>
      <c r="H26" s="346"/>
      <c r="I26" s="345">
        <f t="shared" si="5"/>
        <v>0</v>
      </c>
      <c r="J26" s="351"/>
      <c r="K26" s="254" t="e">
        <f t="shared" si="2"/>
        <v>#DIV/0!</v>
      </c>
      <c r="L26" s="344"/>
      <c r="M26" s="346"/>
      <c r="N26" s="345">
        <f t="shared" si="3"/>
        <v>0</v>
      </c>
      <c r="O26" s="351"/>
      <c r="P26" s="253" t="e">
        <f t="shared" si="4"/>
        <v>#DIV/0!</v>
      </c>
    </row>
    <row r="27" spans="1:16" ht="14.1" customHeight="1" x14ac:dyDescent="0.2">
      <c r="A27" s="239" t="s">
        <v>120</v>
      </c>
      <c r="B27" s="344"/>
      <c r="C27" s="346"/>
      <c r="D27" s="345">
        <f t="shared" si="0"/>
        <v>0</v>
      </c>
      <c r="E27" s="351"/>
      <c r="F27" s="242" t="e">
        <f t="shared" si="1"/>
        <v>#DIV/0!</v>
      </c>
      <c r="G27" s="344"/>
      <c r="H27" s="346"/>
      <c r="I27" s="345">
        <f t="shared" si="5"/>
        <v>0</v>
      </c>
      <c r="J27" s="351"/>
      <c r="K27" s="248" t="e">
        <f t="shared" si="2"/>
        <v>#DIV/0!</v>
      </c>
      <c r="L27" s="344"/>
      <c r="M27" s="346"/>
      <c r="N27" s="345">
        <f t="shared" si="3"/>
        <v>0</v>
      </c>
      <c r="O27" s="351"/>
      <c r="P27" s="242" t="e">
        <f t="shared" si="4"/>
        <v>#DIV/0!</v>
      </c>
    </row>
    <row r="28" spans="1:16" ht="14.1" customHeight="1" x14ac:dyDescent="0.2">
      <c r="A28" s="252" t="s">
        <v>121</v>
      </c>
      <c r="B28" s="344"/>
      <c r="C28" s="346"/>
      <c r="D28" s="345">
        <f t="shared" si="0"/>
        <v>0</v>
      </c>
      <c r="E28" s="351"/>
      <c r="F28" s="253" t="e">
        <f t="shared" si="1"/>
        <v>#DIV/0!</v>
      </c>
      <c r="G28" s="344"/>
      <c r="H28" s="346"/>
      <c r="I28" s="345">
        <f t="shared" si="5"/>
        <v>0</v>
      </c>
      <c r="J28" s="351"/>
      <c r="K28" s="254" t="e">
        <f t="shared" si="2"/>
        <v>#DIV/0!</v>
      </c>
      <c r="L28" s="344"/>
      <c r="M28" s="346"/>
      <c r="N28" s="345">
        <f t="shared" si="3"/>
        <v>0</v>
      </c>
      <c r="O28" s="351"/>
      <c r="P28" s="253" t="e">
        <f t="shared" si="4"/>
        <v>#DIV/0!</v>
      </c>
    </row>
    <row r="29" spans="1:16" ht="14.1" customHeight="1" x14ac:dyDescent="0.2">
      <c r="A29" s="239" t="s">
        <v>122</v>
      </c>
      <c r="B29" s="344"/>
      <c r="C29" s="346"/>
      <c r="D29" s="345">
        <f t="shared" si="0"/>
        <v>0</v>
      </c>
      <c r="E29" s="351"/>
      <c r="F29" s="242" t="e">
        <f t="shared" si="1"/>
        <v>#DIV/0!</v>
      </c>
      <c r="G29" s="344"/>
      <c r="H29" s="346"/>
      <c r="I29" s="345">
        <f t="shared" si="5"/>
        <v>0</v>
      </c>
      <c r="J29" s="351"/>
      <c r="K29" s="248" t="e">
        <f t="shared" si="2"/>
        <v>#DIV/0!</v>
      </c>
      <c r="L29" s="344"/>
      <c r="M29" s="346"/>
      <c r="N29" s="345">
        <f t="shared" si="3"/>
        <v>0</v>
      </c>
      <c r="O29" s="351"/>
      <c r="P29" s="242" t="e">
        <f t="shared" si="4"/>
        <v>#DIV/0!</v>
      </c>
    </row>
    <row r="30" spans="1:16" ht="14.1" customHeight="1" x14ac:dyDescent="0.2">
      <c r="A30" s="252" t="s">
        <v>123</v>
      </c>
      <c r="B30" s="344"/>
      <c r="C30" s="346"/>
      <c r="D30" s="345">
        <f>SUM(B30:C30)</f>
        <v>0</v>
      </c>
      <c r="E30" s="351"/>
      <c r="F30" s="253" t="e">
        <f t="shared" si="1"/>
        <v>#DIV/0!</v>
      </c>
      <c r="G30" s="344"/>
      <c r="H30" s="346"/>
      <c r="I30" s="345">
        <f>SUM(G30:H30)</f>
        <v>0</v>
      </c>
      <c r="J30" s="351"/>
      <c r="K30" s="254" t="e">
        <f t="shared" si="2"/>
        <v>#DIV/0!</v>
      </c>
      <c r="L30" s="344"/>
      <c r="M30" s="346"/>
      <c r="N30" s="345">
        <f>SUM(L30:M30)</f>
        <v>0</v>
      </c>
      <c r="O30" s="351"/>
      <c r="P30" s="253" t="e">
        <f t="shared" si="4"/>
        <v>#DIV/0!</v>
      </c>
    </row>
    <row r="31" spans="1:16" ht="14.1" customHeight="1" x14ac:dyDescent="0.2">
      <c r="A31" s="239" t="s">
        <v>124</v>
      </c>
      <c r="B31" s="344"/>
      <c r="C31" s="346"/>
      <c r="D31" s="345">
        <f>SUM(B31:C31)</f>
        <v>0</v>
      </c>
      <c r="E31" s="351"/>
      <c r="F31" s="242" t="e">
        <f t="shared" si="1"/>
        <v>#DIV/0!</v>
      </c>
      <c r="G31" s="344"/>
      <c r="H31" s="346"/>
      <c r="I31" s="345">
        <f t="shared" si="5"/>
        <v>0</v>
      </c>
      <c r="J31" s="351"/>
      <c r="K31" s="248" t="e">
        <f t="shared" si="2"/>
        <v>#DIV/0!</v>
      </c>
      <c r="L31" s="344"/>
      <c r="M31" s="346"/>
      <c r="N31" s="345">
        <f>SUM(L31:M31)</f>
        <v>0</v>
      </c>
      <c r="O31" s="351"/>
      <c r="P31" s="242" t="e">
        <f t="shared" si="4"/>
        <v>#DIV/0!</v>
      </c>
    </row>
    <row r="32" spans="1:16" ht="14.1" customHeight="1" x14ac:dyDescent="0.2">
      <c r="A32" s="255" t="s">
        <v>125</v>
      </c>
      <c r="B32" s="344"/>
      <c r="C32" s="346"/>
      <c r="D32" s="165">
        <f t="shared" si="0"/>
        <v>0</v>
      </c>
      <c r="E32" s="351"/>
      <c r="F32" s="256" t="e">
        <f t="shared" si="1"/>
        <v>#DIV/0!</v>
      </c>
      <c r="G32" s="257"/>
      <c r="H32" s="165"/>
      <c r="I32" s="165">
        <f t="shared" si="5"/>
        <v>0</v>
      </c>
      <c r="J32" s="351"/>
      <c r="K32" s="256" t="e">
        <f t="shared" si="2"/>
        <v>#DIV/0!</v>
      </c>
      <c r="L32" s="344"/>
      <c r="M32" s="346"/>
      <c r="N32" s="165">
        <f t="shared" si="3"/>
        <v>0</v>
      </c>
      <c r="O32" s="351"/>
      <c r="P32" s="256" t="e">
        <f t="shared" si="4"/>
        <v>#DIV/0!</v>
      </c>
    </row>
    <row r="33" spans="1:16" ht="13.5" thickBot="1" x14ac:dyDescent="0.25">
      <c r="A33" s="249" t="s">
        <v>83</v>
      </c>
      <c r="B33" s="259">
        <f>SUM(B21:B32)</f>
        <v>244207</v>
      </c>
      <c r="C33" s="260">
        <f>SUM(C21:C32)</f>
        <v>244088</v>
      </c>
      <c r="D33" s="260">
        <f>SUM(D21:D32)</f>
        <v>488295</v>
      </c>
      <c r="E33" s="261">
        <f>SUM(E21:E32)</f>
        <v>438057</v>
      </c>
      <c r="F33" s="244">
        <f>(D33-E33)/E33</f>
        <v>0.11468370554516878</v>
      </c>
      <c r="G33" s="262">
        <f>SUM(G21:G32)</f>
        <v>2296401</v>
      </c>
      <c r="H33" s="260">
        <f>SUM(H21:H32)</f>
        <v>2339619</v>
      </c>
      <c r="I33" s="260">
        <f>SUM(I21:I32)</f>
        <v>4636020</v>
      </c>
      <c r="J33" s="263">
        <f>SUM(J21:J32)</f>
        <v>4572188</v>
      </c>
      <c r="K33" s="245">
        <f>(I33-J33)/J33</f>
        <v>1.3960930740380755E-2</v>
      </c>
      <c r="L33" s="262">
        <f>SUM(L21:L32)</f>
        <v>2540608</v>
      </c>
      <c r="M33" s="260">
        <f>SUM(M21:M32)</f>
        <v>2583707</v>
      </c>
      <c r="N33" s="260">
        <f>SUM(N21:N32)</f>
        <v>5124315</v>
      </c>
      <c r="O33" s="261">
        <f>SUM(O21:O32)</f>
        <v>5010245</v>
      </c>
      <c r="P33" s="243">
        <f>(N33-O33)/O33</f>
        <v>2.2767349700463749E-2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February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H21" sqref="H21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6" t="s">
        <v>103</v>
      </c>
      <c r="C1" s="497"/>
      <c r="D1" s="497"/>
      <c r="E1" s="497"/>
      <c r="F1" s="269"/>
      <c r="G1" s="496" t="s">
        <v>102</v>
      </c>
      <c r="H1" s="498"/>
      <c r="I1" s="498"/>
      <c r="J1" s="498"/>
      <c r="K1" s="498"/>
      <c r="L1" s="499"/>
    </row>
    <row r="2" spans="1:20" s="195" customFormat="1" ht="30.75" customHeight="1" thickBot="1" x14ac:dyDescent="0.25">
      <c r="A2" s="415">
        <v>42036</v>
      </c>
      <c r="B2" s="8" t="s">
        <v>88</v>
      </c>
      <c r="C2" s="8" t="s">
        <v>89</v>
      </c>
      <c r="D2" s="8" t="s">
        <v>90</v>
      </c>
      <c r="E2" s="8" t="s">
        <v>91</v>
      </c>
      <c r="F2" s="203"/>
      <c r="G2" s="184" t="s">
        <v>92</v>
      </c>
      <c r="H2" s="184" t="s">
        <v>201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4" t="s">
        <v>9</v>
      </c>
      <c r="B3" s="441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59</v>
      </c>
      <c r="B4" s="257">
        <f>[4]Airborne!$DY$4</f>
        <v>0</v>
      </c>
      <c r="C4" s="165">
        <f>[4]DHL!$DY$4</f>
        <v>20</v>
      </c>
      <c r="D4" s="165">
        <f>[4]FedEx!$DY$4+[4]FedEx!$DY$15</f>
        <v>96</v>
      </c>
      <c r="E4" s="165">
        <f>[4]UPS!$DY$4+[4]UPS!$DY$15</f>
        <v>92</v>
      </c>
      <c r="F4" s="196"/>
      <c r="G4" s="122">
        <f>[4]ATI_BAX!$DY$4</f>
        <v>0</v>
      </c>
      <c r="H4" s="122">
        <f>'[4]Suburban Air Freight'!$DY$15</f>
        <v>20</v>
      </c>
      <c r="I4" s="122">
        <f>[4]Bemidji!$DY$4</f>
        <v>214</v>
      </c>
      <c r="J4" s="122">
        <f>'[4]CSA Air'!$DY$4</f>
        <v>0</v>
      </c>
      <c r="K4" s="122">
        <f>'[4]Mountain Cargo'!$DY$4</f>
        <v>20</v>
      </c>
      <c r="L4" s="122">
        <f>'[4]Misc Cargo'!$DY$4</f>
        <v>23</v>
      </c>
      <c r="M4" s="208">
        <f>SUM(B4:L4)</f>
        <v>485</v>
      </c>
    </row>
    <row r="5" spans="1:20" x14ac:dyDescent="0.2">
      <c r="A5" s="55" t="s">
        <v>60</v>
      </c>
      <c r="B5" s="442">
        <f>[4]Airborne!$DY$5</f>
        <v>0</v>
      </c>
      <c r="C5" s="202">
        <f>[4]DHL!$DY$5</f>
        <v>20</v>
      </c>
      <c r="D5" s="202">
        <f>[4]FedEx!$DY$5</f>
        <v>96</v>
      </c>
      <c r="E5" s="202">
        <f>[4]UPS!$DY$5</f>
        <v>77</v>
      </c>
      <c r="F5" s="196"/>
      <c r="G5" s="124">
        <f>[4]ATI_BAX!$DY$5</f>
        <v>0</v>
      </c>
      <c r="H5" s="124">
        <f>'[4]Suburban Air Freight'!$DY$16</f>
        <v>20</v>
      </c>
      <c r="I5" s="124">
        <f>[4]Bemidji!$DY$5</f>
        <v>214</v>
      </c>
      <c r="J5" s="124">
        <f>'[4]CSA Air'!$DY$5</f>
        <v>0</v>
      </c>
      <c r="K5" s="124">
        <f>'[4]Mountain Cargo'!$DY$5</f>
        <v>20</v>
      </c>
      <c r="L5" s="124">
        <f>'[4]Misc Cargo'!$DY$5</f>
        <v>23</v>
      </c>
      <c r="M5" s="212">
        <f>SUM(B5:L5)</f>
        <v>470</v>
      </c>
    </row>
    <row r="6" spans="1:20" s="193" customFormat="1" x14ac:dyDescent="0.2">
      <c r="A6" s="209" t="s">
        <v>61</v>
      </c>
      <c r="B6" s="443">
        <f>SUM(B4:B5)</f>
        <v>0</v>
      </c>
      <c r="C6" s="210">
        <f>SUM(C4:C5)</f>
        <v>40</v>
      </c>
      <c r="D6" s="210">
        <f>SUM(D4:D5)</f>
        <v>192</v>
      </c>
      <c r="E6" s="210">
        <f>SUM(E4:E5)</f>
        <v>169</v>
      </c>
      <c r="F6" s="197"/>
      <c r="G6" s="192">
        <f t="shared" ref="G6:L6" si="0">SUM(G4:G5)</f>
        <v>0</v>
      </c>
      <c r="H6" s="192">
        <f t="shared" si="0"/>
        <v>40</v>
      </c>
      <c r="I6" s="192">
        <f t="shared" si="0"/>
        <v>428</v>
      </c>
      <c r="J6" s="192">
        <f t="shared" si="0"/>
        <v>0</v>
      </c>
      <c r="K6" s="192">
        <f t="shared" si="0"/>
        <v>40</v>
      </c>
      <c r="L6" s="192">
        <f t="shared" si="0"/>
        <v>46</v>
      </c>
      <c r="M6" s="211">
        <f>SUM(B6:L6)</f>
        <v>955</v>
      </c>
    </row>
    <row r="7" spans="1:20" x14ac:dyDescent="0.2">
      <c r="A7" s="55"/>
      <c r="B7" s="257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62</v>
      </c>
      <c r="B8" s="257">
        <f>[4]Airborne!$DY$8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'[4]Misc Cargo'!$DY$8</f>
        <v>1</v>
      </c>
      <c r="M8" s="208">
        <f>SUM(B8:L8)</f>
        <v>1</v>
      </c>
    </row>
    <row r="9" spans="1:20" ht="15" x14ac:dyDescent="0.25">
      <c r="A9" s="55" t="s">
        <v>63</v>
      </c>
      <c r="B9" s="442">
        <f>[4]Airborne!$DY$9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'[4]Misc Cargo'!$DY$9</f>
        <v>1</v>
      </c>
      <c r="M9" s="212">
        <f>SUM(B9:L9)</f>
        <v>1</v>
      </c>
      <c r="P9" s="15"/>
      <c r="Q9" s="338"/>
      <c r="R9" s="338"/>
      <c r="S9" s="338"/>
      <c r="T9" s="338"/>
    </row>
    <row r="10" spans="1:20" s="193" customFormat="1" x14ac:dyDescent="0.2">
      <c r="A10" s="209" t="s">
        <v>64</v>
      </c>
      <c r="B10" s="443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2</v>
      </c>
      <c r="M10" s="211">
        <f>SUM(B10:L10)</f>
        <v>2</v>
      </c>
    </row>
    <row r="11" spans="1:20" x14ac:dyDescent="0.2">
      <c r="A11" s="55"/>
      <c r="B11" s="257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44">
        <f>B6+B10</f>
        <v>0</v>
      </c>
      <c r="C12" s="214">
        <f>C6+C10</f>
        <v>40</v>
      </c>
      <c r="D12" s="214">
        <f>D6+D10</f>
        <v>192</v>
      </c>
      <c r="E12" s="214">
        <f>E6+E10</f>
        <v>169</v>
      </c>
      <c r="F12" s="215"/>
      <c r="G12" s="216">
        <f t="shared" ref="G12:L12" si="2">G6+G10</f>
        <v>0</v>
      </c>
      <c r="H12" s="216">
        <f t="shared" si="2"/>
        <v>40</v>
      </c>
      <c r="I12" s="216">
        <f t="shared" si="2"/>
        <v>428</v>
      </c>
      <c r="J12" s="216">
        <f t="shared" si="2"/>
        <v>0</v>
      </c>
      <c r="K12" s="216">
        <f t="shared" si="2"/>
        <v>40</v>
      </c>
      <c r="L12" s="216">
        <f t="shared" si="2"/>
        <v>48</v>
      </c>
      <c r="M12" s="217">
        <f>SUM(B12:L12)</f>
        <v>957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104</v>
      </c>
      <c r="B14" s="445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105</v>
      </c>
      <c r="B15" s="257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7">
        <f>[4]Airborne!$DY$47</f>
        <v>0</v>
      </c>
      <c r="C16" s="165">
        <f>[4]DHL!$DY$47</f>
        <v>581757</v>
      </c>
      <c r="D16" s="165">
        <f>[4]FedEx!$DY$47</f>
        <v>5737266</v>
      </c>
      <c r="E16" s="165">
        <f>[4]UPS!$DY$47</f>
        <v>4281484</v>
      </c>
      <c r="F16" s="196"/>
      <c r="G16" s="122">
        <f>[4]ATI_BAX!$DY$47</f>
        <v>0</v>
      </c>
      <c r="H16" s="122">
        <f>'[4]Suburban Air Freight'!$DY$47</f>
        <v>21591</v>
      </c>
      <c r="I16" s="493" t="s">
        <v>96</v>
      </c>
      <c r="J16" s="122">
        <f>'[4]CSA Air'!$DY$47</f>
        <v>0</v>
      </c>
      <c r="K16" s="122">
        <f>'[4]Mountain Cargo'!$DY$47</f>
        <v>37040</v>
      </c>
      <c r="L16" s="122">
        <f>'[4]Misc Cargo'!$DY$47</f>
        <v>35627</v>
      </c>
      <c r="M16" s="208">
        <f>SUM(B16:H16)+SUM(J16:L16)</f>
        <v>10694765</v>
      </c>
    </row>
    <row r="17" spans="1:14" x14ac:dyDescent="0.2">
      <c r="A17" s="55" t="s">
        <v>41</v>
      </c>
      <c r="B17" s="257">
        <f>[4]Airborne!$DY$48</f>
        <v>0</v>
      </c>
      <c r="C17" s="165">
        <f>[4]DHL!$DY$48</f>
        <v>0</v>
      </c>
      <c r="D17" s="165">
        <f>[4]FedEx!$DY$48</f>
        <v>0</v>
      </c>
      <c r="E17" s="165">
        <f>[4]UPS!$DY$48</f>
        <v>9579</v>
      </c>
      <c r="F17" s="196"/>
      <c r="G17" s="122">
        <f>[4]ATI_BAX!$DY$48</f>
        <v>0</v>
      </c>
      <c r="H17" s="122">
        <f>'[4]Suburban Air Freight'!$DY$48</f>
        <v>0</v>
      </c>
      <c r="I17" s="494"/>
      <c r="J17" s="122">
        <f>'[4]CSA Air'!$DY$48</f>
        <v>0</v>
      </c>
      <c r="K17" s="122">
        <f>'[4]Mountain Cargo'!$DY$48</f>
        <v>0</v>
      </c>
      <c r="L17" s="122">
        <f>'[4]Misc Cargo'!$DY$48</f>
        <v>0</v>
      </c>
      <c r="M17" s="208">
        <f>SUM(B17:H17)+SUM(J17:L17)</f>
        <v>9579</v>
      </c>
    </row>
    <row r="18" spans="1:14" ht="18" customHeight="1" x14ac:dyDescent="0.2">
      <c r="A18" s="223" t="s">
        <v>42</v>
      </c>
      <c r="B18" s="446">
        <f>SUM(B16:B17)</f>
        <v>0</v>
      </c>
      <c r="C18" s="313">
        <f>SUM(C16:C17)</f>
        <v>581757</v>
      </c>
      <c r="D18" s="313">
        <f>SUM(D16:D17)</f>
        <v>5737266</v>
      </c>
      <c r="E18" s="313">
        <f>SUM(E16:E17)</f>
        <v>4291063</v>
      </c>
      <c r="F18" s="201"/>
      <c r="G18" s="314">
        <f>SUM(G16:G17)</f>
        <v>0</v>
      </c>
      <c r="H18" s="314">
        <f>SUM(H16:H17)</f>
        <v>21591</v>
      </c>
      <c r="I18" s="494"/>
      <c r="J18" s="314">
        <f>SUM(J16:J17)</f>
        <v>0</v>
      </c>
      <c r="K18" s="314">
        <f>SUM(K16:K17)</f>
        <v>37040</v>
      </c>
      <c r="L18" s="314">
        <f>SUM(L16:L17)</f>
        <v>35627</v>
      </c>
      <c r="M18" s="224">
        <f>SUM(B18:H18)+SUM(J18:L18)</f>
        <v>10704344</v>
      </c>
      <c r="N18" s="7"/>
    </row>
    <row r="19" spans="1:14" x14ac:dyDescent="0.2">
      <c r="A19" s="55"/>
      <c r="B19" s="257"/>
      <c r="C19" s="165"/>
      <c r="D19" s="165"/>
      <c r="E19" s="165"/>
      <c r="F19" s="196"/>
      <c r="G19" s="122"/>
      <c r="H19" s="122"/>
      <c r="I19" s="494"/>
      <c r="J19" s="122"/>
      <c r="K19" s="122"/>
      <c r="L19" s="122"/>
      <c r="M19" s="208"/>
    </row>
    <row r="20" spans="1:14" x14ac:dyDescent="0.2">
      <c r="A20" s="225" t="s">
        <v>97</v>
      </c>
      <c r="B20" s="257"/>
      <c r="C20" s="165"/>
      <c r="D20" s="165"/>
      <c r="E20" s="165"/>
      <c r="F20" s="196"/>
      <c r="G20" s="122"/>
      <c r="H20" s="122"/>
      <c r="I20" s="494"/>
      <c r="J20" s="122"/>
      <c r="K20" s="122"/>
      <c r="L20" s="122"/>
      <c r="M20" s="208"/>
    </row>
    <row r="21" spans="1:14" x14ac:dyDescent="0.2">
      <c r="A21" s="55" t="s">
        <v>65</v>
      </c>
      <c r="B21" s="257">
        <f>[4]Airborne!$DY$52</f>
        <v>0</v>
      </c>
      <c r="C21" s="165">
        <f>[4]DHL!$DY$52</f>
        <v>416711</v>
      </c>
      <c r="D21" s="165">
        <f>[4]FedEx!$DY$52</f>
        <v>7955167</v>
      </c>
      <c r="E21" s="165">
        <f>[4]UPS!$DY$52</f>
        <v>3779424</v>
      </c>
      <c r="F21" s="196"/>
      <c r="G21" s="122">
        <f>[4]ATI_BAX!$DY$52</f>
        <v>0</v>
      </c>
      <c r="H21" s="122">
        <f>'[4]Suburban Air Freight'!$DY$52</f>
        <v>43546</v>
      </c>
      <c r="I21" s="494"/>
      <c r="J21" s="122">
        <f>'[4]CSA Air'!$DY$52</f>
        <v>0</v>
      </c>
      <c r="K21" s="122">
        <f>'[4]Mountain Cargo'!$DY$52</f>
        <v>126320</v>
      </c>
      <c r="L21" s="122">
        <f>'[4]Misc Cargo'!$DY$52</f>
        <v>36389</v>
      </c>
      <c r="M21" s="208">
        <f>SUM(B21:H21)+SUM(J21:L21)</f>
        <v>12357557</v>
      </c>
    </row>
    <row r="22" spans="1:14" x14ac:dyDescent="0.2">
      <c r="A22" s="55" t="s">
        <v>66</v>
      </c>
      <c r="B22" s="257">
        <f>[4]Airborne!$DY$53</f>
        <v>0</v>
      </c>
      <c r="C22" s="165">
        <f>[4]DHL!$DY$53</f>
        <v>0</v>
      </c>
      <c r="D22" s="165">
        <f>[4]FedEx!$DY$53</f>
        <v>0</v>
      </c>
      <c r="E22" s="165">
        <f>[4]UPS!$DY$53</f>
        <v>88225</v>
      </c>
      <c r="F22" s="196"/>
      <c r="G22" s="122">
        <f>[4]ATI_BAX!$DY$53</f>
        <v>0</v>
      </c>
      <c r="H22" s="122">
        <f>'[4]Suburban Air Freight'!$DY$53</f>
        <v>0</v>
      </c>
      <c r="I22" s="494"/>
      <c r="J22" s="122">
        <f>'[4]CSA Air'!$DY$53</f>
        <v>0</v>
      </c>
      <c r="K22" s="122">
        <f>'[4]Mountain Cargo'!$DY$53</f>
        <v>0</v>
      </c>
      <c r="L22" s="122">
        <f>'[4]Misc Cargo'!$DY$53</f>
        <v>0</v>
      </c>
      <c r="M22" s="208">
        <f>SUM(B22:H22)+SUM(J22:L22)</f>
        <v>88225</v>
      </c>
    </row>
    <row r="23" spans="1:14" ht="18" customHeight="1" x14ac:dyDescent="0.2">
      <c r="A23" s="223" t="s">
        <v>44</v>
      </c>
      <c r="B23" s="446">
        <f>SUM(B21:B22)</f>
        <v>0</v>
      </c>
      <c r="C23" s="313">
        <f>SUM(C21:C22)</f>
        <v>416711</v>
      </c>
      <c r="D23" s="313">
        <f>SUM(D21:D22)</f>
        <v>7955167</v>
      </c>
      <c r="E23" s="313">
        <f>SUM(E21:E22)</f>
        <v>3867649</v>
      </c>
      <c r="F23" s="201"/>
      <c r="G23" s="314">
        <f>SUM(G21:G22)</f>
        <v>0</v>
      </c>
      <c r="H23" s="314">
        <f>SUM(H21:H22)</f>
        <v>43546</v>
      </c>
      <c r="I23" s="494"/>
      <c r="J23" s="314">
        <f>SUM(J21:J22)</f>
        <v>0</v>
      </c>
      <c r="K23" s="314">
        <f>SUM(K21:K22)</f>
        <v>126320</v>
      </c>
      <c r="L23" s="314">
        <f>SUM(L21:L22)</f>
        <v>36389</v>
      </c>
      <c r="M23" s="224">
        <f>SUM(B23:H23)+SUM(J23:L23)</f>
        <v>12445782</v>
      </c>
    </row>
    <row r="24" spans="1:14" x14ac:dyDescent="0.2">
      <c r="A24" s="55"/>
      <c r="B24" s="257"/>
      <c r="C24" s="165"/>
      <c r="D24" s="165"/>
      <c r="E24" s="165"/>
      <c r="F24" s="196"/>
      <c r="G24" s="122"/>
      <c r="H24" s="122"/>
      <c r="I24" s="494"/>
      <c r="J24" s="122"/>
      <c r="K24" s="122"/>
      <c r="L24" s="122"/>
      <c r="M24" s="208"/>
    </row>
    <row r="25" spans="1:14" x14ac:dyDescent="0.2">
      <c r="A25" s="225" t="s">
        <v>106</v>
      </c>
      <c r="B25" s="257"/>
      <c r="C25" s="165"/>
      <c r="D25" s="165"/>
      <c r="E25" s="165"/>
      <c r="F25" s="196"/>
      <c r="G25" s="122"/>
      <c r="H25" s="122"/>
      <c r="I25" s="494"/>
      <c r="J25" s="122"/>
      <c r="K25" s="122"/>
      <c r="L25" s="122"/>
      <c r="M25" s="208"/>
    </row>
    <row r="26" spans="1:14" x14ac:dyDescent="0.2">
      <c r="A26" s="55" t="s">
        <v>65</v>
      </c>
      <c r="B26" s="257">
        <f>[4]Airborne!$DY$57</f>
        <v>0</v>
      </c>
      <c r="C26" s="165">
        <f>[4]DHL!$DY$57</f>
        <v>0</v>
      </c>
      <c r="D26" s="165">
        <f>[4]FedEx!$DY$57</f>
        <v>0</v>
      </c>
      <c r="E26" s="165">
        <f>[4]UPS!$DY$57</f>
        <v>0</v>
      </c>
      <c r="F26" s="196"/>
      <c r="G26" s="122">
        <f>[4]ATI_BAX!$DY$57</f>
        <v>0</v>
      </c>
      <c r="H26" s="122">
        <f>'[4]Suburban Air Freight'!$DY$57</f>
        <v>0</v>
      </c>
      <c r="I26" s="494"/>
      <c r="J26" s="122">
        <f>'[4]CSA Air'!$DY$57</f>
        <v>0</v>
      </c>
      <c r="K26" s="122">
        <f>'[4]Mountain Cargo'!$DY$57</f>
        <v>0</v>
      </c>
      <c r="L26" s="122">
        <f>'[4]Misc Cargo'!$DY$57</f>
        <v>0</v>
      </c>
      <c r="M26" s="208">
        <f>SUM(B26:H26)+SUM(J26:L26)</f>
        <v>0</v>
      </c>
    </row>
    <row r="27" spans="1:14" x14ac:dyDescent="0.2">
      <c r="A27" s="55" t="s">
        <v>66</v>
      </c>
      <c r="B27" s="257">
        <f>[4]Airborne!$DY$58</f>
        <v>0</v>
      </c>
      <c r="C27" s="165">
        <f>[4]DHL!$DY$58</f>
        <v>0</v>
      </c>
      <c r="D27" s="165">
        <f>[4]FedEx!$DY$58</f>
        <v>0</v>
      </c>
      <c r="E27" s="165">
        <f>[4]UPS!$DY$58</f>
        <v>0</v>
      </c>
      <c r="F27" s="196"/>
      <c r="G27" s="122">
        <f>[4]ATI_BAX!$DY$58</f>
        <v>0</v>
      </c>
      <c r="H27" s="122">
        <f>'[4]Suburban Air Freight'!$DY$58</f>
        <v>0</v>
      </c>
      <c r="I27" s="494"/>
      <c r="J27" s="122">
        <f>'[4]CSA Air'!$DY$58</f>
        <v>0</v>
      </c>
      <c r="K27" s="122">
        <f>'[4]Mountain Cargo'!$DY$58</f>
        <v>0</v>
      </c>
      <c r="L27" s="122">
        <f>'[4]Misc Cargo'!$DY$58</f>
        <v>0</v>
      </c>
      <c r="M27" s="208">
        <f>SUM(B27:H27)+SUM(J27:L27)</f>
        <v>0</v>
      </c>
    </row>
    <row r="28" spans="1:14" ht="18" customHeight="1" x14ac:dyDescent="0.2">
      <c r="A28" s="223" t="s">
        <v>46</v>
      </c>
      <c r="B28" s="446">
        <f>SUM(B26:B27)</f>
        <v>0</v>
      </c>
      <c r="C28" s="313">
        <f>SUM(C26:C27)</f>
        <v>0</v>
      </c>
      <c r="D28" s="313">
        <f>SUM(D26:D27)</f>
        <v>0</v>
      </c>
      <c r="E28" s="313">
        <f>SUM(E26:E27)</f>
        <v>0</v>
      </c>
      <c r="F28" s="201"/>
      <c r="G28" s="314">
        <f>SUM(G26:G27)</f>
        <v>0</v>
      </c>
      <c r="H28" s="314">
        <f>SUM(H26:H27)</f>
        <v>0</v>
      </c>
      <c r="I28" s="494"/>
      <c r="J28" s="314">
        <f>SUM(J26:J27)</f>
        <v>0</v>
      </c>
      <c r="K28" s="314">
        <f>SUM(K26:K27)</f>
        <v>0</v>
      </c>
      <c r="L28" s="314">
        <f>SUM(L26:L27)</f>
        <v>0</v>
      </c>
      <c r="M28" s="224">
        <f>SUM(B28:H28)+SUM(J28:L28)</f>
        <v>0</v>
      </c>
    </row>
    <row r="29" spans="1:14" x14ac:dyDescent="0.2">
      <c r="A29" s="55"/>
      <c r="B29" s="257"/>
      <c r="C29" s="165"/>
      <c r="D29" s="165"/>
      <c r="E29" s="165"/>
      <c r="F29" s="196"/>
      <c r="G29" s="122"/>
      <c r="H29" s="122"/>
      <c r="I29" s="494"/>
      <c r="J29" s="122"/>
      <c r="K29" s="122"/>
      <c r="L29" s="122"/>
      <c r="M29" s="208"/>
    </row>
    <row r="30" spans="1:14" x14ac:dyDescent="0.2">
      <c r="A30" s="226" t="s">
        <v>47</v>
      </c>
      <c r="B30" s="257"/>
      <c r="C30" s="165"/>
      <c r="D30" s="165"/>
      <c r="E30" s="165"/>
      <c r="F30" s="196"/>
      <c r="G30" s="122"/>
      <c r="H30" s="122"/>
      <c r="I30" s="494"/>
      <c r="J30" s="122"/>
      <c r="K30" s="122"/>
      <c r="L30" s="122"/>
      <c r="M30" s="208"/>
    </row>
    <row r="31" spans="1:14" x14ac:dyDescent="0.2">
      <c r="A31" s="55" t="s">
        <v>98</v>
      </c>
      <c r="B31" s="257">
        <f t="shared" ref="B31:E33" si="3">B26+B21+B16</f>
        <v>0</v>
      </c>
      <c r="C31" s="165">
        <f t="shared" si="3"/>
        <v>998468</v>
      </c>
      <c r="D31" s="165">
        <f t="shared" si="3"/>
        <v>13692433</v>
      </c>
      <c r="E31" s="165">
        <f t="shared" si="3"/>
        <v>8060908</v>
      </c>
      <c r="F31" s="196"/>
      <c r="G31" s="122">
        <f t="shared" ref="G31:H33" si="4">G26+G21+G16</f>
        <v>0</v>
      </c>
      <c r="H31" s="122">
        <f t="shared" si="4"/>
        <v>65137</v>
      </c>
      <c r="I31" s="494"/>
      <c r="J31" s="122">
        <f t="shared" ref="J31:L33" si="5">J26+J21+J16</f>
        <v>0</v>
      </c>
      <c r="K31" s="122">
        <f t="shared" si="5"/>
        <v>163360</v>
      </c>
      <c r="L31" s="122">
        <f>L26+L21+L16</f>
        <v>72016</v>
      </c>
      <c r="M31" s="208">
        <f>SUM(B31:H31)+SUM(J31:L31)</f>
        <v>23052322</v>
      </c>
    </row>
    <row r="32" spans="1:14" x14ac:dyDescent="0.2">
      <c r="A32" s="55" t="s">
        <v>66</v>
      </c>
      <c r="B32" s="257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97804</v>
      </c>
      <c r="F32" s="196"/>
      <c r="G32" s="122">
        <f t="shared" si="4"/>
        <v>0</v>
      </c>
      <c r="H32" s="122">
        <f t="shared" si="4"/>
        <v>0</v>
      </c>
      <c r="I32" s="495"/>
      <c r="J32" s="122">
        <f t="shared" si="5"/>
        <v>0</v>
      </c>
      <c r="K32" s="122">
        <f t="shared" si="5"/>
        <v>0</v>
      </c>
      <c r="L32" s="122">
        <f>L27+L22+L17</f>
        <v>0</v>
      </c>
      <c r="M32" s="212">
        <f>SUM(B32:H32)+SUM(J32:L32)</f>
        <v>97804</v>
      </c>
    </row>
    <row r="33" spans="1:13" ht="18" customHeight="1" thickBot="1" x14ac:dyDescent="0.25">
      <c r="A33" s="213" t="s">
        <v>49</v>
      </c>
      <c r="B33" s="444">
        <f t="shared" si="3"/>
        <v>0</v>
      </c>
      <c r="C33" s="214">
        <f t="shared" si="3"/>
        <v>998468</v>
      </c>
      <c r="D33" s="214">
        <f t="shared" si="3"/>
        <v>13692433</v>
      </c>
      <c r="E33" s="214">
        <f t="shared" si="3"/>
        <v>8158712</v>
      </c>
      <c r="F33" s="227"/>
      <c r="G33" s="216">
        <f t="shared" si="4"/>
        <v>0</v>
      </c>
      <c r="H33" s="216">
        <f t="shared" si="4"/>
        <v>65137</v>
      </c>
      <c r="I33" s="315">
        <f>I28+I23+I18</f>
        <v>0</v>
      </c>
      <c r="J33" s="216">
        <f t="shared" si="5"/>
        <v>0</v>
      </c>
      <c r="K33" s="216">
        <f t="shared" si="5"/>
        <v>163360</v>
      </c>
      <c r="L33" s="216">
        <f t="shared" si="5"/>
        <v>72016</v>
      </c>
      <c r="M33" s="217">
        <f>SUM(B33:H33)+SUM(J33:L33)</f>
        <v>23150126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February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27" sqref="I2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15">
        <v>42036</v>
      </c>
      <c r="B2" s="80" t="s">
        <v>69</v>
      </c>
      <c r="C2" s="80" t="s">
        <v>70</v>
      </c>
      <c r="D2" s="80" t="s">
        <v>71</v>
      </c>
      <c r="E2" s="327" t="s">
        <v>81</v>
      </c>
      <c r="F2" s="81" t="s">
        <v>207</v>
      </c>
      <c r="G2" s="81" t="s">
        <v>187</v>
      </c>
      <c r="H2" s="82" t="s">
        <v>72</v>
      </c>
      <c r="I2" s="83" t="s">
        <v>206</v>
      </c>
      <c r="J2" s="83" t="s">
        <v>185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4857907</v>
      </c>
      <c r="C5" s="122">
        <f>'Regional Major'!K25</f>
        <v>47</v>
      </c>
      <c r="D5" s="122">
        <f>Cargo!M16</f>
        <v>10694765</v>
      </c>
      <c r="E5" s="122">
        <f>SUM(B5:D5)</f>
        <v>15552719</v>
      </c>
      <c r="F5" s="122">
        <f>E5*0.00045359237</f>
        <v>7054.59467115403</v>
      </c>
      <c r="G5" s="150">
        <f>'[1]Cargo Summary'!F5</f>
        <v>6805.0322315113599</v>
      </c>
      <c r="H5" s="101">
        <f>(F5-G5)/G5</f>
        <v>3.6673219340100573E-2</v>
      </c>
      <c r="I5" s="150">
        <f>+F5+'[2]Cargo Summary'!$I$5</f>
        <v>14216.65943612453</v>
      </c>
      <c r="J5" s="150">
        <f>'[1]Cargo Summary'!I5</f>
        <v>13757.42709859595</v>
      </c>
      <c r="K5" s="88">
        <f>(I5-J5)/J5</f>
        <v>3.3380684792103876E-2</v>
      </c>
      <c r="M5" s="37"/>
    </row>
    <row r="6" spans="1:18" x14ac:dyDescent="0.2">
      <c r="A6" s="65" t="s">
        <v>18</v>
      </c>
      <c r="B6" s="173">
        <f>'Major Airline Stats'!J29</f>
        <v>1113520</v>
      </c>
      <c r="C6" s="122">
        <f>'Regional Major'!K26</f>
        <v>0</v>
      </c>
      <c r="D6" s="122">
        <f>Cargo!M17</f>
        <v>9579</v>
      </c>
      <c r="E6" s="122">
        <f>SUM(B6:D6)</f>
        <v>1123099</v>
      </c>
      <c r="F6" s="122">
        <f>E6*0.00045359237</f>
        <v>509.42913715462998</v>
      </c>
      <c r="G6" s="150">
        <f>'[1]Cargo Summary'!F6</f>
        <v>579.45654160470997</v>
      </c>
      <c r="H6" s="39">
        <f>(F6-G6)/G6</f>
        <v>-0.12085014047153658</v>
      </c>
      <c r="I6" s="150">
        <f>+F6+'[2]Cargo Summary'!$I$6</f>
        <v>1126.79965059816</v>
      </c>
      <c r="J6" s="150">
        <f>'[1]Cargo Summary'!I6</f>
        <v>1295.1808494124498</v>
      </c>
      <c r="K6" s="88">
        <f>(I6-J6)/J6</f>
        <v>-0.13000593615221748</v>
      </c>
      <c r="M6" s="37"/>
    </row>
    <row r="7" spans="1:18" ht="18" customHeight="1" thickBot="1" x14ac:dyDescent="0.25">
      <c r="A7" s="76" t="s">
        <v>78</v>
      </c>
      <c r="B7" s="175">
        <f>SUM(B5:B6)</f>
        <v>5971427</v>
      </c>
      <c r="C7" s="137">
        <f t="shared" ref="C7:J7" si="0">SUM(C5:C6)</f>
        <v>47</v>
      </c>
      <c r="D7" s="137">
        <f t="shared" si="0"/>
        <v>10704344</v>
      </c>
      <c r="E7" s="137">
        <f t="shared" si="0"/>
        <v>16675818</v>
      </c>
      <c r="F7" s="137">
        <f t="shared" si="0"/>
        <v>7564.0238083086597</v>
      </c>
      <c r="G7" s="137">
        <f t="shared" si="0"/>
        <v>7384.4887731160698</v>
      </c>
      <c r="H7" s="46">
        <f>(F7-G7)/G7</f>
        <v>2.4312452860136266E-2</v>
      </c>
      <c r="I7" s="137">
        <f t="shared" si="0"/>
        <v>15343.459086722691</v>
      </c>
      <c r="J7" s="137">
        <f t="shared" si="0"/>
        <v>15052.607948008401</v>
      </c>
      <c r="K7" s="329">
        <f>(I7-J7)/J7</f>
        <v>1.9322308779906285E-2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4329034</v>
      </c>
      <c r="C10" s="122">
        <f>'Regional Major'!K30</f>
        <v>0</v>
      </c>
      <c r="D10" s="122">
        <f>Cargo!M21</f>
        <v>12357557</v>
      </c>
      <c r="E10" s="122">
        <f>SUM(B10:D10)</f>
        <v>16686591</v>
      </c>
      <c r="F10" s="122">
        <f>E10*0.00045359237</f>
        <v>7568.9103589106699</v>
      </c>
      <c r="G10" s="150">
        <f>'[1]Cargo Summary'!F10</f>
        <v>7222.7840003958099</v>
      </c>
      <c r="H10" s="39">
        <f>(F10-G10)/G10</f>
        <v>4.7921460547053901E-2</v>
      </c>
      <c r="I10" s="150">
        <f>+F10+'[2]Cargo Summary'!$I$10</f>
        <v>15692.603648867531</v>
      </c>
      <c r="J10" s="150">
        <f>'[1]Cargo Summary'!I10</f>
        <v>15453.72512390784</v>
      </c>
      <c r="K10" s="88">
        <f>(I10-J10)/J10</f>
        <v>1.5457666228974907E-2</v>
      </c>
      <c r="M10" s="37"/>
    </row>
    <row r="11" spans="1:18" x14ac:dyDescent="0.2">
      <c r="A11" s="65" t="s">
        <v>18</v>
      </c>
      <c r="B11" s="173">
        <f>'Major Airline Stats'!J34</f>
        <v>711461</v>
      </c>
      <c r="C11" s="122">
        <f>'Regional Major'!K31</f>
        <v>0</v>
      </c>
      <c r="D11" s="122">
        <f>Cargo!M22</f>
        <v>88225</v>
      </c>
      <c r="E11" s="122">
        <f>SUM(B11:D11)</f>
        <v>799686</v>
      </c>
      <c r="F11" s="122">
        <f>E11*0.00045359237</f>
        <v>362.73146799581997</v>
      </c>
      <c r="G11" s="150">
        <f>'[1]Cargo Summary'!F11</f>
        <v>836.60531363562995</v>
      </c>
      <c r="H11" s="37">
        <f>(F11-G11)/G11</f>
        <v>-0.56642461853427595</v>
      </c>
      <c r="I11" s="150">
        <f>+F11+'[2]Cargo Summary'!$I$11</f>
        <v>796.64155787677998</v>
      </c>
      <c r="J11" s="150">
        <f>'[1]Cargo Summary'!I11</f>
        <v>1246.20330607696</v>
      </c>
      <c r="K11" s="88">
        <f>(I11-J11)/J11</f>
        <v>-0.36074510957236783</v>
      </c>
      <c r="M11" s="37"/>
    </row>
    <row r="12" spans="1:18" ht="18" customHeight="1" thickBot="1" x14ac:dyDescent="0.25">
      <c r="A12" s="76" t="s">
        <v>79</v>
      </c>
      <c r="B12" s="175">
        <f>SUM(B10:B11)</f>
        <v>5040495</v>
      </c>
      <c r="C12" s="137">
        <f t="shared" ref="C12:J12" si="1">SUM(C10:C11)</f>
        <v>0</v>
      </c>
      <c r="D12" s="137">
        <f t="shared" si="1"/>
        <v>12445782</v>
      </c>
      <c r="E12" s="137">
        <f t="shared" si="1"/>
        <v>17486277</v>
      </c>
      <c r="F12" s="137">
        <f t="shared" si="1"/>
        <v>7931.6418269064898</v>
      </c>
      <c r="G12" s="137">
        <f t="shared" si="1"/>
        <v>8059.3893140314394</v>
      </c>
      <c r="H12" s="46">
        <f>(F12-G12)/G12</f>
        <v>-1.5850765132110024E-2</v>
      </c>
      <c r="I12" s="137">
        <f t="shared" si="1"/>
        <v>16489.245206744312</v>
      </c>
      <c r="J12" s="137">
        <f t="shared" si="1"/>
        <v>16699.9284299848</v>
      </c>
      <c r="K12" s="329">
        <f>(I12-J12)/J12</f>
        <v>-1.2615815937402814E-2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7" t="e">
        <f>(F15-G15)/G15</f>
        <v>#DIV/0!</v>
      </c>
      <c r="I15" s="150">
        <f>+F15+'[2]Cargo Summary'!$I$15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Summary'!$I$16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9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9186941</v>
      </c>
      <c r="C20" s="122">
        <f t="shared" si="3"/>
        <v>47</v>
      </c>
      <c r="D20" s="122">
        <f t="shared" si="3"/>
        <v>23052322</v>
      </c>
      <c r="E20" s="122">
        <f>SUM(B20:D20)</f>
        <v>32239310</v>
      </c>
      <c r="F20" s="122">
        <f>E20*0.00045359237</f>
        <v>14623.5050300647</v>
      </c>
      <c r="G20" s="150">
        <f>'[1]Cargo Summary'!F20</f>
        <v>14027.816231907169</v>
      </c>
      <c r="H20" s="39">
        <f>(F20-G20)/G20</f>
        <v>4.2464827618898984E-2</v>
      </c>
      <c r="I20" s="150">
        <f>+I5+I10+I15</f>
        <v>29909.263084992061</v>
      </c>
      <c r="J20" s="150">
        <f>+J5+J10+J15</f>
        <v>29211.152222503792</v>
      </c>
      <c r="K20" s="88">
        <f>(I20-J20)/J20</f>
        <v>2.3898778698310159E-2</v>
      </c>
      <c r="M20" s="37"/>
    </row>
    <row r="21" spans="1:13" x14ac:dyDescent="0.2">
      <c r="A21" s="65" t="s">
        <v>18</v>
      </c>
      <c r="B21" s="173">
        <f t="shared" si="3"/>
        <v>1824981</v>
      </c>
      <c r="C21" s="124">
        <f t="shared" si="3"/>
        <v>0</v>
      </c>
      <c r="D21" s="124">
        <f t="shared" si="3"/>
        <v>97804</v>
      </c>
      <c r="E21" s="122">
        <f>SUM(B21:D21)</f>
        <v>1922785</v>
      </c>
      <c r="F21" s="122">
        <f>E21*0.00045359237</f>
        <v>872.16060515045001</v>
      </c>
      <c r="G21" s="150">
        <f>'[1]Cargo Summary'!F21</f>
        <v>1416.06185524034</v>
      </c>
      <c r="H21" s="39">
        <f>(F21-G21)/G21</f>
        <v>-0.38409427390272921</v>
      </c>
      <c r="I21" s="150">
        <f>+I6+I11+I16</f>
        <v>1923.4412084749401</v>
      </c>
      <c r="J21" s="150">
        <f>+J6+J11+J16</f>
        <v>2541.3841554894097</v>
      </c>
      <c r="K21" s="88">
        <f>(I21-J21)/J21</f>
        <v>-0.24315212073692519</v>
      </c>
      <c r="M21" s="37"/>
    </row>
    <row r="22" spans="1:13" ht="18" customHeight="1" thickBot="1" x14ac:dyDescent="0.25">
      <c r="A22" s="91" t="s">
        <v>68</v>
      </c>
      <c r="B22" s="176">
        <f>SUM(B20:B21)</f>
        <v>11011922</v>
      </c>
      <c r="C22" s="177">
        <f t="shared" ref="C22:J22" si="4">SUM(C20:C21)</f>
        <v>47</v>
      </c>
      <c r="D22" s="177">
        <f t="shared" si="4"/>
        <v>23150126</v>
      </c>
      <c r="E22" s="177">
        <f t="shared" si="4"/>
        <v>34162095</v>
      </c>
      <c r="F22" s="177">
        <f t="shared" si="4"/>
        <v>15495.665635215149</v>
      </c>
      <c r="G22" s="177">
        <f t="shared" si="4"/>
        <v>15443.878087147508</v>
      </c>
      <c r="H22" s="335">
        <f>(F22-G22)/G22</f>
        <v>3.3532735609159659E-3</v>
      </c>
      <c r="I22" s="177">
        <f t="shared" si="4"/>
        <v>31832.704293467003</v>
      </c>
      <c r="J22" s="177">
        <f t="shared" si="4"/>
        <v>31752.536377993201</v>
      </c>
      <c r="K22" s="336">
        <f>(I22-J22)/J22</f>
        <v>2.5247720219718703E-3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B35" sqref="B3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415">
        <v>42036</v>
      </c>
      <c r="B1" s="12" t="s">
        <v>20</v>
      </c>
      <c r="C1" s="282" t="s">
        <v>55</v>
      </c>
      <c r="D1" s="474" t="s">
        <v>193</v>
      </c>
      <c r="E1" s="282" t="s">
        <v>214</v>
      </c>
      <c r="F1" s="282" t="s">
        <v>215</v>
      </c>
      <c r="G1" s="282" t="s">
        <v>53</v>
      </c>
      <c r="H1" s="282" t="s">
        <v>126</v>
      </c>
      <c r="I1" s="282" t="s">
        <v>111</v>
      </c>
      <c r="J1" s="282" t="s">
        <v>211</v>
      </c>
      <c r="K1" s="282" t="s">
        <v>188</v>
      </c>
      <c r="L1" s="282" t="s">
        <v>56</v>
      </c>
      <c r="M1" s="282" t="s">
        <v>158</v>
      </c>
      <c r="N1" s="282" t="s">
        <v>24</v>
      </c>
    </row>
    <row r="2" spans="1:14" ht="15" x14ac:dyDescent="0.25">
      <c r="A2" s="500" t="s">
        <v>159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2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[4]Delta!$DY$32</f>
        <v>62757</v>
      </c>
      <c r="C4" s="22">
        <f>'[4]Atlantic Southeast'!$DY$32</f>
        <v>497</v>
      </c>
      <c r="D4" s="22">
        <f>[4]Pinnacle!$DY$32</f>
        <v>17700</v>
      </c>
      <c r="E4" s="22">
        <f>[4]Compass!$DY$32</f>
        <v>3155</v>
      </c>
      <c r="F4" s="22">
        <f>'[4]Sky West'!$DY$32</f>
        <v>4704</v>
      </c>
      <c r="G4" s="22">
        <f>'[4]Sun Country'!$DY$32</f>
        <v>31410</v>
      </c>
      <c r="H4" s="22">
        <f>[4]Icelandair!$DY$32</f>
        <v>0</v>
      </c>
      <c r="I4" s="22">
        <f>[4]AirCanada!$DY$32</f>
        <v>2506</v>
      </c>
      <c r="J4" s="22">
        <f>[4]Condor!$DY$32</f>
        <v>0</v>
      </c>
      <c r="K4" s="22">
        <f>'[4]Air France'!$DY$32</f>
        <v>0</v>
      </c>
      <c r="L4" s="22">
        <f>[4]Comair!$DY$32</f>
        <v>0</v>
      </c>
      <c r="M4" s="22">
        <f>'[4]Charter Misc'!$DY$32+[4]Ryan!$DY$32+[4]Omni!$DY$32</f>
        <v>0</v>
      </c>
      <c r="N4" s="291">
        <f>SUM(B4:M4)</f>
        <v>122729</v>
      </c>
    </row>
    <row r="5" spans="1:14" x14ac:dyDescent="0.2">
      <c r="A5" s="65" t="s">
        <v>34</v>
      </c>
      <c r="B5" s="14">
        <f>[4]Delta!$DY$33</f>
        <v>61175</v>
      </c>
      <c r="C5" s="14">
        <f>'[4]Atlantic Southeast'!$DY$33</f>
        <v>634</v>
      </c>
      <c r="D5" s="14">
        <f>[4]Pinnacle!$DY$33</f>
        <v>17702</v>
      </c>
      <c r="E5" s="14">
        <f>[4]Compass!$DY$33</f>
        <v>3111</v>
      </c>
      <c r="F5" s="14">
        <f>'[4]Sky West'!$DY$33</f>
        <v>4649</v>
      </c>
      <c r="G5" s="14">
        <f>'[4]Sun Country'!$DY$33</f>
        <v>33827</v>
      </c>
      <c r="H5" s="14">
        <f>[4]Icelandair!$DY$33</f>
        <v>0</v>
      </c>
      <c r="I5" s="14">
        <f>[4]AirCanada!$DY$33</f>
        <v>2555</v>
      </c>
      <c r="J5" s="14">
        <f>[4]Condor!$DX$33</f>
        <v>0</v>
      </c>
      <c r="K5" s="14">
        <f>'[4]Air France'!$DX$33</f>
        <v>0</v>
      </c>
      <c r="L5" s="14">
        <f>[4]Comair!$DX$33</f>
        <v>0</v>
      </c>
      <c r="M5" s="14">
        <f>'[4]Charter Misc'!$DX$33++[4]Ryan!$DX$33+[4]Omni!$DX$33</f>
        <v>0</v>
      </c>
      <c r="N5" s="292">
        <f>SUM(B5:M5)</f>
        <v>123653</v>
      </c>
    </row>
    <row r="6" spans="1:14" ht="15" x14ac:dyDescent="0.25">
      <c r="A6" s="63" t="s">
        <v>7</v>
      </c>
      <c r="B6" s="36">
        <f t="shared" ref="B6:M6" si="0">SUM(B4:B5)</f>
        <v>123932</v>
      </c>
      <c r="C6" s="36">
        <f t="shared" si="0"/>
        <v>1131</v>
      </c>
      <c r="D6" s="36">
        <f t="shared" si="0"/>
        <v>35402</v>
      </c>
      <c r="E6" s="36">
        <f t="shared" si="0"/>
        <v>6266</v>
      </c>
      <c r="F6" s="36">
        <f t="shared" si="0"/>
        <v>9353</v>
      </c>
      <c r="G6" s="36">
        <f t="shared" si="0"/>
        <v>65237</v>
      </c>
      <c r="H6" s="36">
        <f t="shared" si="0"/>
        <v>0</v>
      </c>
      <c r="I6" s="36">
        <f t="shared" si="0"/>
        <v>5061</v>
      </c>
      <c r="J6" s="36">
        <f>SUM(J4:J5)</f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93">
        <f>SUM(B6:M6)</f>
        <v>246382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91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91">
        <f>SUM(B8:M8)</f>
        <v>0</v>
      </c>
    </row>
    <row r="9" spans="1:14" x14ac:dyDescent="0.2">
      <c r="A9" s="65" t="s">
        <v>33</v>
      </c>
      <c r="B9" s="22">
        <f>[4]Delta!$DY$37</f>
        <v>2088</v>
      </c>
      <c r="C9" s="22">
        <f>'[4]Atlantic Southeast'!$DY$37</f>
        <v>6</v>
      </c>
      <c r="D9" s="22">
        <f>[4]Pinnacle!$DY$37</f>
        <v>258</v>
      </c>
      <c r="E9" s="22">
        <f>[4]Compass!$DY$37</f>
        <v>40</v>
      </c>
      <c r="F9" s="22">
        <f>'[4]Sky West'!$DY$37</f>
        <v>59</v>
      </c>
      <c r="G9" s="22">
        <f>'[4]Sun Country'!$DY$37</f>
        <v>169</v>
      </c>
      <c r="H9" s="22">
        <f>[4]Icelandair!$DY$37</f>
        <v>0</v>
      </c>
      <c r="I9" s="22">
        <f>[4]AirCanada!$DY$37</f>
        <v>40</v>
      </c>
      <c r="J9" s="22">
        <f>[4]Condor!$DY$37</f>
        <v>0</v>
      </c>
      <c r="K9" s="22">
        <f>'[4]Air France'!$DY$37</f>
        <v>0</v>
      </c>
      <c r="L9" s="22">
        <f>[4]Comair!$DY$37</f>
        <v>0</v>
      </c>
      <c r="M9" s="22">
        <f>'[4]Charter Misc'!$DY$37+[4]Ryan!$DY$37+[4]Omni!$DY$37</f>
        <v>0</v>
      </c>
      <c r="N9" s="291">
        <f>SUM(B9:M9)</f>
        <v>2660</v>
      </c>
    </row>
    <row r="10" spans="1:14" x14ac:dyDescent="0.2">
      <c r="A10" s="65" t="s">
        <v>36</v>
      </c>
      <c r="B10" s="14">
        <f>[4]Delta!$DY$38</f>
        <v>2098</v>
      </c>
      <c r="C10" s="14">
        <f>'[4]Atlantic Southeast'!$DY$38</f>
        <v>2</v>
      </c>
      <c r="D10" s="14">
        <f>[4]Pinnacle!$DY$38</f>
        <v>308</v>
      </c>
      <c r="E10" s="14">
        <f>[4]Compass!$DY$38</f>
        <v>47</v>
      </c>
      <c r="F10" s="14">
        <f>'[4]Sky West'!$DY$38</f>
        <v>47</v>
      </c>
      <c r="G10" s="14">
        <f>'[4]Sun Country'!$DY$38</f>
        <v>139</v>
      </c>
      <c r="H10" s="14">
        <f>[4]Icelandair!$DY$38</f>
        <v>0</v>
      </c>
      <c r="I10" s="14">
        <f>[4]AirCanada!$DY$38</f>
        <v>47</v>
      </c>
      <c r="J10" s="14">
        <f>[4]Condor!$DY$38</f>
        <v>0</v>
      </c>
      <c r="K10" s="14">
        <f>'[4]Air France'!$DY$38</f>
        <v>0</v>
      </c>
      <c r="L10" s="14">
        <f>[4]Comair!$DY$38</f>
        <v>0</v>
      </c>
      <c r="M10" s="14">
        <f>'[4]Charter Misc'!$DY$38+[4]Ryan!$DY$38+[4]Omni!$DY$38</f>
        <v>0</v>
      </c>
      <c r="N10" s="292">
        <f>SUM(B10:M10)</f>
        <v>2688</v>
      </c>
    </row>
    <row r="11" spans="1:14" ht="15.75" thickBot="1" x14ac:dyDescent="0.3">
      <c r="A11" s="66" t="s">
        <v>37</v>
      </c>
      <c r="B11" s="294">
        <f t="shared" ref="B11:G11" si="1">SUM(B9:B10)</f>
        <v>4186</v>
      </c>
      <c r="C11" s="294">
        <f t="shared" si="1"/>
        <v>8</v>
      </c>
      <c r="D11" s="294">
        <f t="shared" si="1"/>
        <v>566</v>
      </c>
      <c r="E11" s="294">
        <f t="shared" si="1"/>
        <v>87</v>
      </c>
      <c r="F11" s="294">
        <f t="shared" si="1"/>
        <v>106</v>
      </c>
      <c r="G11" s="294">
        <f t="shared" si="1"/>
        <v>308</v>
      </c>
      <c r="H11" s="294">
        <f t="shared" ref="H11:M11" si="2">SUM(H9:H10)</f>
        <v>0</v>
      </c>
      <c r="I11" s="294">
        <f t="shared" si="2"/>
        <v>87</v>
      </c>
      <c r="J11" s="294">
        <f t="shared" si="2"/>
        <v>0</v>
      </c>
      <c r="K11" s="294">
        <f t="shared" si="2"/>
        <v>0</v>
      </c>
      <c r="L11" s="294">
        <f t="shared" si="2"/>
        <v>0</v>
      </c>
      <c r="M11" s="294">
        <f t="shared" si="2"/>
        <v>0</v>
      </c>
      <c r="N11" s="295">
        <f>SUM(B11:M11)</f>
        <v>5348</v>
      </c>
    </row>
    <row r="12" spans="1:14" ht="15" x14ac:dyDescent="0.25">
      <c r="A12" s="420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1:14" ht="26.25" thickBot="1" x14ac:dyDescent="0.25">
      <c r="B13" s="12" t="s">
        <v>20</v>
      </c>
      <c r="C13" s="282" t="s">
        <v>55</v>
      </c>
      <c r="D13" s="474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82" t="s">
        <v>211</v>
      </c>
      <c r="K13" s="12" t="s">
        <v>188</v>
      </c>
      <c r="L13" s="12" t="s">
        <v>56</v>
      </c>
      <c r="M13" s="12" t="s">
        <v>158</v>
      </c>
      <c r="N13" s="282" t="s">
        <v>160</v>
      </c>
    </row>
    <row r="14" spans="1:14" ht="15" x14ac:dyDescent="0.25">
      <c r="A14" s="503" t="s">
        <v>161</v>
      </c>
      <c r="B14" s="504"/>
      <c r="C14" s="504"/>
      <c r="D14" s="504"/>
      <c r="E14" s="504"/>
      <c r="F14" s="504"/>
      <c r="G14" s="504"/>
      <c r="H14" s="504"/>
      <c r="I14" s="504"/>
      <c r="J14" s="504"/>
      <c r="K14" s="504"/>
      <c r="L14" s="504"/>
      <c r="M14" s="504"/>
      <c r="N14" s="505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SUM([4]Delta!$DX$32:$DY$32)</f>
        <v>127070</v>
      </c>
      <c r="C16" s="22">
        <f>SUM('[4]Atlantic Southeast'!$DX$32:$DY$32)</f>
        <v>1401</v>
      </c>
      <c r="D16" s="22">
        <f>SUM([4]Pinnacle!$DX$32:$DY$32)</f>
        <v>35670</v>
      </c>
      <c r="E16" s="22">
        <f>SUM([4]Compass!$DX$32:$DY$32)</f>
        <v>6274</v>
      </c>
      <c r="F16" s="22">
        <f>SUM('[4]Sky West'!$DX$32:$DY$32)</f>
        <v>10347</v>
      </c>
      <c r="G16" s="22">
        <f>SUM('[4]Sun Country'!$DX$32:$DY$32)</f>
        <v>52701</v>
      </c>
      <c r="H16" s="22">
        <f>SUM([4]Icelandair!$DX$32:$DY$32)</f>
        <v>0</v>
      </c>
      <c r="I16" s="22">
        <f>SUM([4]AirCanada!$DX$32:$DY$32)</f>
        <v>5756</v>
      </c>
      <c r="J16" s="22">
        <f>SUM([4]Condor!$DX$32:$DY$32)</f>
        <v>0</v>
      </c>
      <c r="K16" s="22">
        <f>SUM('[4]Air France'!$DX$32:$DY$32)</f>
        <v>0</v>
      </c>
      <c r="L16" s="22">
        <f>SUM([4]Comair!$DX$32:$DY$32)</f>
        <v>0</v>
      </c>
      <c r="M16" s="22">
        <f>SUM('[4]Charter Misc'!$DX$32:$DY$32)+SUM([4]Ryan!$DX$32:$DY$32)+SUM([4]Omni!$DX$32:$DY$32)</f>
        <v>0</v>
      </c>
      <c r="N16" s="291">
        <f>SUM(B16:M16)</f>
        <v>239219</v>
      </c>
    </row>
    <row r="17" spans="1:14" x14ac:dyDescent="0.2">
      <c r="A17" s="65" t="s">
        <v>34</v>
      </c>
      <c r="B17" s="14">
        <f>SUM([4]Delta!$DX$33:$DY$33)</f>
        <v>123333</v>
      </c>
      <c r="C17" s="14">
        <f>SUM('[4]Atlantic Southeast'!$DX$33:$DY$33)</f>
        <v>1766</v>
      </c>
      <c r="D17" s="14">
        <f>SUM([4]Pinnacle!$DX$33:$DY$33)</f>
        <v>35631</v>
      </c>
      <c r="E17" s="14">
        <f>SUM([4]Compass!$DX$33:$DY$33)</f>
        <v>5951</v>
      </c>
      <c r="F17" s="14">
        <f>SUM('[4]Sky West'!$DX$33:$DY$33)</f>
        <v>9695</v>
      </c>
      <c r="G17" s="14">
        <f>SUM('[4]Sun Country'!$DX$33:$DY$33)</f>
        <v>57156</v>
      </c>
      <c r="H17" s="14">
        <f>SUM([4]Icelandair!$DX$33:$DY$33)</f>
        <v>0</v>
      </c>
      <c r="I17" s="14">
        <f>SUM([4]AirCanada!$DX$33:$DY$33)</f>
        <v>5701</v>
      </c>
      <c r="J17" s="14">
        <f>SUM([4]Condor!$DX$33:$DY$33)</f>
        <v>0</v>
      </c>
      <c r="K17" s="14">
        <f>SUM('[4]Air France'!$DX$33:$DY$33)</f>
        <v>0</v>
      </c>
      <c r="L17" s="14">
        <f>SUM([4]Comair!$DX$33:$DY$33)</f>
        <v>0</v>
      </c>
      <c r="M17" s="14">
        <f>SUM('[4]Charter Misc'!$DX$33:$DY$33)++SUM([4]Ryan!$DX$33:$DY$33)+SUM([4]Omni!$DX$33:$DY$33)</f>
        <v>0</v>
      </c>
      <c r="N17" s="292">
        <f>SUM(B17:M17)</f>
        <v>239233</v>
      </c>
    </row>
    <row r="18" spans="1:14" ht="15" x14ac:dyDescent="0.25">
      <c r="A18" s="63" t="s">
        <v>7</v>
      </c>
      <c r="B18" s="36">
        <f t="shared" ref="B18:M18" si="3">SUM(B16:B17)</f>
        <v>250403</v>
      </c>
      <c r="C18" s="36">
        <f t="shared" si="3"/>
        <v>3167</v>
      </c>
      <c r="D18" s="36">
        <f t="shared" si="3"/>
        <v>71301</v>
      </c>
      <c r="E18" s="36">
        <f t="shared" si="3"/>
        <v>12225</v>
      </c>
      <c r="F18" s="36">
        <f t="shared" si="3"/>
        <v>20042</v>
      </c>
      <c r="G18" s="36">
        <f t="shared" si="3"/>
        <v>109857</v>
      </c>
      <c r="H18" s="36">
        <f t="shared" si="3"/>
        <v>0</v>
      </c>
      <c r="I18" s="36">
        <f t="shared" si="3"/>
        <v>11457</v>
      </c>
      <c r="J18" s="36">
        <f>SUM(J16:J17)</f>
        <v>0</v>
      </c>
      <c r="K18" s="36">
        <f t="shared" si="3"/>
        <v>0</v>
      </c>
      <c r="L18" s="36">
        <f t="shared" si="3"/>
        <v>0</v>
      </c>
      <c r="M18" s="36">
        <f t="shared" si="3"/>
        <v>0</v>
      </c>
      <c r="N18" s="293">
        <f>SUM(B18:M18)</f>
        <v>478452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91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91">
        <f>SUM(B20:M20)</f>
        <v>0</v>
      </c>
    </row>
    <row r="21" spans="1:14" x14ac:dyDescent="0.2">
      <c r="A21" s="65" t="s">
        <v>33</v>
      </c>
      <c r="B21" s="22">
        <f>SUM([4]Delta!$DX$37:$DY$37)</f>
        <v>3762</v>
      </c>
      <c r="C21" s="22">
        <f>SUM('[4]Atlantic Southeast'!$DX$37:$DY$37)</f>
        <v>27</v>
      </c>
      <c r="D21" s="22">
        <f>SUM([4]Pinnacle!$DX$37:$DY$37)</f>
        <v>522</v>
      </c>
      <c r="E21" s="22">
        <f>SUM([4]Compass!$DX$37:$DY$37)</f>
        <v>95</v>
      </c>
      <c r="F21" s="22">
        <f>SUM('[4]Sky West'!$DX$37:$DY$37)</f>
        <v>147</v>
      </c>
      <c r="G21" s="22">
        <f>SUM('[4]Sun Country'!$DX$37:$DY$37)</f>
        <v>349</v>
      </c>
      <c r="H21" s="22">
        <f>SUM([4]Icelandair!$DX$37:$DY$37)</f>
        <v>0</v>
      </c>
      <c r="I21" s="22">
        <f>SUM([4]AirCanada!$DX$37:$DY$37)</f>
        <v>86</v>
      </c>
      <c r="J21" s="22">
        <f>SUM([4]Condor!$DX$37:$DY$37)</f>
        <v>0</v>
      </c>
      <c r="K21" s="22">
        <f>SUM('[4]Air France'!$DX$37:$DY$37)</f>
        <v>0</v>
      </c>
      <c r="L21" s="22">
        <f>SUM([4]Comair!$DX$37:$DY$37)</f>
        <v>0</v>
      </c>
      <c r="M21" s="22">
        <f>SUM('[4]Charter Misc'!$DX$37:$DY$37)++SUM([4]Ryan!$DX$37:$DY$37)+SUM([4]Omni!$DX$37:$DY$37)</f>
        <v>0</v>
      </c>
      <c r="N21" s="291">
        <f>SUM(B21:M21)</f>
        <v>4988</v>
      </c>
    </row>
    <row r="22" spans="1:14" x14ac:dyDescent="0.2">
      <c r="A22" s="65" t="s">
        <v>36</v>
      </c>
      <c r="B22" s="14">
        <f>SUM([4]Delta!$DX$38:$DY$38)</f>
        <v>3650</v>
      </c>
      <c r="C22" s="14">
        <f>SUM('[4]Atlantic Southeast'!$DX$38:$DY$38)</f>
        <v>9</v>
      </c>
      <c r="D22" s="14">
        <f>SUM([4]Pinnacle!$DX$38:$DY$38)</f>
        <v>546</v>
      </c>
      <c r="E22" s="14">
        <f>SUM([4]Compass!$DX$38:$DY$38)</f>
        <v>108</v>
      </c>
      <c r="F22" s="14">
        <f>SUM('[4]Sky West'!$DX$38:$DY$38)</f>
        <v>118</v>
      </c>
      <c r="G22" s="14">
        <f>SUM('[4]Sun Country'!$DX$38:$DY$38)</f>
        <v>342</v>
      </c>
      <c r="H22" s="14">
        <f>SUM([4]Icelandair!$DX$38:$DY$38)</f>
        <v>0</v>
      </c>
      <c r="I22" s="14">
        <f>SUM([4]AirCanada!$DX$38:$DY$38)</f>
        <v>82</v>
      </c>
      <c r="J22" s="14">
        <f>SUM([4]Condor!$DX$38:$DY$38)</f>
        <v>0</v>
      </c>
      <c r="K22" s="14">
        <f>SUM('[4]Air France'!$DX$38:$DY$38)</f>
        <v>0</v>
      </c>
      <c r="L22" s="14">
        <f>SUM([4]Comair!$DX$38:$DY$38)</f>
        <v>0</v>
      </c>
      <c r="M22" s="14">
        <f>SUM('[4]Charter Misc'!$DX$38:$DY$38)++SUM([4]Ryan!$DX$38:$DY$38)+SUM([4]Omni!$DX$38:$DY$38)</f>
        <v>0</v>
      </c>
      <c r="N22" s="292">
        <f>SUM(B22:M22)</f>
        <v>4855</v>
      </c>
    </row>
    <row r="23" spans="1:14" ht="15.75" thickBot="1" x14ac:dyDescent="0.3">
      <c r="A23" s="66" t="s">
        <v>37</v>
      </c>
      <c r="B23" s="294">
        <f t="shared" ref="B23:M23" si="4">SUM(B21:B22)</f>
        <v>7412</v>
      </c>
      <c r="C23" s="294">
        <f t="shared" si="4"/>
        <v>36</v>
      </c>
      <c r="D23" s="294">
        <f t="shared" si="4"/>
        <v>1068</v>
      </c>
      <c r="E23" s="294">
        <f t="shared" si="4"/>
        <v>203</v>
      </c>
      <c r="F23" s="294">
        <f t="shared" si="4"/>
        <v>265</v>
      </c>
      <c r="G23" s="294">
        <f t="shared" si="4"/>
        <v>691</v>
      </c>
      <c r="H23" s="294">
        <f t="shared" si="4"/>
        <v>0</v>
      </c>
      <c r="I23" s="294">
        <f t="shared" si="4"/>
        <v>168</v>
      </c>
      <c r="J23" s="294">
        <f>SUM(J21:J22)</f>
        <v>0</v>
      </c>
      <c r="K23" s="294">
        <f t="shared" si="4"/>
        <v>0</v>
      </c>
      <c r="L23" s="294">
        <f t="shared" si="4"/>
        <v>0</v>
      </c>
      <c r="M23" s="294">
        <f t="shared" si="4"/>
        <v>0</v>
      </c>
      <c r="N23" s="295">
        <f>SUM(B23:M23)</f>
        <v>9843</v>
      </c>
    </row>
    <row r="25" spans="1:14" ht="26.25" thickBot="1" x14ac:dyDescent="0.25">
      <c r="B25" s="12" t="s">
        <v>20</v>
      </c>
      <c r="C25" s="282" t="s">
        <v>55</v>
      </c>
      <c r="D25" s="474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82" t="s">
        <v>211</v>
      </c>
      <c r="K25" s="12" t="s">
        <v>188</v>
      </c>
      <c r="L25" s="12" t="s">
        <v>56</v>
      </c>
      <c r="M25" s="12" t="s">
        <v>158</v>
      </c>
      <c r="N25" s="282" t="s">
        <v>24</v>
      </c>
    </row>
    <row r="26" spans="1:14" ht="15" x14ac:dyDescent="0.25">
      <c r="A26" s="506" t="s">
        <v>162</v>
      </c>
      <c r="B26" s="507"/>
      <c r="C26" s="507"/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8"/>
    </row>
    <row r="27" spans="1:14" x14ac:dyDescent="0.2">
      <c r="A27" s="65" t="s">
        <v>25</v>
      </c>
      <c r="B27" s="22">
        <f>[4]Delta!$DY$15</f>
        <v>429</v>
      </c>
      <c r="C27" s="22">
        <f>'[4]Atlantic Southeast'!$DY$15</f>
        <v>9</v>
      </c>
      <c r="D27" s="22">
        <f>[4]Pinnacle!$DY$15</f>
        <v>313</v>
      </c>
      <c r="E27" s="22">
        <f>[4]Compass!$DY$15</f>
        <v>48</v>
      </c>
      <c r="F27" s="22">
        <f>'[4]Sky West'!$DY$15</f>
        <v>96</v>
      </c>
      <c r="G27" s="22">
        <f>'[4]Sun Country'!$DY$15</f>
        <v>246</v>
      </c>
      <c r="H27" s="22">
        <f>[4]Icelandair!$DY$15</f>
        <v>0</v>
      </c>
      <c r="I27" s="22">
        <f>[4]AirCanada!$DY$15</f>
        <v>79</v>
      </c>
      <c r="J27" s="22">
        <f>[4]Condor!$DY$15</f>
        <v>0</v>
      </c>
      <c r="K27" s="22">
        <f>'[4]Air France'!$DY$15</f>
        <v>0</v>
      </c>
      <c r="L27" s="22">
        <f>[4]Comair!$DY$15</f>
        <v>0</v>
      </c>
      <c r="M27" s="22">
        <f>'[4]Charter Misc'!$DY$15+[4]Ryan!$DY$15+[4]Omni!$DY$15</f>
        <v>0</v>
      </c>
      <c r="N27" s="291">
        <f>SUM(B27:M27)</f>
        <v>1220</v>
      </c>
    </row>
    <row r="28" spans="1:14" x14ac:dyDescent="0.2">
      <c r="A28" s="65" t="s">
        <v>26</v>
      </c>
      <c r="B28" s="22">
        <f>[4]Delta!$DY$16</f>
        <v>425</v>
      </c>
      <c r="C28" s="22">
        <f>'[4]Atlantic Southeast'!$DY$16</f>
        <v>12</v>
      </c>
      <c r="D28" s="22">
        <f>[4]Pinnacle!$DY$16</f>
        <v>309</v>
      </c>
      <c r="E28" s="22">
        <f>[4]Compass!$DY$16</f>
        <v>48</v>
      </c>
      <c r="F28" s="22">
        <f>'[4]Sky West'!$DY$16</f>
        <v>96</v>
      </c>
      <c r="G28" s="22">
        <f>'[4]Sun Country'!$DY$16</f>
        <v>247</v>
      </c>
      <c r="H28" s="22">
        <f>[4]Icelandair!$DY$16</f>
        <v>0</v>
      </c>
      <c r="I28" s="22">
        <f>[4]AirCanada!$DY$16</f>
        <v>79</v>
      </c>
      <c r="J28" s="22">
        <f>[4]Condor!$DY$16</f>
        <v>0</v>
      </c>
      <c r="K28" s="22">
        <f>'[4]Air France'!$DY$16</f>
        <v>0</v>
      </c>
      <c r="L28" s="22">
        <f>[4]Comair!$DY$16</f>
        <v>0</v>
      </c>
      <c r="M28" s="22">
        <f>'[4]Charter Misc'!$DY$16+[4]Ryan!$DY$16+[4]Omni!$DY$16</f>
        <v>0</v>
      </c>
      <c r="N28" s="291">
        <f>SUM(B28:M28)</f>
        <v>1216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1"/>
    </row>
    <row r="30" spans="1:14" ht="15.75" thickBot="1" x14ac:dyDescent="0.3">
      <c r="A30" s="66" t="s">
        <v>31</v>
      </c>
      <c r="B30" s="418">
        <f t="shared" ref="B30:I30" si="5">SUM(B27:B28)</f>
        <v>854</v>
      </c>
      <c r="C30" s="418">
        <f t="shared" si="5"/>
        <v>21</v>
      </c>
      <c r="D30" s="418">
        <f t="shared" si="5"/>
        <v>622</v>
      </c>
      <c r="E30" s="418">
        <f t="shared" si="5"/>
        <v>96</v>
      </c>
      <c r="F30" s="418">
        <f>SUM(F27:F28)</f>
        <v>192</v>
      </c>
      <c r="G30" s="418">
        <f t="shared" si="5"/>
        <v>493</v>
      </c>
      <c r="H30" s="418">
        <f t="shared" si="5"/>
        <v>0</v>
      </c>
      <c r="I30" s="418">
        <f t="shared" si="5"/>
        <v>158</v>
      </c>
      <c r="J30" s="418">
        <f>SUM(J27:J28)</f>
        <v>0</v>
      </c>
      <c r="K30" s="418">
        <f>SUM(K27:K28)</f>
        <v>0</v>
      </c>
      <c r="L30" s="418">
        <f>SUM(L27:L28)</f>
        <v>0</v>
      </c>
      <c r="M30" s="418">
        <f>SUM(M27:M28)</f>
        <v>0</v>
      </c>
      <c r="N30" s="419">
        <f>SUM(B30:M30)</f>
        <v>2436</v>
      </c>
    </row>
    <row r="31" spans="1:14" ht="15" x14ac:dyDescent="0.25">
      <c r="A31" s="420"/>
    </row>
    <row r="32" spans="1:14" ht="26.25" thickBot="1" x14ac:dyDescent="0.25">
      <c r="B32" s="12" t="s">
        <v>20</v>
      </c>
      <c r="C32" s="282" t="s">
        <v>55</v>
      </c>
      <c r="D32" s="474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82" t="s">
        <v>211</v>
      </c>
      <c r="K32" s="12" t="s">
        <v>188</v>
      </c>
      <c r="L32" s="12" t="s">
        <v>56</v>
      </c>
      <c r="M32" s="12" t="s">
        <v>158</v>
      </c>
      <c r="N32" s="282" t="s">
        <v>160</v>
      </c>
    </row>
    <row r="33" spans="1:14" ht="15" x14ac:dyDescent="0.25">
      <c r="A33" s="509" t="s">
        <v>163</v>
      </c>
      <c r="B33" s="510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1"/>
    </row>
    <row r="34" spans="1:14" x14ac:dyDescent="0.2">
      <c r="A34" s="65" t="s">
        <v>25</v>
      </c>
      <c r="B34" s="22">
        <f>SUM([4]Delta!$DX$15:$DY$15)</f>
        <v>834</v>
      </c>
      <c r="C34" s="22">
        <f>SUM('[4]Atlantic Southeast'!$DX$15:$DY$15)</f>
        <v>29</v>
      </c>
      <c r="D34" s="22">
        <f>SUM([4]Pinnacle!$DX$15:$DY$15)</f>
        <v>625</v>
      </c>
      <c r="E34" s="22">
        <f>SUM([4]Compass!$DX$15:$DY$15)</f>
        <v>98</v>
      </c>
      <c r="F34" s="22">
        <f>SUM('[4]Sky West'!$DX$15:$DY$15)</f>
        <v>214</v>
      </c>
      <c r="G34" s="22">
        <f>SUM('[4]Sun Country'!$DX$15:$DY$15)</f>
        <v>423</v>
      </c>
      <c r="H34" s="22">
        <f>SUM([4]Icelandair!$DX$15:$DY$15)</f>
        <v>0</v>
      </c>
      <c r="I34" s="22">
        <f>SUM([4]AirCanada!$DX$15:$DY$15)</f>
        <v>168</v>
      </c>
      <c r="J34" s="22">
        <f>SUM([4]Condor!$DX$15:$DY$15)</f>
        <v>0</v>
      </c>
      <c r="K34" s="22">
        <f>SUM('[4]Air France'!$DX$15:$DY$15)</f>
        <v>0</v>
      </c>
      <c r="L34" s="22">
        <f>SUM([4]Comair!$DX$15:$DY$15)</f>
        <v>0</v>
      </c>
      <c r="M34" s="22">
        <f>SUM('[4]Charter Misc'!$DX$15:$DY$15)+SUM([4]Ryan!$DX$15:$DY$15)+SUM([4]Omni!$DX$15:$DY$15)</f>
        <v>0</v>
      </c>
      <c r="N34" s="291">
        <f>SUM(B34:M34)</f>
        <v>2391</v>
      </c>
    </row>
    <row r="35" spans="1:14" x14ac:dyDescent="0.2">
      <c r="A35" s="65" t="s">
        <v>26</v>
      </c>
      <c r="B35" s="22">
        <f>SUM([4]Delta!$DX$16:$DY$16)</f>
        <v>833</v>
      </c>
      <c r="C35" s="22">
        <f>SUM('[4]Atlantic Southeast'!$DX$16:$DY$16)</f>
        <v>33</v>
      </c>
      <c r="D35" s="22">
        <f>SUM([4]Pinnacle!$DX$16:$DY$16)</f>
        <v>619</v>
      </c>
      <c r="E35" s="22">
        <f>SUM([4]Compass!$DX$16:$DY$16)</f>
        <v>93</v>
      </c>
      <c r="F35" s="22">
        <f>SUM('[4]Sky West'!$DX$16:$DY$16)</f>
        <v>213</v>
      </c>
      <c r="G35" s="22">
        <f>SUM('[4]Sun Country'!$DX$16:$DY$16)</f>
        <v>423</v>
      </c>
      <c r="H35" s="22">
        <f>SUM([4]Icelandair!$DX$16:$DY$16)</f>
        <v>0</v>
      </c>
      <c r="I35" s="22">
        <f>SUM([4]AirCanada!$DX$16:$DY$16)</f>
        <v>168</v>
      </c>
      <c r="J35" s="22">
        <f>SUM([4]Condor!$DX$16:$DY$16)</f>
        <v>0</v>
      </c>
      <c r="K35" s="22">
        <f>SUM('[4]Air France'!$DX$16:$DY$16)</f>
        <v>0</v>
      </c>
      <c r="L35" s="22">
        <f>SUM([4]Comair!$DX$16:$DY$16)</f>
        <v>0</v>
      </c>
      <c r="M35" s="22">
        <f>SUM('[4]Charter Misc'!$DX$16:$DY$16)+SUM([4]Ryan!$DX$16:$DY$16)+SUM([4]Omni!$DX$16:$DY$16)</f>
        <v>0</v>
      </c>
      <c r="N35" s="291">
        <f>SUM(B35:M35)</f>
        <v>2382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1"/>
    </row>
    <row r="37" spans="1:14" ht="15.75" thickBot="1" x14ac:dyDescent="0.3">
      <c r="A37" s="66" t="s">
        <v>31</v>
      </c>
      <c r="B37" s="418">
        <f t="shared" ref="B37:I37" si="6">+SUM(B34:B35)</f>
        <v>1667</v>
      </c>
      <c r="C37" s="418">
        <f t="shared" si="6"/>
        <v>62</v>
      </c>
      <c r="D37" s="418">
        <f t="shared" si="6"/>
        <v>1244</v>
      </c>
      <c r="E37" s="418">
        <f t="shared" si="6"/>
        <v>191</v>
      </c>
      <c r="F37" s="418">
        <f>+SUM(F34:F35)</f>
        <v>427</v>
      </c>
      <c r="G37" s="418">
        <f t="shared" si="6"/>
        <v>846</v>
      </c>
      <c r="H37" s="418">
        <f t="shared" si="6"/>
        <v>0</v>
      </c>
      <c r="I37" s="418">
        <f t="shared" si="6"/>
        <v>336</v>
      </c>
      <c r="J37" s="418">
        <f>+SUM(J34:J35)</f>
        <v>0</v>
      </c>
      <c r="K37" s="418">
        <f>+SUM(K34:K35)</f>
        <v>0</v>
      </c>
      <c r="L37" s="418">
        <f>+SUM(L34:L35)</f>
        <v>0</v>
      </c>
      <c r="M37" s="418">
        <f>+SUM(M34:M35)</f>
        <v>0</v>
      </c>
      <c r="N37" s="419">
        <f>SUM(B37:M37)</f>
        <v>4773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&amp;"Arial,Bold"February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2015-03-23T14:27:30Z</cp:lastPrinted>
  <dcterms:created xsi:type="dcterms:W3CDTF">2007-09-24T12:26:24Z</dcterms:created>
  <dcterms:modified xsi:type="dcterms:W3CDTF">2020-01-29T19:22:17Z</dcterms:modified>
</cp:coreProperties>
</file>