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A5F14CF0-6A0D-4A39-9DFB-B1A7F0BEA749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Activity'!$A$1:$R$57</definedName>
    <definedName name="_xlnm.Print_Area" localSheetId="2">'Other Major Airline Stats'!$A$2:$H$49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8" l="1"/>
  <c r="G26" i="8"/>
  <c r="G22" i="8"/>
  <c r="G21" i="8"/>
  <c r="G17" i="8"/>
  <c r="G16" i="8"/>
  <c r="G5" i="8"/>
  <c r="G4" i="8"/>
  <c r="G10" i="8"/>
  <c r="G18" i="8" l="1"/>
  <c r="G6" i="8"/>
  <c r="G12" i="8" s="1"/>
  <c r="G31" i="8"/>
  <c r="G23" i="8"/>
  <c r="G32" i="8"/>
  <c r="G28" i="8"/>
  <c r="G33" i="8" l="1"/>
  <c r="D5" i="8"/>
  <c r="D4" i="8"/>
  <c r="I16" i="4" l="1"/>
  <c r="I15" i="4"/>
  <c r="I11" i="4"/>
  <c r="I10" i="4"/>
  <c r="I6" i="4"/>
  <c r="I5" i="4"/>
  <c r="J35" i="16" l="1"/>
  <c r="J34" i="16"/>
  <c r="J28" i="16"/>
  <c r="J27" i="16"/>
  <c r="J22" i="16"/>
  <c r="J21" i="16"/>
  <c r="J17" i="16"/>
  <c r="J16" i="16"/>
  <c r="J10" i="16"/>
  <c r="J9" i="16"/>
  <c r="J5" i="16"/>
  <c r="J4" i="16"/>
  <c r="J30" i="16" l="1"/>
  <c r="J23" i="16"/>
  <c r="J11" i="16"/>
  <c r="J37" i="16"/>
  <c r="J6" i="16"/>
  <c r="J18" i="16"/>
  <c r="I31" i="4"/>
  <c r="I30" i="4"/>
  <c r="I26" i="4"/>
  <c r="I25" i="4"/>
  <c r="I19" i="4"/>
  <c r="I18" i="4"/>
  <c r="I7" i="4" l="1"/>
  <c r="I12" i="4"/>
  <c r="I20" i="4"/>
  <c r="I32" i="4"/>
  <c r="I35" i="4"/>
  <c r="I40" i="4" s="1"/>
  <c r="I36" i="4"/>
  <c r="I41" i="4" s="1"/>
  <c r="I37" i="4" l="1"/>
  <c r="I17" i="4"/>
  <c r="I21" i="4" s="1"/>
  <c r="I27" i="4"/>
  <c r="Q47" i="9"/>
  <c r="I42" i="4" l="1"/>
  <c r="Q52" i="9"/>
  <c r="H52" i="9"/>
  <c r="Q51" i="9"/>
  <c r="H51" i="9"/>
  <c r="Q50" i="9"/>
  <c r="H50" i="9"/>
  <c r="Q49" i="9"/>
  <c r="H49" i="9"/>
  <c r="Q48" i="9"/>
  <c r="H48" i="9"/>
  <c r="H47" i="9"/>
  <c r="Q46" i="9"/>
  <c r="H46" i="9"/>
  <c r="Q43" i="9"/>
  <c r="H43" i="9"/>
  <c r="Q41" i="9"/>
  <c r="H41" i="9"/>
  <c r="Q39" i="9"/>
  <c r="H39" i="9"/>
  <c r="Q36" i="9"/>
  <c r="H36" i="9"/>
  <c r="Q34" i="9"/>
  <c r="H34" i="9"/>
  <c r="Q32" i="9"/>
  <c r="H32" i="9"/>
  <c r="Q30" i="9"/>
  <c r="H30" i="9"/>
  <c r="Q29" i="9"/>
  <c r="H29" i="9"/>
  <c r="Q28" i="9"/>
  <c r="H28" i="9"/>
  <c r="Q27" i="9"/>
  <c r="H27" i="9"/>
  <c r="Q26" i="9"/>
  <c r="H26" i="9"/>
  <c r="Q25" i="9"/>
  <c r="H25" i="9"/>
  <c r="Q24" i="9"/>
  <c r="H24" i="9"/>
  <c r="Q21" i="9"/>
  <c r="H21" i="9"/>
  <c r="Q20" i="9"/>
  <c r="H20" i="9"/>
  <c r="Q19" i="9"/>
  <c r="H19" i="9"/>
  <c r="Q18" i="9"/>
  <c r="H18" i="9"/>
  <c r="Q17" i="9"/>
  <c r="H17" i="9"/>
  <c r="Q16" i="9"/>
  <c r="H16" i="9"/>
  <c r="Q13" i="9"/>
  <c r="H13" i="9"/>
  <c r="Q12" i="9"/>
  <c r="H12" i="9"/>
  <c r="Q9" i="9"/>
  <c r="H9" i="9"/>
  <c r="Q7" i="9"/>
  <c r="Q6" i="9"/>
  <c r="H6" i="9"/>
  <c r="P52" i="9"/>
  <c r="G52" i="9"/>
  <c r="P51" i="9"/>
  <c r="G51" i="9"/>
  <c r="P50" i="9"/>
  <c r="G50" i="9"/>
  <c r="P49" i="9"/>
  <c r="G49" i="9"/>
  <c r="P48" i="9"/>
  <c r="G48" i="9"/>
  <c r="P47" i="9"/>
  <c r="G47" i="9"/>
  <c r="P46" i="9"/>
  <c r="G46" i="9"/>
  <c r="P43" i="9"/>
  <c r="G43" i="9"/>
  <c r="P41" i="9"/>
  <c r="G41" i="9"/>
  <c r="P39" i="9"/>
  <c r="G39" i="9"/>
  <c r="P36" i="9"/>
  <c r="G36" i="9"/>
  <c r="P34" i="9"/>
  <c r="G34" i="9"/>
  <c r="P32" i="9"/>
  <c r="G32" i="9"/>
  <c r="P30" i="9"/>
  <c r="G30" i="9"/>
  <c r="P29" i="9"/>
  <c r="G29" i="9"/>
  <c r="P28" i="9"/>
  <c r="G28" i="9"/>
  <c r="P27" i="9"/>
  <c r="G27" i="9"/>
  <c r="P26" i="9"/>
  <c r="G26" i="9"/>
  <c r="P25" i="9"/>
  <c r="G25" i="9"/>
  <c r="P24" i="9"/>
  <c r="G24" i="9"/>
  <c r="P21" i="9"/>
  <c r="G21" i="9"/>
  <c r="P20" i="9"/>
  <c r="G20" i="9"/>
  <c r="P19" i="9"/>
  <c r="G19" i="9"/>
  <c r="P18" i="9"/>
  <c r="G18" i="9"/>
  <c r="P17" i="9"/>
  <c r="G17" i="9"/>
  <c r="P16" i="9"/>
  <c r="G16" i="9"/>
  <c r="P13" i="9"/>
  <c r="G13" i="9"/>
  <c r="P12" i="9"/>
  <c r="G12" i="9"/>
  <c r="P9" i="9"/>
  <c r="G9" i="9"/>
  <c r="P7" i="9"/>
  <c r="P6" i="9"/>
  <c r="G6" i="9"/>
  <c r="Q56" i="9" l="1"/>
  <c r="P56" i="9"/>
  <c r="R50" i="9"/>
  <c r="N50" i="9"/>
  <c r="L50" i="9"/>
  <c r="I50" i="9"/>
  <c r="E50" i="9"/>
  <c r="C50" i="9"/>
  <c r="N52" i="9"/>
  <c r="E52" i="9"/>
  <c r="N51" i="9"/>
  <c r="E51" i="9"/>
  <c r="N49" i="9"/>
  <c r="E49" i="9"/>
  <c r="N48" i="9"/>
  <c r="E48" i="9"/>
  <c r="N47" i="9"/>
  <c r="E47" i="9"/>
  <c r="N46" i="9"/>
  <c r="E46" i="9"/>
  <c r="N43" i="9"/>
  <c r="E43" i="9"/>
  <c r="N41" i="9"/>
  <c r="E41" i="9"/>
  <c r="N39" i="9"/>
  <c r="E39" i="9"/>
  <c r="N36" i="9"/>
  <c r="E36" i="9"/>
  <c r="N34" i="9"/>
  <c r="E34" i="9"/>
  <c r="N32" i="9"/>
  <c r="E32" i="9"/>
  <c r="N30" i="9"/>
  <c r="E30" i="9"/>
  <c r="N29" i="9"/>
  <c r="E29" i="9"/>
  <c r="N28" i="9"/>
  <c r="E28" i="9"/>
  <c r="N27" i="9"/>
  <c r="E27" i="9"/>
  <c r="N26" i="9"/>
  <c r="E26" i="9"/>
  <c r="N25" i="9"/>
  <c r="E25" i="9"/>
  <c r="N24" i="9"/>
  <c r="E24" i="9"/>
  <c r="N21" i="9"/>
  <c r="E21" i="9"/>
  <c r="N20" i="9"/>
  <c r="E20" i="9"/>
  <c r="N19" i="9"/>
  <c r="E19" i="9"/>
  <c r="N18" i="9"/>
  <c r="E18" i="9"/>
  <c r="N17" i="9"/>
  <c r="E17" i="9"/>
  <c r="N16" i="9"/>
  <c r="E16" i="9"/>
  <c r="N13" i="9"/>
  <c r="E13" i="9"/>
  <c r="N12" i="9"/>
  <c r="E12" i="9"/>
  <c r="N9" i="9"/>
  <c r="E9" i="9"/>
  <c r="N7" i="9"/>
  <c r="E7" i="9"/>
  <c r="N6" i="9"/>
  <c r="E6" i="9"/>
  <c r="L52" i="9"/>
  <c r="C52" i="9"/>
  <c r="L51" i="9"/>
  <c r="C51" i="9"/>
  <c r="L49" i="9"/>
  <c r="C49" i="9"/>
  <c r="L48" i="9"/>
  <c r="C48" i="9"/>
  <c r="L47" i="9"/>
  <c r="C47" i="9"/>
  <c r="L46" i="9"/>
  <c r="C46" i="9"/>
  <c r="L43" i="9"/>
  <c r="C43" i="9"/>
  <c r="L41" i="9"/>
  <c r="C41" i="9"/>
  <c r="L39" i="9"/>
  <c r="C39" i="9"/>
  <c r="L36" i="9"/>
  <c r="C36" i="9"/>
  <c r="L34" i="9"/>
  <c r="C34" i="9"/>
  <c r="L32" i="9"/>
  <c r="C32" i="9"/>
  <c r="L30" i="9"/>
  <c r="C30" i="9"/>
  <c r="L29" i="9"/>
  <c r="C29" i="9"/>
  <c r="L28" i="9"/>
  <c r="C28" i="9"/>
  <c r="L27" i="9"/>
  <c r="C27" i="9"/>
  <c r="L26" i="9"/>
  <c r="C26" i="9"/>
  <c r="L25" i="9"/>
  <c r="C25" i="9"/>
  <c r="L24" i="9"/>
  <c r="C24" i="9"/>
  <c r="L21" i="9"/>
  <c r="C21" i="9"/>
  <c r="L20" i="9"/>
  <c r="C20" i="9"/>
  <c r="L19" i="9"/>
  <c r="C19" i="9"/>
  <c r="L18" i="9"/>
  <c r="C18" i="9"/>
  <c r="L17" i="9"/>
  <c r="C17" i="9"/>
  <c r="L16" i="9"/>
  <c r="C16" i="9"/>
  <c r="L13" i="9"/>
  <c r="C13" i="9"/>
  <c r="L12" i="9"/>
  <c r="C12" i="9"/>
  <c r="L9" i="9"/>
  <c r="C9" i="9"/>
  <c r="L7" i="9"/>
  <c r="C7" i="9"/>
  <c r="L6" i="9"/>
  <c r="C6" i="9"/>
  <c r="M35" i="16"/>
  <c r="L35" i="16"/>
  <c r="K35" i="16"/>
  <c r="I35" i="16"/>
  <c r="H35" i="16"/>
  <c r="G35" i="16"/>
  <c r="F35" i="16"/>
  <c r="E35" i="16"/>
  <c r="D35" i="16"/>
  <c r="C35" i="16"/>
  <c r="B35" i="16"/>
  <c r="M34" i="16"/>
  <c r="L34" i="16"/>
  <c r="K34" i="16"/>
  <c r="I34" i="16"/>
  <c r="H34" i="16"/>
  <c r="G34" i="16"/>
  <c r="F34" i="16"/>
  <c r="E34" i="16"/>
  <c r="D34" i="16"/>
  <c r="C34" i="16"/>
  <c r="B34" i="16"/>
  <c r="M22" i="16"/>
  <c r="L22" i="16"/>
  <c r="K22" i="16"/>
  <c r="I22" i="16"/>
  <c r="H22" i="16"/>
  <c r="G22" i="16"/>
  <c r="F22" i="16"/>
  <c r="E22" i="16"/>
  <c r="D22" i="16"/>
  <c r="C22" i="16"/>
  <c r="B22" i="16"/>
  <c r="M21" i="16"/>
  <c r="L21" i="16"/>
  <c r="K21" i="16"/>
  <c r="I21" i="16"/>
  <c r="H21" i="16"/>
  <c r="G21" i="16"/>
  <c r="F21" i="16"/>
  <c r="E21" i="16"/>
  <c r="D21" i="16"/>
  <c r="C21" i="16"/>
  <c r="B21" i="16"/>
  <c r="M17" i="16"/>
  <c r="L17" i="16"/>
  <c r="K17" i="16"/>
  <c r="I17" i="16"/>
  <c r="H17" i="16"/>
  <c r="G17" i="16"/>
  <c r="F17" i="16"/>
  <c r="E17" i="16"/>
  <c r="D17" i="16"/>
  <c r="C17" i="16"/>
  <c r="B17" i="16"/>
  <c r="M16" i="16"/>
  <c r="L16" i="16"/>
  <c r="K16" i="16"/>
  <c r="I16" i="16"/>
  <c r="H16" i="16"/>
  <c r="G16" i="16"/>
  <c r="F16" i="16"/>
  <c r="E16" i="16"/>
  <c r="D16" i="16"/>
  <c r="C16" i="16"/>
  <c r="B16" i="16"/>
  <c r="M28" i="16"/>
  <c r="L28" i="16"/>
  <c r="K28" i="16"/>
  <c r="I28" i="16"/>
  <c r="H28" i="16"/>
  <c r="G28" i="16"/>
  <c r="F28" i="16"/>
  <c r="E28" i="16"/>
  <c r="D28" i="16"/>
  <c r="C28" i="16"/>
  <c r="B28" i="16"/>
  <c r="M27" i="16"/>
  <c r="L27" i="16"/>
  <c r="K27" i="16"/>
  <c r="I27" i="16"/>
  <c r="H27" i="16"/>
  <c r="G27" i="16"/>
  <c r="F27" i="16"/>
  <c r="E27" i="16"/>
  <c r="D27" i="16"/>
  <c r="C27" i="16"/>
  <c r="B27" i="16"/>
  <c r="M10" i="16"/>
  <c r="L10" i="16"/>
  <c r="K10" i="16"/>
  <c r="I10" i="16"/>
  <c r="H10" i="16"/>
  <c r="G10" i="16"/>
  <c r="F10" i="16"/>
  <c r="E10" i="16"/>
  <c r="D10" i="16"/>
  <c r="C10" i="16"/>
  <c r="B10" i="16"/>
  <c r="M9" i="16"/>
  <c r="L9" i="16"/>
  <c r="K9" i="16"/>
  <c r="I9" i="16"/>
  <c r="H9" i="16"/>
  <c r="G9" i="16"/>
  <c r="F9" i="16"/>
  <c r="E9" i="16"/>
  <c r="D9" i="16"/>
  <c r="C9" i="16"/>
  <c r="B9" i="16"/>
  <c r="M5" i="16"/>
  <c r="L5" i="16"/>
  <c r="K5" i="16"/>
  <c r="I5" i="16"/>
  <c r="H5" i="16"/>
  <c r="G5" i="16"/>
  <c r="F5" i="16"/>
  <c r="E5" i="16"/>
  <c r="D5" i="16"/>
  <c r="C5" i="16"/>
  <c r="B5" i="16"/>
  <c r="M4" i="16"/>
  <c r="L4" i="16"/>
  <c r="K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F27" i="8"/>
  <c r="D27" i="8"/>
  <c r="C27" i="8"/>
  <c r="B27" i="8"/>
  <c r="L26" i="8"/>
  <c r="K26" i="8"/>
  <c r="J26" i="8"/>
  <c r="H26" i="8"/>
  <c r="F26" i="8"/>
  <c r="D26" i="8"/>
  <c r="C26" i="8"/>
  <c r="B26" i="8"/>
  <c r="L22" i="8"/>
  <c r="K22" i="8"/>
  <c r="J22" i="8"/>
  <c r="H22" i="8"/>
  <c r="F22" i="8"/>
  <c r="D22" i="8"/>
  <c r="C22" i="8"/>
  <c r="B22" i="8"/>
  <c r="L21" i="8"/>
  <c r="K21" i="8"/>
  <c r="J21" i="8"/>
  <c r="H21" i="8"/>
  <c r="F21" i="8"/>
  <c r="D21" i="8"/>
  <c r="C21" i="8"/>
  <c r="B21" i="8"/>
  <c r="L17" i="8"/>
  <c r="K17" i="8"/>
  <c r="J17" i="8"/>
  <c r="H17" i="8"/>
  <c r="F17" i="8"/>
  <c r="D17" i="8"/>
  <c r="C17" i="8"/>
  <c r="B17" i="8"/>
  <c r="L16" i="8"/>
  <c r="K16" i="8"/>
  <c r="J16" i="8"/>
  <c r="H16" i="8"/>
  <c r="F16" i="8"/>
  <c r="D16" i="8"/>
  <c r="C16" i="8"/>
  <c r="B16" i="8"/>
  <c r="L9" i="8"/>
  <c r="L8" i="8"/>
  <c r="L5" i="8"/>
  <c r="K5" i="8"/>
  <c r="J5" i="8"/>
  <c r="I5" i="8"/>
  <c r="H5" i="8"/>
  <c r="F5" i="8"/>
  <c r="C5" i="8"/>
  <c r="B5" i="8"/>
  <c r="L4" i="8"/>
  <c r="K4" i="8"/>
  <c r="J4" i="8"/>
  <c r="I4" i="8"/>
  <c r="H4" i="8"/>
  <c r="F4" i="8"/>
  <c r="C4" i="8"/>
  <c r="B4" i="8"/>
  <c r="O22" i="7"/>
  <c r="J22" i="7"/>
  <c r="F50" i="9" l="1"/>
  <c r="C56" i="9"/>
  <c r="L56" i="9"/>
  <c r="N56" i="9"/>
  <c r="E56" i="9"/>
  <c r="O50" i="9"/>
  <c r="H56" i="9"/>
  <c r="G56" i="9"/>
  <c r="C21" i="7" l="1"/>
  <c r="B21" i="7"/>
  <c r="M21" i="7" l="1"/>
  <c r="L21" i="7" l="1"/>
  <c r="E22" i="7" l="1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31" i="4"/>
  <c r="H30" i="4"/>
  <c r="H26" i="4"/>
  <c r="H25" i="4"/>
  <c r="H19" i="4"/>
  <c r="H18" i="4"/>
  <c r="H16" i="4"/>
  <c r="H15" i="4"/>
  <c r="H11" i="4"/>
  <c r="H10" i="4"/>
  <c r="H6" i="4"/>
  <c r="H5" i="4"/>
  <c r="H35" i="4"/>
  <c r="H36" i="4"/>
  <c r="E45" i="4"/>
  <c r="D45" i="4"/>
  <c r="B45" i="4"/>
  <c r="E44" i="4"/>
  <c r="D44" i="4"/>
  <c r="B44" i="4"/>
  <c r="J36" i="4"/>
  <c r="G36" i="4"/>
  <c r="F36" i="4"/>
  <c r="E36" i="4"/>
  <c r="D36" i="4"/>
  <c r="C36" i="4"/>
  <c r="B36" i="4"/>
  <c r="J35" i="4"/>
  <c r="G35" i="4"/>
  <c r="F35" i="4"/>
  <c r="E35" i="4"/>
  <c r="D35" i="4"/>
  <c r="C35" i="4"/>
  <c r="B35" i="4"/>
  <c r="J31" i="4"/>
  <c r="G31" i="4"/>
  <c r="F31" i="4"/>
  <c r="E31" i="4"/>
  <c r="D31" i="4"/>
  <c r="C31" i="4"/>
  <c r="B31" i="4"/>
  <c r="J30" i="4"/>
  <c r="G30" i="4"/>
  <c r="F30" i="4"/>
  <c r="E30" i="4"/>
  <c r="D30" i="4"/>
  <c r="C30" i="4"/>
  <c r="B30" i="4"/>
  <c r="J26" i="4"/>
  <c r="G26" i="4"/>
  <c r="F26" i="4"/>
  <c r="E26" i="4"/>
  <c r="D26" i="4"/>
  <c r="C26" i="4"/>
  <c r="B26" i="4"/>
  <c r="J25" i="4"/>
  <c r="G25" i="4"/>
  <c r="F25" i="4"/>
  <c r="E25" i="4"/>
  <c r="D25" i="4"/>
  <c r="C25" i="4"/>
  <c r="B25" i="4"/>
  <c r="J19" i="4"/>
  <c r="G19" i="4"/>
  <c r="F19" i="4"/>
  <c r="E19" i="4"/>
  <c r="D19" i="4"/>
  <c r="C19" i="4"/>
  <c r="B19" i="4"/>
  <c r="J18" i="4"/>
  <c r="G18" i="4"/>
  <c r="F18" i="4"/>
  <c r="E18" i="4"/>
  <c r="D18" i="4"/>
  <c r="C18" i="4"/>
  <c r="B18" i="4"/>
  <c r="J16" i="4"/>
  <c r="G16" i="4"/>
  <c r="F16" i="4"/>
  <c r="E16" i="4"/>
  <c r="D16" i="4"/>
  <c r="C16" i="4"/>
  <c r="B16" i="4"/>
  <c r="J15" i="4"/>
  <c r="G15" i="4"/>
  <c r="F15" i="4"/>
  <c r="E15" i="4"/>
  <c r="D15" i="4"/>
  <c r="C15" i="4"/>
  <c r="B15" i="4"/>
  <c r="J11" i="4"/>
  <c r="G11" i="4"/>
  <c r="F11" i="4"/>
  <c r="E11" i="4"/>
  <c r="D11" i="4"/>
  <c r="C11" i="4"/>
  <c r="B11" i="4"/>
  <c r="J10" i="4"/>
  <c r="G10" i="4"/>
  <c r="F10" i="4"/>
  <c r="E10" i="4"/>
  <c r="D10" i="4"/>
  <c r="C10" i="4"/>
  <c r="B10" i="4"/>
  <c r="J6" i="4"/>
  <c r="G6" i="4"/>
  <c r="F6" i="4"/>
  <c r="E6" i="4"/>
  <c r="D6" i="4"/>
  <c r="C6" i="4"/>
  <c r="B6" i="4"/>
  <c r="J5" i="4"/>
  <c r="G5" i="4"/>
  <c r="F5" i="4"/>
  <c r="E5" i="4"/>
  <c r="D5" i="4"/>
  <c r="C5" i="4"/>
  <c r="B5" i="4"/>
  <c r="F49" i="3"/>
  <c r="E49" i="3"/>
  <c r="F48" i="3"/>
  <c r="E48" i="3"/>
  <c r="G39" i="3"/>
  <c r="F39" i="3"/>
  <c r="E39" i="3"/>
  <c r="D39" i="3"/>
  <c r="C39" i="3"/>
  <c r="B39" i="3"/>
  <c r="G38" i="3"/>
  <c r="F38" i="3"/>
  <c r="E38" i="3"/>
  <c r="D38" i="3"/>
  <c r="C38" i="3"/>
  <c r="B38" i="3"/>
  <c r="G34" i="3"/>
  <c r="F34" i="3"/>
  <c r="E34" i="3"/>
  <c r="D34" i="3"/>
  <c r="C34" i="3"/>
  <c r="B34" i="3"/>
  <c r="G33" i="3"/>
  <c r="F33" i="3"/>
  <c r="E33" i="3"/>
  <c r="D33" i="3"/>
  <c r="C33" i="3"/>
  <c r="B33" i="3"/>
  <c r="G29" i="3"/>
  <c r="F29" i="3"/>
  <c r="E29" i="3"/>
  <c r="D29" i="3"/>
  <c r="C29" i="3"/>
  <c r="B29" i="3"/>
  <c r="G28" i="3"/>
  <c r="F28" i="3"/>
  <c r="E28" i="3"/>
  <c r="D28" i="3"/>
  <c r="C28" i="3"/>
  <c r="B28" i="3"/>
  <c r="G21" i="3"/>
  <c r="F21" i="3"/>
  <c r="E21" i="3"/>
  <c r="D21" i="3"/>
  <c r="C21" i="3"/>
  <c r="B21" i="3"/>
  <c r="G20" i="3"/>
  <c r="F20" i="3"/>
  <c r="E20" i="3"/>
  <c r="D20" i="3"/>
  <c r="C20" i="3"/>
  <c r="B20" i="3"/>
  <c r="G17" i="3"/>
  <c r="F17" i="3"/>
  <c r="E17" i="3"/>
  <c r="D17" i="3"/>
  <c r="C17" i="3"/>
  <c r="B17" i="3"/>
  <c r="G16" i="3"/>
  <c r="F16" i="3"/>
  <c r="E16" i="3"/>
  <c r="D16" i="3"/>
  <c r="C16" i="3"/>
  <c r="B16" i="3"/>
  <c r="G11" i="3"/>
  <c r="F11" i="3"/>
  <c r="E11" i="3"/>
  <c r="D11" i="3"/>
  <c r="C11" i="3"/>
  <c r="B11" i="3"/>
  <c r="G10" i="3"/>
  <c r="F10" i="3"/>
  <c r="E10" i="3"/>
  <c r="D10" i="3"/>
  <c r="C10" i="3"/>
  <c r="B10" i="3"/>
  <c r="G6" i="3"/>
  <c r="F6" i="3"/>
  <c r="E6" i="3"/>
  <c r="D6" i="3"/>
  <c r="C6" i="3"/>
  <c r="B6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H12" i="4" l="1"/>
  <c r="H32" i="4"/>
  <c r="H37" i="4"/>
  <c r="H7" i="4"/>
  <c r="H17" i="4"/>
  <c r="H41" i="4"/>
  <c r="H20" i="4"/>
  <c r="H40" i="4"/>
  <c r="H27" i="4"/>
  <c r="H42" i="4" l="1"/>
  <c r="H21" i="4"/>
  <c r="D36" i="15"/>
  <c r="F41" i="4" l="1"/>
  <c r="F20" i="4"/>
  <c r="F17" i="4"/>
  <c r="F40" i="4"/>
  <c r="F7" i="4"/>
  <c r="F27" i="4"/>
  <c r="F12" i="4"/>
  <c r="F32" i="4"/>
  <c r="F37" i="4"/>
  <c r="F21" i="4" l="1"/>
  <c r="F42" i="4"/>
  <c r="N11" i="9"/>
  <c r="E11" i="9"/>
  <c r="R5" i="9"/>
  <c r="O5" i="9"/>
  <c r="I5" i="9"/>
  <c r="F5" i="9"/>
  <c r="P4" i="9"/>
  <c r="H4" i="9"/>
  <c r="F18" i="9"/>
  <c r="F16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7" i="9" l="1"/>
  <c r="Q11" i="9"/>
  <c r="G15" i="9"/>
  <c r="H15" i="9"/>
  <c r="O7" i="9"/>
  <c r="H11" i="9"/>
  <c r="P15" i="9"/>
  <c r="Q15" i="9"/>
  <c r="F19" i="9"/>
  <c r="F20" i="9"/>
  <c r="F21" i="9"/>
  <c r="R13" i="9"/>
  <c r="R17" i="9"/>
  <c r="I19" i="9"/>
  <c r="R19" i="9"/>
  <c r="I20" i="9"/>
  <c r="R20" i="9"/>
  <c r="I21" i="9"/>
  <c r="R21" i="9"/>
  <c r="L11" i="9"/>
  <c r="P11" i="9"/>
  <c r="I17" i="9"/>
  <c r="I6" i="9"/>
  <c r="F7" i="9"/>
  <c r="G11" i="9"/>
  <c r="F17" i="9"/>
  <c r="O6" i="9"/>
  <c r="F13" i="9"/>
  <c r="C15" i="9"/>
  <c r="L4" i="9"/>
  <c r="F12" i="9"/>
  <c r="R12" i="9"/>
  <c r="I13" i="9"/>
  <c r="G4" i="9"/>
  <c r="L15" i="9"/>
  <c r="N15" i="9"/>
  <c r="E15" i="9"/>
  <c r="R7" i="9"/>
  <c r="I12" i="9"/>
  <c r="C11" i="9"/>
  <c r="F11" i="9" s="1"/>
  <c r="O13" i="9"/>
  <c r="O12" i="9"/>
  <c r="Q4" i="9"/>
  <c r="E4" i="9"/>
  <c r="C4" i="9"/>
  <c r="R6" i="9"/>
  <c r="N4" i="9"/>
  <c r="F6" i="9"/>
  <c r="O19" i="9"/>
  <c r="O20" i="9"/>
  <c r="O21" i="9"/>
  <c r="J7" i="15"/>
  <c r="K23" i="16"/>
  <c r="I40" i="15"/>
  <c r="F11" i="2"/>
  <c r="F21" i="2"/>
  <c r="F35" i="2"/>
  <c r="G6" i="2"/>
  <c r="G17" i="2"/>
  <c r="G30" i="2"/>
  <c r="G40" i="2"/>
  <c r="J37" i="15"/>
  <c r="K30" i="16"/>
  <c r="K6" i="16"/>
  <c r="I17" i="15"/>
  <c r="I27" i="15"/>
  <c r="I37" i="15"/>
  <c r="G43" i="2"/>
  <c r="I12" i="15"/>
  <c r="I32" i="15"/>
  <c r="K37" i="16"/>
  <c r="F6" i="2"/>
  <c r="F17" i="2"/>
  <c r="F30" i="2"/>
  <c r="F40" i="2"/>
  <c r="G11" i="2"/>
  <c r="J32" i="15"/>
  <c r="J12" i="15"/>
  <c r="I7" i="15"/>
  <c r="J27" i="15"/>
  <c r="J17" i="15"/>
  <c r="I41" i="15"/>
  <c r="G35" i="2"/>
  <c r="K18" i="16"/>
  <c r="I20" i="15"/>
  <c r="G21" i="2"/>
  <c r="J40" i="15"/>
  <c r="J20" i="15"/>
  <c r="K11" i="16"/>
  <c r="J41" i="15"/>
  <c r="F43" i="2"/>
  <c r="G44" i="2"/>
  <c r="F44" i="2"/>
  <c r="F4" i="9" l="1"/>
  <c r="F15" i="9"/>
  <c r="I21" i="15"/>
  <c r="F45" i="2"/>
  <c r="I42" i="15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D35" i="3"/>
  <c r="F35" i="3"/>
  <c r="E32" i="4"/>
  <c r="B32" i="15"/>
  <c r="D32" i="15"/>
  <c r="H32" i="15"/>
  <c r="K32" i="15"/>
  <c r="J31" i="8"/>
  <c r="D17" i="4"/>
  <c r="F17" i="15"/>
  <c r="K17" i="15"/>
  <c r="D20" i="4"/>
  <c r="B20" i="15"/>
  <c r="C17" i="2"/>
  <c r="D18" i="3"/>
  <c r="G18" i="3"/>
  <c r="D21" i="2"/>
  <c r="F22" i="3"/>
  <c r="C11" i="2"/>
  <c r="D11" i="2"/>
  <c r="J12" i="4"/>
  <c r="C12" i="15"/>
  <c r="E12" i="15"/>
  <c r="B7" i="15"/>
  <c r="K7" i="15"/>
  <c r="H49" i="3"/>
  <c r="H51" i="2" s="1"/>
  <c r="R30" i="9"/>
  <c r="R51" i="9"/>
  <c r="O25" i="9"/>
  <c r="I39" i="9"/>
  <c r="I24" i="9"/>
  <c r="I41" i="9"/>
  <c r="F36" i="9"/>
  <c r="O33" i="7"/>
  <c r="J33" i="7"/>
  <c r="E33" i="7"/>
  <c r="I47" i="2"/>
  <c r="N30" i="7"/>
  <c r="P30" i="7" s="1"/>
  <c r="N31" i="7"/>
  <c r="P31" i="7"/>
  <c r="D30" i="7"/>
  <c r="F30" i="7"/>
  <c r="D31" i="7"/>
  <c r="N29" i="7"/>
  <c r="D29" i="7"/>
  <c r="N27" i="7"/>
  <c r="P27" i="7"/>
  <c r="N28" i="7"/>
  <c r="P28" i="7" s="1"/>
  <c r="D27" i="7"/>
  <c r="F27" i="7"/>
  <c r="D28" i="7"/>
  <c r="N24" i="7"/>
  <c r="N25" i="7"/>
  <c r="D24" i="7"/>
  <c r="F24" i="7"/>
  <c r="D25" i="7"/>
  <c r="F25" i="7" s="1"/>
  <c r="N23" i="7"/>
  <c r="P23" i="7" s="1"/>
  <c r="D23" i="7"/>
  <c r="N32" i="7"/>
  <c r="P32" i="7"/>
  <c r="I32" i="7"/>
  <c r="K32" i="7"/>
  <c r="D32" i="7"/>
  <c r="F32" i="7" s="1"/>
  <c r="I31" i="7"/>
  <c r="K31" i="7" s="1"/>
  <c r="F31" i="7"/>
  <c r="I30" i="7"/>
  <c r="K30" i="7"/>
  <c r="P29" i="7"/>
  <c r="I29" i="7"/>
  <c r="K29" i="7"/>
  <c r="F29" i="7"/>
  <c r="I28" i="7"/>
  <c r="K28" i="7"/>
  <c r="F28" i="7"/>
  <c r="I27" i="7"/>
  <c r="K27" i="7" s="1"/>
  <c r="N26" i="7"/>
  <c r="P26" i="7"/>
  <c r="I26" i="7"/>
  <c r="K26" i="7" s="1"/>
  <c r="D26" i="7"/>
  <c r="F26" i="7"/>
  <c r="P25" i="7"/>
  <c r="I25" i="7"/>
  <c r="K25" i="7"/>
  <c r="P24" i="7"/>
  <c r="I24" i="7"/>
  <c r="K24" i="7" s="1"/>
  <c r="I23" i="7"/>
  <c r="K23" i="7"/>
  <c r="F23" i="7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F18" i="3"/>
  <c r="F23" i="3" s="1"/>
  <c r="C17" i="4"/>
  <c r="J37" i="4"/>
  <c r="I37" i="16"/>
  <c r="D32" i="8"/>
  <c r="H37" i="16"/>
  <c r="R52" i="9"/>
  <c r="B18" i="3"/>
  <c r="E17" i="15"/>
  <c r="B37" i="16"/>
  <c r="F37" i="16"/>
  <c r="H38" i="9"/>
  <c r="F44" i="3"/>
  <c r="H48" i="3"/>
  <c r="H50" i="2" s="1"/>
  <c r="I50" i="2" s="1"/>
  <c r="D30" i="16"/>
  <c r="H30" i="16"/>
  <c r="F27" i="9"/>
  <c r="O49" i="9"/>
  <c r="F51" i="9"/>
  <c r="F25" i="9"/>
  <c r="M11" i="16"/>
  <c r="E41" i="15"/>
  <c r="J41" i="4"/>
  <c r="O24" i="9"/>
  <c r="C23" i="16"/>
  <c r="K28" i="8"/>
  <c r="B22" i="3"/>
  <c r="J20" i="4"/>
  <c r="J17" i="4"/>
  <c r="B46" i="4"/>
  <c r="B47" i="4" s="1"/>
  <c r="N38" i="9"/>
  <c r="B44" i="3"/>
  <c r="D44" i="2"/>
  <c r="B18" i="8"/>
  <c r="O18" i="9"/>
  <c r="L18" i="16"/>
  <c r="O28" i="9"/>
  <c r="R11" i="9"/>
  <c r="R46" i="9"/>
  <c r="D6" i="16"/>
  <c r="C7" i="7"/>
  <c r="E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34" i="9"/>
  <c r="R34" i="9"/>
  <c r="R32" i="9"/>
  <c r="R43" i="9"/>
  <c r="F32" i="9"/>
  <c r="I28" i="9"/>
  <c r="F47" i="9"/>
  <c r="E6" i="2"/>
  <c r="D7" i="15"/>
  <c r="F12" i="15"/>
  <c r="G22" i="3"/>
  <c r="G23" i="3" s="1"/>
  <c r="B17" i="15"/>
  <c r="B21" i="15" s="1"/>
  <c r="F12" i="7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46" i="9"/>
  <c r="O36" i="9"/>
  <c r="E43" i="2"/>
  <c r="B43" i="2"/>
  <c r="G32" i="15"/>
  <c r="C32" i="15"/>
  <c r="E44" i="3"/>
  <c r="B23" i="16"/>
  <c r="I16" i="9"/>
  <c r="O11" i="9"/>
  <c r="R47" i="9"/>
  <c r="R18" i="9"/>
  <c r="G11" i="16"/>
  <c r="F6" i="16"/>
  <c r="B6" i="16"/>
  <c r="I11" i="16"/>
  <c r="E11" i="16"/>
  <c r="H6" i="16"/>
  <c r="H12" i="15"/>
  <c r="G12" i="4"/>
  <c r="E12" i="3"/>
  <c r="C21" i="2"/>
  <c r="C23" i="2" s="1"/>
  <c r="G20" i="4"/>
  <c r="H17" i="15"/>
  <c r="D17" i="15"/>
  <c r="D21" i="15" s="1"/>
  <c r="D32" i="4"/>
  <c r="G35" i="3"/>
  <c r="C35" i="3"/>
  <c r="L23" i="8"/>
  <c r="D23" i="8"/>
  <c r="K27" i="15"/>
  <c r="F27" i="15"/>
  <c r="H28" i="3"/>
  <c r="H28" i="2" s="1"/>
  <c r="I28" i="2" s="1"/>
  <c r="B5" i="5" s="1"/>
  <c r="J23" i="8"/>
  <c r="H33" i="8"/>
  <c r="C30" i="16"/>
  <c r="G30" i="16"/>
  <c r="R24" i="9"/>
  <c r="C38" i="9"/>
  <c r="H45" i="9"/>
  <c r="I52" i="9"/>
  <c r="E7" i="3"/>
  <c r="E7" i="7"/>
  <c r="C12" i="7"/>
  <c r="K6" i="8"/>
  <c r="K12" i="8" s="1"/>
  <c r="C44" i="3"/>
  <c r="E32" i="15"/>
  <c r="J32" i="4"/>
  <c r="D27" i="4"/>
  <c r="L18" i="8"/>
  <c r="D18" i="8"/>
  <c r="F31" i="8"/>
  <c r="H23" i="16"/>
  <c r="I9" i="9"/>
  <c r="I51" i="9"/>
  <c r="I25" i="9"/>
  <c r="G6" i="16"/>
  <c r="C6" i="16"/>
  <c r="E6" i="16"/>
  <c r="D7" i="3"/>
  <c r="G7" i="3"/>
  <c r="C7" i="3"/>
  <c r="B6" i="8"/>
  <c r="B12" i="8" s="1"/>
  <c r="B40" i="4"/>
  <c r="E23" i="16"/>
  <c r="I23" i="16"/>
  <c r="I36" i="9"/>
  <c r="F30" i="9"/>
  <c r="O26" i="9"/>
  <c r="O52" i="9"/>
  <c r="O47" i="9"/>
  <c r="R9" i="9"/>
  <c r="R29" i="9"/>
  <c r="J7" i="4"/>
  <c r="C7" i="4"/>
  <c r="H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F40" i="3"/>
  <c r="B40" i="3"/>
  <c r="D40" i="2"/>
  <c r="D44" i="3"/>
  <c r="B32" i="8"/>
  <c r="L10" i="8"/>
  <c r="F39" i="9"/>
  <c r="R36" i="9"/>
  <c r="R41" i="9"/>
  <c r="R39" i="9"/>
  <c r="H7" i="15"/>
  <c r="K12" i="15"/>
  <c r="D12" i="4"/>
  <c r="C12" i="3"/>
  <c r="C22" i="3"/>
  <c r="E40" i="3"/>
  <c r="C40" i="2"/>
  <c r="O30" i="9"/>
  <c r="C45" i="9"/>
  <c r="R27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23" i="9"/>
  <c r="L45" i="9"/>
  <c r="G6" i="7"/>
  <c r="C7" i="1" s="1"/>
  <c r="H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23" i="9"/>
  <c r="R49" i="9"/>
  <c r="D37" i="4"/>
  <c r="B40" i="15"/>
  <c r="H20" i="3"/>
  <c r="H19" i="2" s="1"/>
  <c r="I19" i="2" s="1"/>
  <c r="M8" i="8"/>
  <c r="E43" i="3"/>
  <c r="B27" i="4"/>
  <c r="L19" i="15"/>
  <c r="K19" i="4" s="1"/>
  <c r="L19" i="4" s="1"/>
  <c r="D31" i="8"/>
  <c r="I34" i="9"/>
  <c r="I43" i="9"/>
  <c r="Q38" i="9"/>
  <c r="I47" i="9"/>
  <c r="R26" i="9"/>
  <c r="D7" i="4"/>
  <c r="H39" i="3"/>
  <c r="H39" i="2" s="1"/>
  <c r="I39" i="2" s="1"/>
  <c r="B16" i="5" s="1"/>
  <c r="B32" i="4"/>
  <c r="E35" i="2"/>
  <c r="B35" i="2"/>
  <c r="F23" i="8"/>
  <c r="D43" i="2"/>
  <c r="F23" i="16"/>
  <c r="P38" i="9"/>
  <c r="L11" i="16"/>
  <c r="K20" i="15"/>
  <c r="K21" i="15" s="1"/>
  <c r="C40" i="4"/>
  <c r="C31" i="8"/>
  <c r="D43" i="3"/>
  <c r="B41" i="4"/>
  <c r="C32" i="4"/>
  <c r="B18" i="16"/>
  <c r="F18" i="16"/>
  <c r="N21" i="16"/>
  <c r="I48" i="9"/>
  <c r="N23" i="9"/>
  <c r="O29" i="9"/>
  <c r="Q45" i="9"/>
  <c r="O46" i="9"/>
  <c r="F28" i="9"/>
  <c r="F7" i="3"/>
  <c r="C6" i="2"/>
  <c r="E7" i="15"/>
  <c r="G7" i="15"/>
  <c r="E7" i="4"/>
  <c r="H16" i="3"/>
  <c r="H15" i="2" s="1"/>
  <c r="I15" i="2" s="1"/>
  <c r="H40" i="15"/>
  <c r="R48" i="9"/>
  <c r="P45" i="9"/>
  <c r="D6" i="8"/>
  <c r="D12" i="8" s="1"/>
  <c r="M5" i="8"/>
  <c r="C19" i="1" s="1"/>
  <c r="M27" i="8"/>
  <c r="D16" i="5" s="1"/>
  <c r="C44" i="2"/>
  <c r="G23" i="16"/>
  <c r="R25" i="9"/>
  <c r="Q23" i="9"/>
  <c r="O39" i="9"/>
  <c r="L38" i="9"/>
  <c r="H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G30" i="3"/>
  <c r="G43" i="3"/>
  <c r="E23" i="9"/>
  <c r="F24" i="9"/>
  <c r="H34" i="3"/>
  <c r="H34" i="2" s="1"/>
  <c r="I34" i="2" s="1"/>
  <c r="B11" i="5" s="1"/>
  <c r="H29" i="3"/>
  <c r="H29" i="2" s="1"/>
  <c r="D12" i="3"/>
  <c r="E35" i="3"/>
  <c r="L31" i="15"/>
  <c r="K31" i="4" s="1"/>
  <c r="F18" i="8"/>
  <c r="C30" i="2"/>
  <c r="G40" i="3"/>
  <c r="G44" i="3"/>
  <c r="M9" i="8"/>
  <c r="I30" i="16"/>
  <c r="N28" i="16"/>
  <c r="N17" i="16"/>
  <c r="G18" i="16"/>
  <c r="D23" i="16"/>
  <c r="G40" i="4"/>
  <c r="G37" i="4"/>
  <c r="H38" i="3"/>
  <c r="H38" i="2" s="1"/>
  <c r="D40" i="3"/>
  <c r="F28" i="8"/>
  <c r="F32" i="8"/>
  <c r="M16" i="8"/>
  <c r="D5" i="5" s="1"/>
  <c r="G38" i="9"/>
  <c r="G37" i="15"/>
  <c r="L18" i="15"/>
  <c r="K18" i="4" s="1"/>
  <c r="J32" i="8"/>
  <c r="F34" i="9"/>
  <c r="N10" i="16"/>
  <c r="B11" i="16"/>
  <c r="I51" i="2"/>
  <c r="H21" i="3"/>
  <c r="H20" i="2" s="1"/>
  <c r="I20" i="2" s="1"/>
  <c r="E22" i="3"/>
  <c r="G41" i="4"/>
  <c r="M26" i="8"/>
  <c r="D15" i="5" s="1"/>
  <c r="C37" i="15"/>
  <c r="E30" i="3"/>
  <c r="L46" i="15"/>
  <c r="K44" i="4" s="1"/>
  <c r="L44" i="4" s="1"/>
  <c r="L37" i="16"/>
  <c r="F43" i="9"/>
  <c r="I32" i="9"/>
  <c r="O27" i="9"/>
  <c r="O48" i="9"/>
  <c r="F49" i="9"/>
  <c r="F48" i="9"/>
  <c r="F11" i="16"/>
  <c r="L47" i="15"/>
  <c r="K45" i="4" s="1"/>
  <c r="L45" i="4" s="1"/>
  <c r="D22" i="3"/>
  <c r="D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D30" i="3"/>
  <c r="M17" i="8"/>
  <c r="E30" i="16"/>
  <c r="O9" i="9"/>
  <c r="G37" i="16"/>
  <c r="I11" i="9"/>
  <c r="O41" i="9"/>
  <c r="R28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46" i="9"/>
  <c r="F41" i="9"/>
  <c r="I30" i="9"/>
  <c r="O51" i="9"/>
  <c r="F26" i="9"/>
  <c r="M6" i="16"/>
  <c r="H6" i="3"/>
  <c r="H5" i="2" s="1"/>
  <c r="I5" i="2" s="1"/>
  <c r="C5" i="1" s="1"/>
  <c r="B7" i="3"/>
  <c r="F7" i="15"/>
  <c r="G7" i="4"/>
  <c r="D7" i="7"/>
  <c r="G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2" i="9"/>
  <c r="I49" i="9"/>
  <c r="G45" i="9"/>
  <c r="I29" i="9"/>
  <c r="G23" i="9"/>
  <c r="I26" i="9"/>
  <c r="H23" i="9"/>
  <c r="B6" i="2"/>
  <c r="H17" i="3"/>
  <c r="H16" i="2" s="1"/>
  <c r="D41" i="15"/>
  <c r="D37" i="15"/>
  <c r="C41" i="4"/>
  <c r="C40" i="15"/>
  <c r="L25" i="15"/>
  <c r="K25" i="4" s="1"/>
  <c r="C27" i="15"/>
  <c r="E40" i="4"/>
  <c r="E27" i="4"/>
  <c r="M30" i="16"/>
  <c r="N27" i="16"/>
  <c r="N16" i="16"/>
  <c r="D18" i="16"/>
  <c r="M23" i="16"/>
  <c r="N22" i="16"/>
  <c r="E37" i="16"/>
  <c r="N34" i="16"/>
  <c r="E45" i="9"/>
  <c r="J12" i="5"/>
  <c r="J21" i="5"/>
  <c r="M4" i="8"/>
  <c r="B19" i="1" s="1"/>
  <c r="C6" i="8"/>
  <c r="K31" i="8"/>
  <c r="K23" i="8"/>
  <c r="C32" i="8"/>
  <c r="F9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H33" i="3"/>
  <c r="H33" i="2" s="1"/>
  <c r="C18" i="8"/>
  <c r="D37" i="16"/>
  <c r="C37" i="16"/>
  <c r="N35" i="16"/>
  <c r="O16" i="9"/>
  <c r="O32" i="9"/>
  <c r="O43" i="9"/>
  <c r="L11" i="15"/>
  <c r="K11" i="4" s="1"/>
  <c r="L11" i="4" s="1"/>
  <c r="D12" i="15"/>
  <c r="F29" i="9"/>
  <c r="R16" i="9"/>
  <c r="L15" i="15"/>
  <c r="K15" i="4" s="1"/>
  <c r="C23" i="9"/>
  <c r="E38" i="9"/>
  <c r="N45" i="9"/>
  <c r="L6" i="16"/>
  <c r="B7" i="7"/>
  <c r="F32" i="15"/>
  <c r="C43" i="2"/>
  <c r="C35" i="2"/>
  <c r="D21" i="4"/>
  <c r="C18" i="16"/>
  <c r="I27" i="9"/>
  <c r="I18" i="9"/>
  <c r="B7" i="4"/>
  <c r="C12" i="4"/>
  <c r="F12" i="3"/>
  <c r="C18" i="3"/>
  <c r="G10" i="7"/>
  <c r="B18" i="1" s="1"/>
  <c r="C37" i="4"/>
  <c r="F43" i="3"/>
  <c r="F30" i="3"/>
  <c r="C30" i="3"/>
  <c r="C43" i="3"/>
  <c r="F20" i="1" l="1"/>
  <c r="G20" i="1"/>
  <c r="F21" i="1"/>
  <c r="G21" i="1"/>
  <c r="C22" i="7"/>
  <c r="B22" i="7"/>
  <c r="N57" i="9"/>
  <c r="N55" i="9" s="1"/>
  <c r="H57" i="9"/>
  <c r="H55" i="9" s="1"/>
  <c r="Q57" i="9"/>
  <c r="Q55" i="9" s="1"/>
  <c r="E57" i="9"/>
  <c r="E55" i="9" s="1"/>
  <c r="G21" i="4"/>
  <c r="O23" i="9"/>
  <c r="F45" i="9"/>
  <c r="G21" i="15"/>
  <c r="B23" i="3"/>
  <c r="B42" i="15"/>
  <c r="J42" i="4"/>
  <c r="K42" i="15"/>
  <c r="I38" i="9"/>
  <c r="O38" i="9"/>
  <c r="K7" i="4"/>
  <c r="L7" i="4" s="1"/>
  <c r="J21" i="4"/>
  <c r="G45" i="3"/>
  <c r="O45" i="9"/>
  <c r="R15" i="9"/>
  <c r="F38" i="9"/>
  <c r="C21" i="4"/>
  <c r="B23" i="2"/>
  <c r="B33" i="1"/>
  <c r="D33" i="1" s="1"/>
  <c r="M10" i="8"/>
  <c r="F45" i="3"/>
  <c r="I15" i="9"/>
  <c r="J33" i="8"/>
  <c r="E21" i="15"/>
  <c r="E45" i="3"/>
  <c r="D45" i="2"/>
  <c r="C45" i="3"/>
  <c r="L12" i="8"/>
  <c r="E23" i="3"/>
  <c r="B33" i="8"/>
  <c r="G42" i="15"/>
  <c r="H21" i="15"/>
  <c r="E42" i="15"/>
  <c r="R38" i="9"/>
  <c r="B42" i="4"/>
  <c r="D7" i="1"/>
  <c r="H17" i="2"/>
  <c r="I17" i="2" s="1"/>
  <c r="R23" i="9"/>
  <c r="H12" i="3"/>
  <c r="H44" i="3"/>
  <c r="E45" i="2"/>
  <c r="L33" i="8"/>
  <c r="E21" i="4"/>
  <c r="D17" i="5"/>
  <c r="D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H35" i="3"/>
  <c r="H40" i="3"/>
  <c r="H44" i="2"/>
  <c r="I44" i="2" s="1"/>
  <c r="L32" i="15"/>
  <c r="L25" i="4"/>
  <c r="C5" i="5" s="1"/>
  <c r="H30" i="3"/>
  <c r="N6" i="16"/>
  <c r="H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H22" i="3"/>
  <c r="R45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G5" i="1" s="1"/>
  <c r="B8" i="1"/>
  <c r="I23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23" i="9"/>
  <c r="H35" i="2"/>
  <c r="I35" i="2" s="1"/>
  <c r="H43" i="2"/>
  <c r="D6" i="5"/>
  <c r="I33" i="2"/>
  <c r="B10" i="5" s="1"/>
  <c r="K33" i="8"/>
  <c r="L37" i="15"/>
  <c r="H18" i="3"/>
  <c r="C23" i="3"/>
  <c r="K17" i="4"/>
  <c r="L15" i="4"/>
  <c r="D10" i="5"/>
  <c r="C12" i="8"/>
  <c r="M6" i="8"/>
  <c r="E42" i="4"/>
  <c r="C42" i="15"/>
  <c r="L40" i="15"/>
  <c r="D42" i="15"/>
  <c r="L41" i="15"/>
  <c r="C33" i="8"/>
  <c r="O15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5" s="1"/>
  <c r="I16" i="2"/>
  <c r="C16" i="1" s="1"/>
  <c r="C42" i="4"/>
  <c r="L12" i="15"/>
  <c r="B45" i="3"/>
  <c r="H43" i="3"/>
  <c r="I45" i="9"/>
  <c r="I21" i="1" l="1"/>
  <c r="I20" i="1"/>
  <c r="G6" i="1"/>
  <c r="G19" i="1"/>
  <c r="G7" i="1"/>
  <c r="F18" i="1"/>
  <c r="G18" i="1"/>
  <c r="D22" i="7"/>
  <c r="F22" i="7" s="1"/>
  <c r="C33" i="7"/>
  <c r="M12" i="8"/>
  <c r="B10" i="1"/>
  <c r="D10" i="1" s="1"/>
  <c r="G10" i="1" s="1"/>
  <c r="L21" i="15"/>
  <c r="D21" i="7"/>
  <c r="F21" i="7" s="1"/>
  <c r="F19" i="1"/>
  <c r="F6" i="1"/>
  <c r="H45" i="2"/>
  <c r="I45" i="2" s="1"/>
  <c r="B32" i="1"/>
  <c r="H45" i="3"/>
  <c r="F7" i="1"/>
  <c r="H23" i="2"/>
  <c r="I23" i="2" s="1"/>
  <c r="B27" i="1"/>
  <c r="B21" i="5"/>
  <c r="B28" i="1"/>
  <c r="B33" i="7"/>
  <c r="K42" i="4"/>
  <c r="L42" i="4" s="1"/>
  <c r="L42" i="15"/>
  <c r="H23" i="3"/>
  <c r="C11" i="1"/>
  <c r="M22" i="7" s="1"/>
  <c r="C33" i="1"/>
  <c r="B17" i="1"/>
  <c r="D17" i="1" s="1"/>
  <c r="G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G16" i="1" s="1"/>
  <c r="D8" i="1"/>
  <c r="F8" i="1" s="1"/>
  <c r="F5" i="1"/>
  <c r="E6" i="5"/>
  <c r="F6" i="5" s="1"/>
  <c r="I6" i="5" s="1"/>
  <c r="C7" i="5"/>
  <c r="E5" i="5"/>
  <c r="I7" i="1" l="1"/>
  <c r="H22" i="7"/>
  <c r="I19" i="1"/>
  <c r="I18" i="1"/>
  <c r="I6" i="1"/>
  <c r="C32" i="1"/>
  <c r="D32" i="1"/>
  <c r="B11" i="1"/>
  <c r="D33" i="7"/>
  <c r="F33" i="7" s="1"/>
  <c r="D28" i="1"/>
  <c r="B22" i="1"/>
  <c r="B29" i="1"/>
  <c r="H21" i="7"/>
  <c r="M33" i="7"/>
  <c r="C12" i="5"/>
  <c r="C21" i="5"/>
  <c r="E21" i="5" s="1"/>
  <c r="F21" i="5" s="1"/>
  <c r="H21" i="5" s="1"/>
  <c r="E11" i="5"/>
  <c r="F11" i="5" s="1"/>
  <c r="I11" i="5" s="1"/>
  <c r="C29" i="1"/>
  <c r="I10" i="1"/>
  <c r="D11" i="1"/>
  <c r="F11" i="1" s="1"/>
  <c r="F10" i="1"/>
  <c r="F5" i="5"/>
  <c r="I5" i="5" s="1"/>
  <c r="E7" i="5"/>
  <c r="G8" i="1"/>
  <c r="I5" i="1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I17" i="1"/>
  <c r="I20" i="5" l="1"/>
  <c r="F28" i="1"/>
  <c r="G28" i="1"/>
  <c r="N21" i="7"/>
  <c r="P21" i="7" s="1"/>
  <c r="L22" i="7"/>
  <c r="G21" i="7"/>
  <c r="H33" i="7"/>
  <c r="D34" i="1"/>
  <c r="E33" i="1" s="1"/>
  <c r="E12" i="5"/>
  <c r="C22" i="5"/>
  <c r="K11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I8" i="1"/>
  <c r="G11" i="1"/>
  <c r="I11" i="1" s="1"/>
  <c r="K6" i="5"/>
  <c r="F20" i="5"/>
  <c r="E22" i="5"/>
  <c r="F12" i="5"/>
  <c r="H12" i="5" s="1"/>
  <c r="H10" i="5"/>
  <c r="I28" i="1" l="1"/>
  <c r="L33" i="7"/>
  <c r="N22" i="7"/>
  <c r="G22" i="7"/>
  <c r="I22" i="7" s="1"/>
  <c r="K22" i="7" s="1"/>
  <c r="I21" i="7"/>
  <c r="I21" i="5"/>
  <c r="K21" i="5" s="1"/>
  <c r="E32" i="1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33" i="7" l="1"/>
  <c r="K33" i="7" s="1"/>
  <c r="G33" i="7"/>
  <c r="P22" i="7"/>
  <c r="N33" i="7"/>
  <c r="P33" i="7" s="1"/>
  <c r="K21" i="7"/>
  <c r="K20" i="5"/>
  <c r="I22" i="5"/>
  <c r="K22" i="5" s="1"/>
  <c r="R56" i="9" l="1"/>
  <c r="P57" i="9"/>
  <c r="R4" i="9"/>
  <c r="L57" i="9"/>
  <c r="M50" i="9" s="1"/>
  <c r="O4" i="9"/>
  <c r="M13" i="9" l="1"/>
  <c r="M12" i="9"/>
  <c r="M6" i="9"/>
  <c r="M5" i="9"/>
  <c r="M7" i="9"/>
  <c r="M15" i="9"/>
  <c r="M20" i="9"/>
  <c r="L55" i="9"/>
  <c r="M39" i="9"/>
  <c r="M57" i="9"/>
  <c r="M9" i="9"/>
  <c r="M16" i="9"/>
  <c r="O57" i="9"/>
  <c r="M34" i="9"/>
  <c r="M45" i="9"/>
  <c r="M18" i="9"/>
  <c r="M23" i="9"/>
  <c r="M32" i="9"/>
  <c r="M24" i="9"/>
  <c r="M26" i="9"/>
  <c r="M51" i="9"/>
  <c r="M48" i="9"/>
  <c r="M19" i="9"/>
  <c r="M49" i="9"/>
  <c r="M11" i="9"/>
  <c r="M29" i="9"/>
  <c r="M17" i="9"/>
  <c r="M27" i="9"/>
  <c r="M41" i="9"/>
  <c r="M28" i="9"/>
  <c r="M30" i="9"/>
  <c r="M36" i="9"/>
  <c r="M52" i="9"/>
  <c r="M38" i="9"/>
  <c r="M21" i="9"/>
  <c r="M43" i="9"/>
  <c r="M46" i="9"/>
  <c r="M25" i="9"/>
  <c r="M4" i="9"/>
  <c r="M47" i="9"/>
  <c r="O56" i="9"/>
  <c r="M56" i="9"/>
  <c r="P55" i="9"/>
  <c r="R55" i="9" s="1"/>
  <c r="R57" i="9"/>
  <c r="C57" i="9"/>
  <c r="I56" i="9"/>
  <c r="G57" i="9"/>
  <c r="I4" i="9"/>
  <c r="D11" i="9" l="1"/>
  <c r="D50" i="9"/>
  <c r="D12" i="9"/>
  <c r="D13" i="9"/>
  <c r="D5" i="9"/>
  <c r="D7" i="9"/>
  <c r="D4" i="9"/>
  <c r="D6" i="9"/>
  <c r="M55" i="9"/>
  <c r="O55" i="9"/>
  <c r="I57" i="9"/>
  <c r="G55" i="9"/>
  <c r="I55" i="9" s="1"/>
  <c r="D17" i="9"/>
  <c r="C55" i="9"/>
  <c r="D38" i="9"/>
  <c r="D24" i="9"/>
  <c r="D57" i="9"/>
  <c r="D49" i="9"/>
  <c r="D36" i="9"/>
  <c r="D15" i="9"/>
  <c r="D23" i="9"/>
  <c r="D51" i="9"/>
  <c r="D46" i="9"/>
  <c r="D27" i="9"/>
  <c r="D41" i="9"/>
  <c r="D21" i="9"/>
  <c r="D19" i="9"/>
  <c r="D45" i="9"/>
  <c r="D29" i="9"/>
  <c r="D39" i="9"/>
  <c r="D26" i="9"/>
  <c r="D28" i="9"/>
  <c r="D18" i="9"/>
  <c r="D25" i="9"/>
  <c r="D43" i="9"/>
  <c r="D34" i="9"/>
  <c r="D16" i="9"/>
  <c r="D48" i="9"/>
  <c r="F57" i="9"/>
  <c r="D30" i="9"/>
  <c r="D52" i="9"/>
  <c r="D9" i="9"/>
  <c r="D20" i="9"/>
  <c r="D32" i="9"/>
  <c r="F56" i="9"/>
  <c r="D47" i="9"/>
  <c r="D56" i="9"/>
  <c r="F55" i="9" l="1"/>
  <c r="D55" i="9"/>
</calcChain>
</file>

<file path=xl/sharedStrings.xml><?xml version="1.0" encoding="utf-8"?>
<sst xmlns="http://schemas.openxmlformats.org/spreadsheetml/2006/main" count="534" uniqueCount="218">
  <si>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</si>
  <si>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</si>
  <si>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</si>
  <si>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</si>
  <si>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</si>
  <si>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</si>
  <si>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</si>
  <si>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</si>
  <si>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</si>
  <si>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</si>
  <si>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</si>
  <si>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</si>
  <si>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</si>
  <si>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</si>
  <si>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</si>
  <si>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</si>
  <si>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</si>
  <si>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</si>
  <si>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</si>
  <si>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</si>
  <si>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</si>
  <si>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</si>
  <si>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</si>
  <si>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</si>
  <si>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</si>
  <si>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</si>
  <si>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</si>
  <si>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</si>
  <si>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</si>
  <si>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</si>
  <si>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</si>
  <si>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</si>
  <si>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</si>
  <si>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</si>
  <si>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</si>
  <si>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</si>
  <si>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</si>
  <si>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</si>
  <si>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</si>
  <si>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</si>
  <si>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</si>
  <si>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</si>
  <si>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</si>
  <si>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</si>
  <si>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</si>
  <si>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</si>
  <si>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</si>
  <si>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</si>
  <si>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</si>
  <si>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</si>
  <si>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</si>
  <si>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</si>
  <si>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</si>
  <si>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</si>
  <si>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</si>
  <si>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</si>
  <si>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</si>
  <si>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</si>
  <si>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</si>
  <si>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</si>
  <si>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</si>
  <si>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</si>
  <si>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</si>
  <si>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</si>
  <si>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</si>
  <si>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</si>
  <si>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</si>
  <si>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</si>
  <si>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</si>
  <si>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</si>
  <si>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</si>
  <si>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</si>
  <si>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</si>
  <si>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</si>
  <si>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</si>
  <si>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</si>
  <si>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</si>
  <si>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</si>
  <si>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</si>
  <si>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</si>
  <si>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</si>
  <si>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</si>
  <si>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</si>
  <si>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</si>
  <si>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</si>
  <si>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</si>
  <si>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</si>
  <si>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</si>
  <si>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</si>
  <si>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</si>
  <si>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</si>
  <si>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</si>
  <si>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</si>
  <si>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</si>
  <si>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</si>
  <si>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</si>
  <si>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</si>
  <si>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</si>
  <si>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</si>
  <si>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</si>
  <si>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</si>
  <si>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</si>
  <si>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</si>
  <si>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</si>
  <si>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</si>
  <si>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</si>
  <si>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</si>
  <si>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</si>
  <si>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</si>
  <si>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</si>
  <si>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</si>
  <si>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</si>
  <si>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</si>
  <si>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</si>
  <si>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</si>
  <si>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</si>
  <si>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</si>
  <si>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</si>
  <si>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</si>
  <si>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</si>
  <si>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</si>
  <si>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</si>
  <si>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</si>
  <si>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</si>
  <si>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</si>
  <si>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</si>
  <si>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</si>
  <si>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</si>
  <si>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</si>
  <si>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</si>
  <si>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</si>
  <si>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</si>
  <si>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</si>
  <si>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</si>
  <si>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</si>
  <si>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</si>
  <si>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</si>
  <si>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</si>
  <si>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</si>
  <si>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</si>
  <si>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</si>
  <si>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</si>
  <si>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</si>
  <si>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</si>
  <si>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</si>
  <si>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</si>
  <si>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</si>
  <si>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</si>
  <si>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</si>
  <si>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</si>
  <si>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</si>
  <si>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</si>
  <si>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</si>
  <si>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</si>
  <si>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</si>
  <si>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</si>
  <si>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</si>
  <si>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</si>
  <si>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</si>
  <si>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</si>
  <si>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</si>
  <si>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</si>
  <si>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</si>
  <si>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</si>
  <si>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</si>
  <si>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</si>
  <si>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</si>
  <si>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</si>
  <si>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</si>
  <si>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</si>
  <si>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</si>
  <si>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</si>
  <si>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</si>
  <si>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</si>
  <si>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</si>
  <si>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</si>
  <si>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</si>
  <si>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</si>
  <si>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</si>
  <si>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</si>
  <si>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</si>
  <si>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</si>
  <si>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</si>
  <si>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</si>
  <si>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</si>
  <si>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</si>
  <si>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</si>
  <si>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</si>
  <si>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</si>
  <si>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</si>
  <si>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</si>
  <si>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</si>
  <si>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</si>
  <si>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</si>
  <si>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</si>
  <si>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</si>
  <si>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</si>
  <si>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</si>
  <si>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</si>
  <si>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</si>
  <si>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</si>
  <si>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</si>
  <si>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</si>
  <si>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</si>
  <si>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Jazz - Air Canada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</si>
  <si>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</si>
  <si>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</si>
  <si>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</si>
  <si>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</si>
  <si>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</si>
  <si>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</si>
  <si>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</si>
  <si>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</si>
  <si>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</si>
  <si>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</si>
  <si>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February 2015</t>
  </si>
  <si>
    <t>Air Georgian - Air Canada</t>
  </si>
  <si>
    <t>IFL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</si>
</sst>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0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1" xfId="0" applyFont="1" applyBorder="1"/>
    <xf numFmtId="0" fontId="19" fillId="0" borderId="72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2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7" xfId="0" applyNumberFormat="1" applyFont="1" applyBorder="1"/>
    <xf numFmtId="10" fontId="13" fillId="0" borderId="78" xfId="0" applyNumberFormat="1" applyFont="1" applyBorder="1"/>
    <xf numFmtId="0" fontId="7" fillId="0" borderId="36" xfId="0" applyFon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3" fontId="0" fillId="0" borderId="80" xfId="0" applyNumberFormat="1" applyFill="1" applyBorder="1"/>
    <xf numFmtId="0" fontId="4" fillId="0" borderId="24" xfId="0" applyFont="1" applyFill="1" applyBorder="1" applyAlignment="1">
      <alignment horizontal="center" vertic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4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7" borderId="72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1819155</v>
          </cell>
          <cell r="G5">
            <v>3650886</v>
          </cell>
        </row>
        <row r="6">
          <cell r="D6">
            <v>631884</v>
          </cell>
          <cell r="G6">
            <v>1305847</v>
          </cell>
        </row>
        <row r="7">
          <cell r="D7">
            <v>286</v>
          </cell>
          <cell r="G7">
            <v>1133</v>
          </cell>
        </row>
        <row r="10">
          <cell r="D10">
            <v>78990</v>
          </cell>
          <cell r="G10">
            <v>166449</v>
          </cell>
        </row>
        <row r="16">
          <cell r="D16">
            <v>14055</v>
          </cell>
          <cell r="G16">
            <v>28983</v>
          </cell>
        </row>
        <row r="17">
          <cell r="D17">
            <v>12556</v>
          </cell>
          <cell r="G17">
            <v>26565</v>
          </cell>
        </row>
        <row r="18">
          <cell r="D18">
            <v>6</v>
          </cell>
          <cell r="G18">
            <v>17</v>
          </cell>
        </row>
        <row r="19">
          <cell r="D19">
            <v>955</v>
          </cell>
          <cell r="G19">
            <v>1955</v>
          </cell>
        </row>
        <row r="20">
          <cell r="D20">
            <v>1613</v>
          </cell>
          <cell r="G20">
            <v>3279</v>
          </cell>
        </row>
        <row r="21">
          <cell r="D21">
            <v>126</v>
          </cell>
          <cell r="G21">
            <v>176</v>
          </cell>
        </row>
        <row r="27">
          <cell r="D27">
            <v>14623.5050300647</v>
          </cell>
          <cell r="G27">
            <v>29909.263084992061</v>
          </cell>
        </row>
        <row r="28">
          <cell r="D28">
            <v>872.16060515045001</v>
          </cell>
          <cell r="G28">
            <v>1923.4412084749399</v>
          </cell>
        </row>
        <row r="32">
          <cell r="B32">
            <v>751975</v>
          </cell>
          <cell r="D32">
            <v>1494414</v>
          </cell>
        </row>
        <row r="33">
          <cell r="B33">
            <v>486914</v>
          </cell>
          <cell r="D33">
            <v>1006079</v>
          </cell>
        </row>
      </sheetData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>
        <row r="5">
          <cell r="F5">
            <v>7054.59467115403</v>
          </cell>
          <cell r="I5">
            <v>14216.65943612453</v>
          </cell>
        </row>
        <row r="6">
          <cell r="F6">
            <v>509.42913715462998</v>
          </cell>
          <cell r="I6">
            <v>1126.79965059816</v>
          </cell>
        </row>
        <row r="10">
          <cell r="F10">
            <v>7568.9103589106699</v>
          </cell>
          <cell r="I10">
            <v>15692.603648867531</v>
          </cell>
        </row>
        <row r="11">
          <cell r="F11">
            <v>362.73146799581997</v>
          </cell>
          <cell r="I11">
            <v>796.64155787677998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14623.5050300647</v>
          </cell>
        </row>
        <row r="21">
          <cell r="F21">
            <v>872.16060515045001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1970874</v>
          </cell>
        </row>
        <row r="6">
          <cell r="G6">
            <v>638700</v>
          </cell>
        </row>
        <row r="7">
          <cell r="G7">
            <v>338</v>
          </cell>
        </row>
        <row r="10">
          <cell r="G10">
            <v>87472</v>
          </cell>
        </row>
        <row r="16">
          <cell r="G16">
            <v>15729</v>
          </cell>
        </row>
        <row r="17">
          <cell r="G17">
            <v>13218</v>
          </cell>
        </row>
        <row r="18">
          <cell r="G18">
            <v>4</v>
          </cell>
        </row>
        <row r="19">
          <cell r="G19">
            <v>1086</v>
          </cell>
        </row>
        <row r="20">
          <cell r="G20">
            <v>1550</v>
          </cell>
        </row>
        <row r="21">
          <cell r="G21">
            <v>98</v>
          </cell>
        </row>
        <row r="27">
          <cell r="G27">
            <v>11983.707659610609</v>
          </cell>
        </row>
        <row r="28">
          <cell r="G28">
            <v>1136.5251246033299</v>
          </cell>
        </row>
        <row r="32">
          <cell r="D32">
            <v>787422</v>
          </cell>
        </row>
        <row r="33">
          <cell r="D33">
            <v>527535</v>
          </cell>
        </row>
      </sheetData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>
        <row r="5">
          <cell r="I5">
            <v>4746.4817317463703</v>
          </cell>
        </row>
        <row r="6">
          <cell r="I6">
            <v>648.95415016663003</v>
          </cell>
        </row>
        <row r="10">
          <cell r="I10">
            <v>7237.2259278642396</v>
          </cell>
        </row>
        <row r="11">
          <cell r="I11">
            <v>487.5709744367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4">
          <cell r="EM4"/>
        </row>
        <row r="5">
          <cell r="EM5"/>
        </row>
        <row r="8">
          <cell r="EM8"/>
        </row>
        <row r="9">
          <cell r="EM9"/>
        </row>
        <row r="15">
          <cell r="EL15"/>
          <cell r="EM15"/>
        </row>
        <row r="16">
          <cell r="EL16"/>
          <cell r="EM16"/>
        </row>
        <row r="19">
          <cell r="DX19">
            <v>0</v>
          </cell>
          <cell r="DY19">
            <v>0</v>
          </cell>
          <cell r="EL19">
            <v>0</v>
          </cell>
          <cell r="EM19">
            <v>0</v>
          </cell>
        </row>
        <row r="22">
          <cell r="EM22"/>
        </row>
        <row r="23">
          <cell r="EM23"/>
        </row>
        <row r="27">
          <cell r="EM27"/>
        </row>
        <row r="28">
          <cell r="EM28"/>
        </row>
        <row r="32">
          <cell r="EL32"/>
          <cell r="EM32"/>
        </row>
        <row r="33">
          <cell r="EL33"/>
          <cell r="EM33"/>
        </row>
        <row r="37">
          <cell r="EL37"/>
          <cell r="EM37"/>
        </row>
        <row r="38">
          <cell r="EL38"/>
          <cell r="EM38"/>
        </row>
        <row r="41">
          <cell r="DX41">
            <v>0</v>
          </cell>
          <cell r="DY41">
            <v>0</v>
          </cell>
          <cell r="EL41">
            <v>0</v>
          </cell>
          <cell r="EM41">
            <v>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5"/>
      <sheetData sheetId="6">
        <row r="4">
          <cell r="EM4">
            <v>71</v>
          </cell>
        </row>
        <row r="5">
          <cell r="EM5">
            <v>71</v>
          </cell>
        </row>
        <row r="8">
          <cell r="EM8"/>
        </row>
        <row r="9">
          <cell r="EM9"/>
        </row>
        <row r="19">
          <cell r="DX19">
            <v>70</v>
          </cell>
          <cell r="DY19">
            <v>58</v>
          </cell>
          <cell r="EL19">
            <v>124</v>
          </cell>
          <cell r="EM19">
            <v>142</v>
          </cell>
        </row>
        <row r="22">
          <cell r="EM22">
            <v>8648</v>
          </cell>
        </row>
        <row r="23">
          <cell r="EM23">
            <v>9074</v>
          </cell>
        </row>
        <row r="27">
          <cell r="EM27">
            <v>418</v>
          </cell>
        </row>
        <row r="28">
          <cell r="EM28">
            <v>436</v>
          </cell>
        </row>
        <row r="41">
          <cell r="DX41">
            <v>9785</v>
          </cell>
          <cell r="DY41">
            <v>7147</v>
          </cell>
          <cell r="EL41">
            <v>18654</v>
          </cell>
          <cell r="EM41">
            <v>17722</v>
          </cell>
        </row>
        <row r="47">
          <cell r="EM47">
            <v>3249</v>
          </cell>
        </row>
        <row r="48">
          <cell r="EM48"/>
        </row>
        <row r="52">
          <cell r="EM52">
            <v>7950</v>
          </cell>
        </row>
        <row r="53">
          <cell r="EM53"/>
        </row>
        <row r="57">
          <cell r="EM57"/>
        </row>
        <row r="58">
          <cell r="EM58"/>
        </row>
      </sheetData>
      <sheetData sheetId="7"/>
      <sheetData sheetId="8">
        <row r="4">
          <cell r="EM4">
            <v>674</v>
          </cell>
        </row>
        <row r="5">
          <cell r="EM5">
            <v>674</v>
          </cell>
        </row>
        <row r="8">
          <cell r="EM8"/>
        </row>
        <row r="9">
          <cell r="EM9"/>
        </row>
        <row r="19">
          <cell r="DX19">
            <v>699</v>
          </cell>
          <cell r="DY19">
            <v>629</v>
          </cell>
          <cell r="EL19">
            <v>1451</v>
          </cell>
          <cell r="EM19">
            <v>1348</v>
          </cell>
        </row>
        <row r="22">
          <cell r="EM22">
            <v>82941</v>
          </cell>
        </row>
        <row r="23">
          <cell r="EM23">
            <v>82467</v>
          </cell>
        </row>
        <row r="27">
          <cell r="EM27">
            <v>2823</v>
          </cell>
        </row>
        <row r="28">
          <cell r="EM28">
            <v>2915</v>
          </cell>
        </row>
        <row r="41">
          <cell r="DX41">
            <v>81201</v>
          </cell>
          <cell r="DY41">
            <v>77133</v>
          </cell>
          <cell r="EL41">
            <v>178110</v>
          </cell>
          <cell r="EM41">
            <v>165408</v>
          </cell>
        </row>
        <row r="47">
          <cell r="EM47">
            <v>33848</v>
          </cell>
        </row>
        <row r="48">
          <cell r="EM48">
            <v>28868</v>
          </cell>
        </row>
        <row r="52">
          <cell r="EM52">
            <v>12333</v>
          </cell>
        </row>
        <row r="53">
          <cell r="EM53">
            <v>63075</v>
          </cell>
        </row>
        <row r="57">
          <cell r="EM57"/>
        </row>
        <row r="58">
          <cell r="EM58"/>
        </row>
      </sheetData>
      <sheetData sheetId="9"/>
      <sheetData sheetId="10">
        <row r="4">
          <cell r="EM4">
            <v>504</v>
          </cell>
        </row>
        <row r="5">
          <cell r="EM5">
            <v>505</v>
          </cell>
        </row>
        <row r="8">
          <cell r="EM8">
            <v>50</v>
          </cell>
        </row>
        <row r="9">
          <cell r="EM9">
            <v>51</v>
          </cell>
        </row>
        <row r="15">
          <cell r="EL15">
            <v>227</v>
          </cell>
          <cell r="EM15">
            <v>294</v>
          </cell>
        </row>
        <row r="16">
          <cell r="EL16">
            <v>229</v>
          </cell>
          <cell r="EM16">
            <v>290</v>
          </cell>
        </row>
        <row r="19">
          <cell r="DX19">
            <v>1584</v>
          </cell>
          <cell r="DY19">
            <v>1622</v>
          </cell>
          <cell r="EL19">
            <v>1698</v>
          </cell>
          <cell r="EM19">
            <v>1694</v>
          </cell>
        </row>
        <row r="22">
          <cell r="EM22">
            <v>61912</v>
          </cell>
        </row>
        <row r="23">
          <cell r="EM23">
            <v>64952</v>
          </cell>
        </row>
        <row r="27">
          <cell r="EM27">
            <v>1206</v>
          </cell>
        </row>
        <row r="28">
          <cell r="EM28">
            <v>1162</v>
          </cell>
        </row>
        <row r="32">
          <cell r="EL32">
            <v>22390</v>
          </cell>
          <cell r="EM32">
            <v>32926</v>
          </cell>
        </row>
        <row r="33">
          <cell r="EL33">
            <v>22828</v>
          </cell>
          <cell r="EM33">
            <v>34855</v>
          </cell>
        </row>
        <row r="37">
          <cell r="EL37">
            <v>148</v>
          </cell>
          <cell r="EM37">
            <v>125</v>
          </cell>
        </row>
        <row r="38">
          <cell r="EL38">
            <v>175</v>
          </cell>
          <cell r="EM38">
            <v>159</v>
          </cell>
        </row>
        <row r="41">
          <cell r="DX41">
            <v>166221</v>
          </cell>
          <cell r="DY41">
            <v>191005</v>
          </cell>
          <cell r="EL41">
            <v>170423</v>
          </cell>
          <cell r="EM41">
            <v>194645</v>
          </cell>
        </row>
        <row r="47">
          <cell r="EM47">
            <v>90854</v>
          </cell>
        </row>
        <row r="48">
          <cell r="EM48">
            <v>165668</v>
          </cell>
        </row>
        <row r="52">
          <cell r="EM52">
            <v>68802</v>
          </cell>
        </row>
        <row r="53">
          <cell r="EM53">
            <v>416171</v>
          </cell>
        </row>
        <row r="57">
          <cell r="EM57"/>
        </row>
        <row r="58">
          <cell r="EM58"/>
        </row>
        <row r="70">
          <cell r="EM70">
            <v>60258</v>
          </cell>
        </row>
        <row r="71">
          <cell r="EM71">
            <v>4694</v>
          </cell>
        </row>
        <row r="73">
          <cell r="EM73">
            <v>34830</v>
          </cell>
        </row>
        <row r="74">
          <cell r="EM74">
            <v>25</v>
          </cell>
        </row>
      </sheetData>
      <sheetData sheetId="11"/>
      <sheetData sheetId="12">
        <row r="4">
          <cell r="EM4"/>
        </row>
        <row r="5">
          <cell r="EM5"/>
        </row>
        <row r="8">
          <cell r="EM8"/>
        </row>
        <row r="9">
          <cell r="EM9"/>
        </row>
        <row r="15">
          <cell r="EL15"/>
          <cell r="EM15"/>
        </row>
        <row r="16">
          <cell r="EL16"/>
          <cell r="EM16"/>
        </row>
        <row r="22">
          <cell r="EM22"/>
        </row>
        <row r="23">
          <cell r="EM23"/>
        </row>
        <row r="27">
          <cell r="EM27"/>
        </row>
        <row r="28">
          <cell r="EM28"/>
        </row>
        <row r="32">
          <cell r="EL32"/>
          <cell r="EM32"/>
        </row>
        <row r="33">
          <cell r="EL33"/>
          <cell r="EM33"/>
        </row>
        <row r="37">
          <cell r="EL37"/>
          <cell r="EM37"/>
        </row>
        <row r="38">
          <cell r="EL38"/>
          <cell r="EM38"/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13">
        <row r="4">
          <cell r="EM4">
            <v>4263</v>
          </cell>
        </row>
        <row r="5">
          <cell r="EM5">
            <v>4247</v>
          </cell>
        </row>
        <row r="8">
          <cell r="EM8">
            <v>2</v>
          </cell>
        </row>
        <row r="9">
          <cell r="EM9">
            <v>13</v>
          </cell>
        </row>
        <row r="15">
          <cell r="EL15">
            <v>510</v>
          </cell>
          <cell r="EM15">
            <v>497</v>
          </cell>
        </row>
        <row r="16">
          <cell r="EL16">
            <v>512</v>
          </cell>
          <cell r="EM16">
            <v>500</v>
          </cell>
        </row>
        <row r="19">
          <cell r="DX19">
            <v>9212</v>
          </cell>
          <cell r="DY19">
            <v>8768</v>
          </cell>
          <cell r="EL19">
            <v>9717</v>
          </cell>
          <cell r="EM19">
            <v>9522</v>
          </cell>
        </row>
        <row r="22">
          <cell r="EM22">
            <v>556707</v>
          </cell>
        </row>
        <row r="23">
          <cell r="EM23">
            <v>562978</v>
          </cell>
        </row>
        <row r="27">
          <cell r="EM27">
            <v>24055</v>
          </cell>
        </row>
        <row r="28">
          <cell r="EM28">
            <v>23342</v>
          </cell>
        </row>
        <row r="32">
          <cell r="EL32">
            <v>77660</v>
          </cell>
          <cell r="EM32">
            <v>73861</v>
          </cell>
        </row>
        <row r="33">
          <cell r="EL33">
            <v>76419</v>
          </cell>
          <cell r="EM33">
            <v>73306</v>
          </cell>
        </row>
        <row r="37">
          <cell r="EL37">
            <v>2162</v>
          </cell>
          <cell r="EM37">
            <v>2258</v>
          </cell>
        </row>
        <row r="38">
          <cell r="EL38">
            <v>2009</v>
          </cell>
          <cell r="EM38">
            <v>2180</v>
          </cell>
        </row>
        <row r="41">
          <cell r="DX41">
            <v>1190596</v>
          </cell>
          <cell r="DY41">
            <v>1184452</v>
          </cell>
          <cell r="EL41">
            <v>1280361</v>
          </cell>
          <cell r="EM41">
            <v>1266852</v>
          </cell>
        </row>
        <row r="47">
          <cell r="EM47">
            <v>3813161</v>
          </cell>
        </row>
        <row r="48">
          <cell r="EM48">
            <v>781962</v>
          </cell>
        </row>
        <row r="52">
          <cell r="EM52">
            <v>3143777</v>
          </cell>
        </row>
        <row r="53">
          <cell r="EM53">
            <v>113884</v>
          </cell>
        </row>
        <row r="57">
          <cell r="EM57"/>
        </row>
        <row r="58">
          <cell r="EM58"/>
        </row>
        <row r="70">
          <cell r="EM70">
            <v>289371</v>
          </cell>
        </row>
        <row r="71">
          <cell r="EM71">
            <v>273607</v>
          </cell>
        </row>
        <row r="73">
          <cell r="EM73">
            <v>37679</v>
          </cell>
        </row>
        <row r="74">
          <cell r="EM74">
            <v>35627</v>
          </cell>
        </row>
      </sheetData>
      <sheetData sheetId="14">
        <row r="4">
          <cell r="EM4">
            <v>79</v>
          </cell>
        </row>
        <row r="5">
          <cell r="EM5">
            <v>79</v>
          </cell>
        </row>
        <row r="8">
          <cell r="EM8"/>
        </row>
        <row r="9">
          <cell r="EM9"/>
        </row>
        <row r="19">
          <cell r="DX19">
            <v>146</v>
          </cell>
          <cell r="DY19">
            <v>112</v>
          </cell>
          <cell r="EL19">
            <v>148</v>
          </cell>
          <cell r="EM19">
            <v>158</v>
          </cell>
        </row>
        <row r="22">
          <cell r="EM22">
            <v>11324</v>
          </cell>
        </row>
        <row r="23">
          <cell r="EM23">
            <v>11324</v>
          </cell>
        </row>
        <row r="27">
          <cell r="EM27">
            <v>104</v>
          </cell>
        </row>
        <row r="28">
          <cell r="EM28">
            <v>104</v>
          </cell>
        </row>
        <row r="41">
          <cell r="DX41">
            <v>20515</v>
          </cell>
          <cell r="DY41">
            <v>16002</v>
          </cell>
          <cell r="EL41">
            <v>23064</v>
          </cell>
          <cell r="EM41">
            <v>22648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15">
        <row r="4">
          <cell r="EM4">
            <v>67</v>
          </cell>
        </row>
        <row r="5">
          <cell r="EM5">
            <v>67</v>
          </cell>
        </row>
        <row r="8">
          <cell r="EM8"/>
        </row>
        <row r="9">
          <cell r="EM9"/>
        </row>
        <row r="19">
          <cell r="DX19">
            <v>212</v>
          </cell>
          <cell r="DY19">
            <v>154</v>
          </cell>
          <cell r="EL19">
            <v>143</v>
          </cell>
          <cell r="EM19">
            <v>134</v>
          </cell>
        </row>
        <row r="22">
          <cell r="EM22">
            <v>201</v>
          </cell>
        </row>
        <row r="23">
          <cell r="EM23">
            <v>201</v>
          </cell>
        </row>
        <row r="27">
          <cell r="EM27">
            <v>33</v>
          </cell>
        </row>
        <row r="28">
          <cell r="EM28">
            <v>47</v>
          </cell>
        </row>
        <row r="41">
          <cell r="DX41">
            <v>765</v>
          </cell>
          <cell r="DY41">
            <v>603</v>
          </cell>
          <cell r="EL41">
            <v>376</v>
          </cell>
          <cell r="EM41">
            <v>402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16">
        <row r="8">
          <cell r="EM8"/>
        </row>
        <row r="9">
          <cell r="EM9"/>
        </row>
        <row r="15">
          <cell r="EL15">
            <v>6</v>
          </cell>
          <cell r="EM15"/>
        </row>
        <row r="16">
          <cell r="EL16">
            <v>6</v>
          </cell>
          <cell r="EM16"/>
        </row>
        <row r="19">
          <cell r="DX19">
            <v>0</v>
          </cell>
          <cell r="DY19">
            <v>0</v>
          </cell>
          <cell r="EL19">
            <v>12</v>
          </cell>
          <cell r="EM19">
            <v>0</v>
          </cell>
        </row>
        <row r="32">
          <cell r="EL32">
            <v>888</v>
          </cell>
          <cell r="EM32"/>
        </row>
        <row r="33">
          <cell r="EL33">
            <v>585</v>
          </cell>
          <cell r="EM33"/>
        </row>
        <row r="37">
          <cell r="EL37">
            <v>26</v>
          </cell>
          <cell r="EM37"/>
        </row>
        <row r="38">
          <cell r="EL38">
            <v>24</v>
          </cell>
          <cell r="EM38"/>
        </row>
        <row r="41">
          <cell r="DX41">
            <v>0</v>
          </cell>
          <cell r="DY41">
            <v>0</v>
          </cell>
          <cell r="EL41">
            <v>1473</v>
          </cell>
          <cell r="EM41">
            <v>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17"/>
      <sheetData sheetId="18"/>
      <sheetData sheetId="19"/>
      <sheetData sheetId="20">
        <row r="19">
          <cell r="DY19">
            <v>158</v>
          </cell>
        </row>
        <row r="41">
          <cell r="DX41">
            <v>6396</v>
          </cell>
          <cell r="DY41">
            <v>5061</v>
          </cell>
        </row>
      </sheetData>
      <sheetData sheetId="21">
        <row r="4">
          <cell r="EM4">
            <v>617</v>
          </cell>
        </row>
        <row r="5">
          <cell r="EM5">
            <v>616</v>
          </cell>
        </row>
        <row r="8">
          <cell r="EM8">
            <v>2</v>
          </cell>
        </row>
        <row r="9">
          <cell r="EM9"/>
        </row>
        <row r="19">
          <cell r="DX19">
            <v>1280</v>
          </cell>
          <cell r="DY19">
            <v>1129</v>
          </cell>
          <cell r="EL19">
            <v>1310</v>
          </cell>
          <cell r="EM19">
            <v>1235</v>
          </cell>
        </row>
        <row r="22">
          <cell r="EM22">
            <v>69385</v>
          </cell>
        </row>
        <row r="23">
          <cell r="EM23">
            <v>69828</v>
          </cell>
        </row>
        <row r="27">
          <cell r="EM27">
            <v>1255</v>
          </cell>
        </row>
        <row r="28">
          <cell r="EM28">
            <v>1299</v>
          </cell>
        </row>
        <row r="41">
          <cell r="DX41">
            <v>140746</v>
          </cell>
          <cell r="DY41">
            <v>131205</v>
          </cell>
          <cell r="EL41">
            <v>147219</v>
          </cell>
          <cell r="EM41">
            <v>139213</v>
          </cell>
        </row>
        <row r="47">
          <cell r="EM47">
            <v>159163</v>
          </cell>
        </row>
        <row r="48">
          <cell r="EM48"/>
        </row>
        <row r="52">
          <cell r="EM52">
            <v>109885</v>
          </cell>
        </row>
        <row r="53">
          <cell r="EM53"/>
        </row>
        <row r="57">
          <cell r="EM57"/>
        </row>
        <row r="58">
          <cell r="EM58"/>
        </row>
        <row r="70">
          <cell r="EM70">
            <v>69635</v>
          </cell>
        </row>
        <row r="71">
          <cell r="EM71">
            <v>193</v>
          </cell>
        </row>
      </sheetData>
      <sheetData sheetId="22">
        <row r="4">
          <cell r="EM4">
            <v>306</v>
          </cell>
        </row>
        <row r="5">
          <cell r="EM5">
            <v>306</v>
          </cell>
        </row>
        <row r="8">
          <cell r="EM8"/>
        </row>
        <row r="9">
          <cell r="EM9"/>
        </row>
        <row r="19">
          <cell r="DX19">
            <v>680</v>
          </cell>
          <cell r="DY19">
            <v>607</v>
          </cell>
          <cell r="EL19">
            <v>680</v>
          </cell>
          <cell r="EM19">
            <v>612</v>
          </cell>
        </row>
        <row r="22">
          <cell r="EM22">
            <v>45822</v>
          </cell>
        </row>
        <row r="23">
          <cell r="EM23">
            <v>46517</v>
          </cell>
        </row>
        <row r="27">
          <cell r="EM27">
            <v>309</v>
          </cell>
        </row>
        <row r="28">
          <cell r="EM28">
            <v>309</v>
          </cell>
        </row>
        <row r="41">
          <cell r="DX41">
            <v>93217</v>
          </cell>
          <cell r="DY41">
            <v>88542</v>
          </cell>
          <cell r="EL41">
            <v>97867</v>
          </cell>
          <cell r="EM41">
            <v>92339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23">
        <row r="4">
          <cell r="EM4">
            <v>238</v>
          </cell>
        </row>
        <row r="5">
          <cell r="EM5">
            <v>238</v>
          </cell>
        </row>
        <row r="8">
          <cell r="EM8"/>
        </row>
        <row r="9">
          <cell r="EM9"/>
        </row>
        <row r="19">
          <cell r="DX19">
            <v>320</v>
          </cell>
          <cell r="DY19">
            <v>320</v>
          </cell>
          <cell r="EL19">
            <v>446</v>
          </cell>
          <cell r="EM19">
            <v>476</v>
          </cell>
        </row>
        <row r="22">
          <cell r="EM22">
            <v>28147</v>
          </cell>
        </row>
        <row r="23">
          <cell r="EM23">
            <v>27997</v>
          </cell>
        </row>
        <row r="27">
          <cell r="EM27">
            <v>959</v>
          </cell>
        </row>
        <row r="28">
          <cell r="EM28">
            <v>1126</v>
          </cell>
        </row>
        <row r="41">
          <cell r="DX41">
            <v>36409</v>
          </cell>
          <cell r="DY41">
            <v>37923</v>
          </cell>
          <cell r="EL41">
            <v>53327</v>
          </cell>
          <cell r="EM41">
            <v>56144</v>
          </cell>
        </row>
        <row r="47">
          <cell r="EM47">
            <v>13831</v>
          </cell>
        </row>
        <row r="48">
          <cell r="EM48">
            <v>125342</v>
          </cell>
        </row>
        <row r="52">
          <cell r="EM52">
            <v>3421</v>
          </cell>
        </row>
        <row r="53">
          <cell r="EM53">
            <v>116119</v>
          </cell>
        </row>
        <row r="57">
          <cell r="EM57"/>
        </row>
        <row r="58">
          <cell r="EM58"/>
        </row>
      </sheetData>
      <sheetData sheetId="24">
        <row r="19">
          <cell r="DX19">
            <v>725</v>
          </cell>
          <cell r="DY19">
            <v>656</v>
          </cell>
          <cell r="EL19">
            <v>0</v>
          </cell>
          <cell r="EM19">
            <v>0</v>
          </cell>
        </row>
        <row r="41">
          <cell r="DX41">
            <v>92276</v>
          </cell>
          <cell r="DY41">
            <v>85143</v>
          </cell>
          <cell r="EL41">
            <v>0</v>
          </cell>
          <cell r="EM41">
            <v>0</v>
          </cell>
        </row>
      </sheetData>
      <sheetData sheetId="25">
        <row r="8">
          <cell r="EM8"/>
        </row>
        <row r="9">
          <cell r="EM9"/>
        </row>
        <row r="15">
          <cell r="EL15">
            <v>89</v>
          </cell>
          <cell r="EM15">
            <v>3</v>
          </cell>
        </row>
        <row r="16">
          <cell r="EL16">
            <v>89</v>
          </cell>
          <cell r="EM16">
            <v>4</v>
          </cell>
        </row>
        <row r="19">
          <cell r="DX19">
            <v>178</v>
          </cell>
          <cell r="DY19">
            <v>158</v>
          </cell>
          <cell r="EL19">
            <v>178</v>
          </cell>
          <cell r="EM19">
            <v>7</v>
          </cell>
        </row>
        <row r="32">
          <cell r="EL32">
            <v>3406</v>
          </cell>
          <cell r="EM32">
            <v>147</v>
          </cell>
        </row>
        <row r="33">
          <cell r="EL33">
            <v>3083</v>
          </cell>
          <cell r="EM33">
            <v>123</v>
          </cell>
        </row>
        <row r="37">
          <cell r="EL37">
            <v>23</v>
          </cell>
          <cell r="EM37">
            <v>1</v>
          </cell>
        </row>
        <row r="38">
          <cell r="EL38">
            <v>35</v>
          </cell>
          <cell r="EM38">
            <v>4</v>
          </cell>
        </row>
        <row r="41">
          <cell r="EL41">
            <v>6489</v>
          </cell>
          <cell r="EM41">
            <v>270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G58"/>
        </row>
      </sheetData>
      <sheetData sheetId="26">
        <row r="8">
          <cell r="EM8">
            <v>0</v>
          </cell>
        </row>
        <row r="9">
          <cell r="EM9">
            <v>0</v>
          </cell>
        </row>
        <row r="15">
          <cell r="EL15"/>
          <cell r="EM15">
            <v>79</v>
          </cell>
        </row>
        <row r="16">
          <cell r="EL16"/>
          <cell r="EM16">
            <v>78</v>
          </cell>
        </row>
        <row r="19">
          <cell r="DY19">
            <v>0</v>
          </cell>
          <cell r="EM19">
            <v>157</v>
          </cell>
        </row>
        <row r="32">
          <cell r="EL32"/>
          <cell r="EM32">
            <v>3042</v>
          </cell>
        </row>
        <row r="33">
          <cell r="EL33"/>
          <cell r="EM33">
            <v>2845</v>
          </cell>
        </row>
        <row r="37">
          <cell r="EL37"/>
          <cell r="EM37"/>
        </row>
        <row r="38">
          <cell r="EL38"/>
          <cell r="EM38"/>
        </row>
        <row r="41">
          <cell r="DX41">
            <v>0</v>
          </cell>
          <cell r="DY41">
            <v>0</v>
          </cell>
          <cell r="EL41">
            <v>0</v>
          </cell>
          <cell r="EM41">
            <v>5887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</sheetData>
      <sheetData sheetId="27">
        <row r="4">
          <cell r="EM4">
            <v>12</v>
          </cell>
        </row>
        <row r="5">
          <cell r="EM5">
            <v>12</v>
          </cell>
        </row>
        <row r="8">
          <cell r="EM8"/>
        </row>
        <row r="9">
          <cell r="EM9"/>
        </row>
        <row r="19">
          <cell r="DX19">
            <v>0</v>
          </cell>
          <cell r="DY19">
            <v>0</v>
          </cell>
          <cell r="EL19">
            <v>60</v>
          </cell>
          <cell r="EM19">
            <v>24</v>
          </cell>
        </row>
        <row r="22">
          <cell r="EM22">
            <v>380</v>
          </cell>
        </row>
        <row r="23">
          <cell r="EM23">
            <v>469</v>
          </cell>
        </row>
        <row r="27">
          <cell r="EM27">
            <v>26</v>
          </cell>
        </row>
        <row r="28">
          <cell r="EM28">
            <v>17</v>
          </cell>
        </row>
        <row r="41">
          <cell r="DX41">
            <v>0</v>
          </cell>
          <cell r="DY41">
            <v>0</v>
          </cell>
          <cell r="EL41">
            <v>2291</v>
          </cell>
          <cell r="EM41">
            <v>849</v>
          </cell>
        </row>
        <row r="47">
          <cell r="EM47"/>
        </row>
        <row r="48">
          <cell r="EM48"/>
        </row>
        <row r="52">
          <cell r="BH52"/>
        </row>
        <row r="53">
          <cell r="EM53"/>
        </row>
        <row r="57">
          <cell r="BG57"/>
        </row>
        <row r="58">
          <cell r="BG58"/>
        </row>
      </sheetData>
      <sheetData sheetId="28">
        <row r="4">
          <cell r="EM4">
            <v>4</v>
          </cell>
        </row>
        <row r="5">
          <cell r="EM5">
            <v>4</v>
          </cell>
        </row>
        <row r="8">
          <cell r="EM8"/>
        </row>
        <row r="9">
          <cell r="EM9"/>
        </row>
        <row r="19">
          <cell r="DX19">
            <v>211</v>
          </cell>
          <cell r="DY19">
            <v>185</v>
          </cell>
          <cell r="EL19">
            <v>20</v>
          </cell>
          <cell r="EM19">
            <v>8</v>
          </cell>
        </row>
        <row r="22">
          <cell r="EM22">
            <v>187</v>
          </cell>
        </row>
        <row r="23">
          <cell r="EM23">
            <v>249</v>
          </cell>
        </row>
        <row r="27">
          <cell r="EM27">
            <v>25</v>
          </cell>
        </row>
        <row r="28">
          <cell r="EM28">
            <v>7</v>
          </cell>
        </row>
        <row r="41">
          <cell r="DX41">
            <v>12441</v>
          </cell>
          <cell r="DY41">
            <v>11044</v>
          </cell>
          <cell r="EL41">
            <v>1013</v>
          </cell>
          <cell r="EM41">
            <v>436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29">
        <row r="4">
          <cell r="EM4">
            <v>294</v>
          </cell>
        </row>
        <row r="5">
          <cell r="EM5">
            <v>290</v>
          </cell>
        </row>
        <row r="8">
          <cell r="EM8">
            <v>1</v>
          </cell>
        </row>
        <row r="9">
          <cell r="EM9">
            <v>2</v>
          </cell>
        </row>
        <row r="15">
          <cell r="EL15">
            <v>36</v>
          </cell>
          <cell r="EM15">
            <v>8</v>
          </cell>
        </row>
        <row r="16">
          <cell r="EL16">
            <v>39</v>
          </cell>
          <cell r="EM16">
            <v>11</v>
          </cell>
        </row>
        <row r="19">
          <cell r="DX19">
            <v>1354</v>
          </cell>
          <cell r="DY19">
            <v>1025</v>
          </cell>
          <cell r="EL19">
            <v>1025</v>
          </cell>
          <cell r="EM19">
            <v>606</v>
          </cell>
        </row>
        <row r="22">
          <cell r="EM22">
            <v>13672</v>
          </cell>
        </row>
        <row r="23">
          <cell r="EM23">
            <v>14434</v>
          </cell>
        </row>
        <row r="27">
          <cell r="EM27">
            <v>449</v>
          </cell>
        </row>
        <row r="28">
          <cell r="EM28">
            <v>503</v>
          </cell>
        </row>
        <row r="32">
          <cell r="EL32">
            <v>2069</v>
          </cell>
          <cell r="EM32">
            <v>506</v>
          </cell>
        </row>
        <row r="33">
          <cell r="EL33">
            <v>2304</v>
          </cell>
          <cell r="EM33">
            <v>652</v>
          </cell>
        </row>
        <row r="37">
          <cell r="EL37">
            <v>34</v>
          </cell>
          <cell r="EM37">
            <v>2</v>
          </cell>
        </row>
        <row r="38">
          <cell r="EL38">
            <v>20</v>
          </cell>
          <cell r="EM38">
            <v>2</v>
          </cell>
        </row>
        <row r="41">
          <cell r="DX41">
            <v>67601</v>
          </cell>
          <cell r="DY41">
            <v>53983</v>
          </cell>
          <cell r="EL41">
            <v>51155</v>
          </cell>
          <cell r="EM41">
            <v>29264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G58"/>
        </row>
        <row r="70">
          <cell r="EM70">
            <v>5485</v>
          </cell>
        </row>
        <row r="71">
          <cell r="EM71">
            <v>8949</v>
          </cell>
        </row>
        <row r="73">
          <cell r="EM73">
            <v>248</v>
          </cell>
        </row>
        <row r="74">
          <cell r="EM74">
            <v>404</v>
          </cell>
        </row>
      </sheetData>
      <sheetData sheetId="30"/>
      <sheetData sheetId="31"/>
      <sheetData sheetId="32"/>
      <sheetData sheetId="33">
        <row r="4">
          <cell r="EM4">
            <v>483</v>
          </cell>
        </row>
        <row r="5">
          <cell r="EM5">
            <v>481</v>
          </cell>
        </row>
        <row r="8">
          <cell r="EM8"/>
        </row>
        <row r="9">
          <cell r="EM9">
            <v>2</v>
          </cell>
        </row>
        <row r="15">
          <cell r="EL15">
            <v>109</v>
          </cell>
          <cell r="EM15">
            <v>90</v>
          </cell>
        </row>
        <row r="16">
          <cell r="EL16">
            <v>108</v>
          </cell>
          <cell r="EM16">
            <v>89</v>
          </cell>
        </row>
        <row r="19">
          <cell r="DX19">
            <v>1221</v>
          </cell>
          <cell r="DY19">
            <v>1227</v>
          </cell>
          <cell r="EL19">
            <v>1207</v>
          </cell>
          <cell r="EM19">
            <v>1145</v>
          </cell>
        </row>
        <row r="22">
          <cell r="EM22">
            <v>26492</v>
          </cell>
        </row>
        <row r="23">
          <cell r="EM23">
            <v>27699</v>
          </cell>
        </row>
        <row r="27">
          <cell r="EM27">
            <v>1131</v>
          </cell>
        </row>
        <row r="28">
          <cell r="EM28">
            <v>1084</v>
          </cell>
        </row>
        <row r="32">
          <cell r="EL32">
            <v>6935</v>
          </cell>
          <cell r="EM32">
            <v>6048</v>
          </cell>
        </row>
        <row r="33">
          <cell r="EL33">
            <v>6435</v>
          </cell>
          <cell r="EM33">
            <v>5471</v>
          </cell>
        </row>
        <row r="37">
          <cell r="EL37">
            <v>86</v>
          </cell>
          <cell r="EM37">
            <v>91</v>
          </cell>
        </row>
        <row r="38">
          <cell r="EL38">
            <v>110</v>
          </cell>
          <cell r="EM38">
            <v>68</v>
          </cell>
        </row>
        <row r="41">
          <cell r="DX41">
            <v>66777</v>
          </cell>
          <cell r="DY41">
            <v>71129</v>
          </cell>
          <cell r="EL41">
            <v>68909</v>
          </cell>
          <cell r="EM41">
            <v>65710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G58"/>
        </row>
        <row r="70">
          <cell r="BG70">
            <v>26242</v>
          </cell>
          <cell r="EM70">
            <v>13406</v>
          </cell>
        </row>
        <row r="71">
          <cell r="BG71">
            <v>44562</v>
          </cell>
          <cell r="EM71">
            <v>14293</v>
          </cell>
        </row>
        <row r="73">
          <cell r="BG73">
            <v>1540</v>
          </cell>
          <cell r="EM73">
            <v>2648</v>
          </cell>
        </row>
        <row r="74">
          <cell r="BG74">
            <v>2614</v>
          </cell>
          <cell r="EM74">
            <v>2823</v>
          </cell>
        </row>
      </sheetData>
      <sheetData sheetId="34"/>
      <sheetData sheetId="35">
        <row r="4">
          <cell r="EM4">
            <v>23</v>
          </cell>
        </row>
        <row r="5">
          <cell r="EM5">
            <v>23</v>
          </cell>
        </row>
        <row r="8">
          <cell r="EM8"/>
        </row>
        <row r="9">
          <cell r="EM9"/>
        </row>
        <row r="19">
          <cell r="DX19">
            <v>270</v>
          </cell>
          <cell r="DY19">
            <v>268</v>
          </cell>
          <cell r="EL19">
            <v>910</v>
          </cell>
          <cell r="EM19">
            <v>46</v>
          </cell>
        </row>
        <row r="22">
          <cell r="EM22">
            <v>768</v>
          </cell>
        </row>
        <row r="23">
          <cell r="EM23">
            <v>836</v>
          </cell>
        </row>
        <row r="27">
          <cell r="EM27">
            <v>40</v>
          </cell>
        </row>
        <row r="28">
          <cell r="EM28">
            <v>24</v>
          </cell>
        </row>
        <row r="41">
          <cell r="DX41">
            <v>10500</v>
          </cell>
          <cell r="DY41">
            <v>10424</v>
          </cell>
          <cell r="EL41">
            <v>64701</v>
          </cell>
          <cell r="EM41">
            <v>1604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G58"/>
        </row>
      </sheetData>
      <sheetData sheetId="36"/>
      <sheetData sheetId="37">
        <row r="4">
          <cell r="EM4"/>
        </row>
        <row r="5">
          <cell r="EM5"/>
        </row>
        <row r="8">
          <cell r="EM8"/>
        </row>
        <row r="9">
          <cell r="EM9"/>
        </row>
        <row r="19">
          <cell r="DX19">
            <v>0</v>
          </cell>
          <cell r="DY19">
            <v>26</v>
          </cell>
          <cell r="EL19">
            <v>0</v>
          </cell>
          <cell r="EM19">
            <v>0</v>
          </cell>
        </row>
        <row r="22">
          <cell r="EM22"/>
        </row>
        <row r="23">
          <cell r="EM23"/>
        </row>
        <row r="27">
          <cell r="EM27"/>
        </row>
        <row r="28">
          <cell r="EM28"/>
        </row>
        <row r="41">
          <cell r="DX41">
            <v>0</v>
          </cell>
          <cell r="DY41">
            <v>1459</v>
          </cell>
          <cell r="EL41">
            <v>0</v>
          </cell>
          <cell r="EM41">
            <v>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AJ57"/>
        </row>
        <row r="58">
          <cell r="AJ58"/>
        </row>
      </sheetData>
      <sheetData sheetId="38">
        <row r="4">
          <cell r="EM4">
            <v>26</v>
          </cell>
        </row>
        <row r="5">
          <cell r="EM5">
            <v>26</v>
          </cell>
        </row>
        <row r="8">
          <cell r="EM8"/>
        </row>
        <row r="9">
          <cell r="EM9"/>
        </row>
        <row r="19">
          <cell r="DX19">
            <v>106</v>
          </cell>
          <cell r="DY19">
            <v>62</v>
          </cell>
          <cell r="EL19">
            <v>0</v>
          </cell>
          <cell r="EM19">
            <v>52</v>
          </cell>
        </row>
        <row r="22">
          <cell r="EM22">
            <v>1680</v>
          </cell>
        </row>
        <row r="23">
          <cell r="EM23">
            <v>1635</v>
          </cell>
        </row>
        <row r="27">
          <cell r="EM27">
            <v>41</v>
          </cell>
        </row>
        <row r="28">
          <cell r="EM28">
            <v>29</v>
          </cell>
        </row>
        <row r="41">
          <cell r="DX41">
            <v>6804</v>
          </cell>
          <cell r="DY41">
            <v>3727</v>
          </cell>
          <cell r="EL41">
            <v>0</v>
          </cell>
          <cell r="EM41">
            <v>3315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AJ57"/>
        </row>
        <row r="58">
          <cell r="AJ58"/>
        </row>
      </sheetData>
      <sheetData sheetId="39"/>
      <sheetData sheetId="40">
        <row r="4">
          <cell r="EM4">
            <v>101</v>
          </cell>
        </row>
        <row r="5">
          <cell r="EM5">
            <v>101</v>
          </cell>
        </row>
        <row r="8">
          <cell r="EM8"/>
        </row>
        <row r="9">
          <cell r="EM9"/>
        </row>
        <row r="19">
          <cell r="DX19">
            <v>150</v>
          </cell>
          <cell r="DY19">
            <v>170</v>
          </cell>
          <cell r="EL19">
            <v>156</v>
          </cell>
          <cell r="EM19">
            <v>202</v>
          </cell>
        </row>
        <row r="22">
          <cell r="EM22">
            <v>5519</v>
          </cell>
        </row>
        <row r="23">
          <cell r="EM23">
            <v>5789</v>
          </cell>
        </row>
        <row r="27">
          <cell r="EM27">
            <v>199</v>
          </cell>
        </row>
        <row r="28">
          <cell r="EM28">
            <v>229</v>
          </cell>
        </row>
        <row r="41">
          <cell r="DX41">
            <v>9460</v>
          </cell>
          <cell r="DY41">
            <v>10596</v>
          </cell>
          <cell r="EL41">
            <v>0</v>
          </cell>
          <cell r="EM41">
            <v>11308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41">
        <row r="4">
          <cell r="EM4"/>
        </row>
        <row r="5">
          <cell r="EM5"/>
        </row>
        <row r="8">
          <cell r="EM8"/>
        </row>
        <row r="9">
          <cell r="EM9"/>
        </row>
        <row r="19">
          <cell r="DX19">
            <v>10</v>
          </cell>
          <cell r="DY19">
            <v>2</v>
          </cell>
          <cell r="EL19">
            <v>14</v>
          </cell>
          <cell r="EM19">
            <v>0</v>
          </cell>
        </row>
        <row r="22">
          <cell r="EM22"/>
        </row>
        <row r="23">
          <cell r="EM23"/>
        </row>
        <row r="27">
          <cell r="EM27"/>
        </row>
        <row r="28">
          <cell r="EM28"/>
        </row>
        <row r="41">
          <cell r="DX41">
            <v>588</v>
          </cell>
          <cell r="DY41">
            <v>109</v>
          </cell>
          <cell r="EL41">
            <v>1079</v>
          </cell>
          <cell r="EM41">
            <v>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AJ57"/>
        </row>
        <row r="58">
          <cell r="AJ58"/>
        </row>
      </sheetData>
      <sheetData sheetId="42"/>
      <sheetData sheetId="43">
        <row r="4">
          <cell r="EM4">
            <v>1580</v>
          </cell>
        </row>
        <row r="5">
          <cell r="EM5">
            <v>1579</v>
          </cell>
        </row>
        <row r="8">
          <cell r="EM8"/>
        </row>
        <row r="9">
          <cell r="EM9">
            <v>2</v>
          </cell>
        </row>
        <row r="15">
          <cell r="EL15">
            <v>181</v>
          </cell>
          <cell r="EM15">
            <v>201</v>
          </cell>
        </row>
        <row r="16">
          <cell r="EL16">
            <v>175</v>
          </cell>
          <cell r="EM16">
            <v>200</v>
          </cell>
        </row>
        <row r="19">
          <cell r="DX19">
            <v>5786</v>
          </cell>
          <cell r="DY19">
            <v>5102</v>
          </cell>
          <cell r="EL19">
            <v>4125</v>
          </cell>
          <cell r="EM19">
            <v>3562</v>
          </cell>
        </row>
        <row r="22">
          <cell r="EM22">
            <v>87151</v>
          </cell>
        </row>
        <row r="23">
          <cell r="EM23">
            <v>86277</v>
          </cell>
        </row>
        <row r="27">
          <cell r="EM27">
            <v>3563</v>
          </cell>
        </row>
        <row r="28">
          <cell r="EM28">
            <v>3373</v>
          </cell>
        </row>
        <row r="32">
          <cell r="EL32">
            <v>10305</v>
          </cell>
          <cell r="EM32">
            <v>12347</v>
          </cell>
        </row>
        <row r="33">
          <cell r="EL33">
            <v>10480</v>
          </cell>
          <cell r="EM33">
            <v>12595</v>
          </cell>
        </row>
        <row r="37">
          <cell r="EL37">
            <v>76</v>
          </cell>
          <cell r="EM37">
            <v>91</v>
          </cell>
        </row>
        <row r="38">
          <cell r="EL38">
            <v>47</v>
          </cell>
          <cell r="EM38">
            <v>106</v>
          </cell>
        </row>
        <row r="41">
          <cell r="DX41">
            <v>291703</v>
          </cell>
          <cell r="DY41">
            <v>269970</v>
          </cell>
          <cell r="EL41">
            <v>216575</v>
          </cell>
          <cell r="EM41">
            <v>198370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  <row r="70">
          <cell r="EM70">
            <v>30628</v>
          </cell>
        </row>
        <row r="71">
          <cell r="EM71">
            <v>55649</v>
          </cell>
        </row>
        <row r="73">
          <cell r="EM73">
            <v>4471</v>
          </cell>
        </row>
        <row r="74">
          <cell r="EM74">
            <v>8124</v>
          </cell>
        </row>
      </sheetData>
      <sheetData sheetId="44"/>
      <sheetData sheetId="45">
        <row r="4">
          <cell r="EM4">
            <v>101</v>
          </cell>
        </row>
        <row r="5">
          <cell r="EM5">
            <v>101</v>
          </cell>
        </row>
        <row r="8">
          <cell r="EM8"/>
        </row>
        <row r="9">
          <cell r="EM9"/>
        </row>
        <row r="19">
          <cell r="DX19">
            <v>52</v>
          </cell>
          <cell r="DY19">
            <v>25</v>
          </cell>
          <cell r="EL19">
            <v>156</v>
          </cell>
          <cell r="EM19">
            <v>202</v>
          </cell>
        </row>
        <row r="22">
          <cell r="EM22">
            <v>5058</v>
          </cell>
        </row>
        <row r="23">
          <cell r="EM23">
            <v>4680</v>
          </cell>
        </row>
        <row r="27">
          <cell r="EM27"/>
        </row>
        <row r="28">
          <cell r="EM28"/>
        </row>
        <row r="41">
          <cell r="DX41">
            <v>3192</v>
          </cell>
          <cell r="DY41">
            <v>1680</v>
          </cell>
          <cell r="EL41">
            <v>7148</v>
          </cell>
          <cell r="EM41">
            <v>9738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46">
        <row r="4">
          <cell r="EM4">
            <v>64</v>
          </cell>
        </row>
        <row r="5">
          <cell r="EM5">
            <v>64</v>
          </cell>
        </row>
        <row r="8">
          <cell r="EM8"/>
        </row>
        <row r="9">
          <cell r="EM9"/>
        </row>
        <row r="19">
          <cell r="DX19">
            <v>0</v>
          </cell>
          <cell r="DY19">
            <v>0</v>
          </cell>
          <cell r="EL19">
            <v>0</v>
          </cell>
          <cell r="EM19">
            <v>128</v>
          </cell>
        </row>
        <row r="22">
          <cell r="EM22">
            <v>3458</v>
          </cell>
        </row>
        <row r="23">
          <cell r="EM23">
            <v>3198</v>
          </cell>
        </row>
        <row r="27">
          <cell r="EM27"/>
        </row>
        <row r="28">
          <cell r="EM28"/>
        </row>
        <row r="41">
          <cell r="DX41">
            <v>0</v>
          </cell>
          <cell r="DY41">
            <v>0</v>
          </cell>
          <cell r="EL41">
            <v>0</v>
          </cell>
          <cell r="EM41">
            <v>6656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</sheetData>
      <sheetData sheetId="47"/>
      <sheetData sheetId="48">
        <row r="4">
          <cell r="EM4">
            <v>2470</v>
          </cell>
        </row>
        <row r="5">
          <cell r="EM5">
            <v>2471</v>
          </cell>
        </row>
        <row r="8">
          <cell r="EM8"/>
        </row>
        <row r="9">
          <cell r="EM9">
            <v>3</v>
          </cell>
        </row>
        <row r="15">
          <cell r="EL15">
            <v>153</v>
          </cell>
          <cell r="EM15">
            <v>150</v>
          </cell>
        </row>
        <row r="16">
          <cell r="EL16">
            <v>155</v>
          </cell>
          <cell r="EM16">
            <v>148</v>
          </cell>
        </row>
        <row r="19">
          <cell r="DX19">
            <v>3703</v>
          </cell>
          <cell r="DY19">
            <v>3398</v>
          </cell>
          <cell r="EL19">
            <v>5231</v>
          </cell>
          <cell r="EM19">
            <v>5242</v>
          </cell>
        </row>
        <row r="22">
          <cell r="EM22">
            <v>104788</v>
          </cell>
        </row>
        <row r="23">
          <cell r="EM23">
            <v>103657</v>
          </cell>
        </row>
        <row r="27">
          <cell r="EM27">
            <v>4275</v>
          </cell>
        </row>
        <row r="28">
          <cell r="EM28">
            <v>4418</v>
          </cell>
        </row>
        <row r="32">
          <cell r="EL32">
            <v>8711</v>
          </cell>
          <cell r="EM32">
            <v>9168</v>
          </cell>
        </row>
        <row r="33">
          <cell r="EL33">
            <v>8613</v>
          </cell>
          <cell r="EM33">
            <v>8600</v>
          </cell>
        </row>
        <row r="37">
          <cell r="EL37">
            <v>95</v>
          </cell>
          <cell r="EM37">
            <v>145</v>
          </cell>
        </row>
        <row r="38">
          <cell r="EL38">
            <v>94</v>
          </cell>
          <cell r="EM38">
            <v>147</v>
          </cell>
        </row>
        <row r="41">
          <cell r="DX41">
            <v>143876</v>
          </cell>
          <cell r="DY41">
            <v>140878</v>
          </cell>
          <cell r="EL41">
            <v>213188</v>
          </cell>
          <cell r="EM41">
            <v>226213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  <row r="70">
          <cell r="EM70">
            <v>23841</v>
          </cell>
        </row>
        <row r="71">
          <cell r="EM71">
            <v>79816</v>
          </cell>
        </row>
        <row r="73">
          <cell r="EM73">
            <v>1978</v>
          </cell>
        </row>
        <row r="74">
          <cell r="EM74">
            <v>6622</v>
          </cell>
        </row>
      </sheetData>
      <sheetData sheetId="49">
        <row r="4">
          <cell r="EM4">
            <v>181</v>
          </cell>
        </row>
        <row r="5">
          <cell r="EM5">
            <v>181</v>
          </cell>
        </row>
        <row r="8">
          <cell r="EM8"/>
        </row>
        <row r="9">
          <cell r="EM9"/>
        </row>
        <row r="19">
          <cell r="DX19">
            <v>290</v>
          </cell>
          <cell r="DY19">
            <v>312</v>
          </cell>
          <cell r="EL19">
            <v>0</v>
          </cell>
          <cell r="EM19">
            <v>362</v>
          </cell>
        </row>
        <row r="22">
          <cell r="EM22">
            <v>11569</v>
          </cell>
        </row>
        <row r="23">
          <cell r="EM23">
            <v>11876</v>
          </cell>
        </row>
        <row r="27">
          <cell r="EM27">
            <v>285</v>
          </cell>
        </row>
        <row r="28">
          <cell r="EM28">
            <v>303</v>
          </cell>
        </row>
        <row r="41">
          <cell r="DX41">
            <v>18349</v>
          </cell>
          <cell r="DY41">
            <v>19618</v>
          </cell>
          <cell r="EL41">
            <v>0</v>
          </cell>
          <cell r="EM41">
            <v>23445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50">
        <row r="19">
          <cell r="DX19">
            <v>0</v>
          </cell>
          <cell r="DY19">
            <v>0</v>
          </cell>
        </row>
        <row r="41">
          <cell r="DX41">
            <v>0</v>
          </cell>
          <cell r="DY41">
            <v>0</v>
          </cell>
        </row>
      </sheetData>
      <sheetData sheetId="51"/>
      <sheetData sheetId="52">
        <row r="4">
          <cell r="EM4"/>
        </row>
        <row r="5">
          <cell r="EM5"/>
        </row>
        <row r="8">
          <cell r="EM8">
            <v>0</v>
          </cell>
        </row>
        <row r="9">
          <cell r="EM9">
            <v>0</v>
          </cell>
        </row>
        <row r="19">
          <cell r="DX19">
            <v>0</v>
          </cell>
          <cell r="DY19">
            <v>0</v>
          </cell>
          <cell r="EL19">
            <v>0</v>
          </cell>
          <cell r="EM19">
            <v>0</v>
          </cell>
        </row>
        <row r="22">
          <cell r="EM22"/>
        </row>
        <row r="23">
          <cell r="EM23"/>
        </row>
        <row r="27">
          <cell r="EM27"/>
        </row>
        <row r="28">
          <cell r="EM28"/>
        </row>
        <row r="41">
          <cell r="DX41">
            <v>0</v>
          </cell>
          <cell r="DY41">
            <v>0</v>
          </cell>
          <cell r="EL41">
            <v>0</v>
          </cell>
          <cell r="EM41">
            <v>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EM58"/>
        </row>
      </sheetData>
      <sheetData sheetId="53">
        <row r="4">
          <cell r="EM4">
            <v>88</v>
          </cell>
        </row>
        <row r="5">
          <cell r="EM5">
            <v>88</v>
          </cell>
        </row>
        <row r="8">
          <cell r="EM8"/>
        </row>
        <row r="9">
          <cell r="EM9"/>
        </row>
        <row r="19">
          <cell r="DX19">
            <v>264</v>
          </cell>
          <cell r="DY19">
            <v>208</v>
          </cell>
          <cell r="EL19">
            <v>0</v>
          </cell>
          <cell r="EM19">
            <v>176</v>
          </cell>
        </row>
        <row r="22">
          <cell r="EM22">
            <v>4683</v>
          </cell>
        </row>
        <row r="23">
          <cell r="EM23">
            <v>4857</v>
          </cell>
        </row>
        <row r="27">
          <cell r="EM27"/>
        </row>
        <row r="28">
          <cell r="EM28"/>
        </row>
        <row r="41">
          <cell r="DX41">
            <v>15615</v>
          </cell>
          <cell r="DY41">
            <v>11973</v>
          </cell>
          <cell r="EL41">
            <v>0</v>
          </cell>
          <cell r="EM41">
            <v>9540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G58"/>
        </row>
      </sheetData>
      <sheetData sheetId="54">
        <row r="4">
          <cell r="EM4">
            <v>69</v>
          </cell>
        </row>
        <row r="5">
          <cell r="EM5">
            <v>69</v>
          </cell>
        </row>
        <row r="8">
          <cell r="EM8"/>
        </row>
        <row r="9">
          <cell r="EM9"/>
        </row>
        <row r="19">
          <cell r="DX19">
            <v>414</v>
          </cell>
          <cell r="DY19">
            <v>388</v>
          </cell>
          <cell r="EL19">
            <v>136</v>
          </cell>
          <cell r="EM19">
            <v>138</v>
          </cell>
        </row>
        <row r="22">
          <cell r="EM22">
            <v>3159</v>
          </cell>
        </row>
        <row r="23">
          <cell r="EM23">
            <v>3011</v>
          </cell>
        </row>
        <row r="27">
          <cell r="EM27">
            <v>99</v>
          </cell>
        </row>
        <row r="28">
          <cell r="EM28">
            <v>136</v>
          </cell>
        </row>
        <row r="41">
          <cell r="DX41">
            <v>20661</v>
          </cell>
          <cell r="DY41">
            <v>20233</v>
          </cell>
          <cell r="EL41">
            <v>6152</v>
          </cell>
          <cell r="EM41">
            <v>6170</v>
          </cell>
        </row>
        <row r="47">
          <cell r="EM47"/>
        </row>
        <row r="48">
          <cell r="EM48"/>
        </row>
        <row r="52">
          <cell r="EM52"/>
        </row>
        <row r="53">
          <cell r="EM53"/>
        </row>
        <row r="57">
          <cell r="EM57"/>
        </row>
        <row r="58">
          <cell r="BH58"/>
        </row>
        <row r="70">
          <cell r="EM70">
            <v>1024</v>
          </cell>
        </row>
        <row r="71">
          <cell r="EM71">
            <v>1987</v>
          </cell>
        </row>
      </sheetData>
      <sheetData sheetId="55"/>
      <sheetData sheetId="56"/>
      <sheetData sheetId="57"/>
      <sheetData sheetId="58">
        <row r="4">
          <cell r="EM4"/>
        </row>
        <row r="5">
          <cell r="EM5"/>
        </row>
        <row r="15">
          <cell r="EL15"/>
          <cell r="EM15"/>
        </row>
        <row r="16">
          <cell r="EL16"/>
          <cell r="EM16"/>
        </row>
        <row r="22">
          <cell r="EM22"/>
        </row>
        <row r="23">
          <cell r="EM23"/>
        </row>
        <row r="32">
          <cell r="EL32"/>
          <cell r="EM32"/>
        </row>
        <row r="33">
          <cell r="EL33"/>
          <cell r="EM33"/>
        </row>
        <row r="37">
          <cell r="EL37"/>
          <cell r="EM37"/>
        </row>
        <row r="38">
          <cell r="EL38"/>
          <cell r="EM38"/>
        </row>
      </sheetData>
      <sheetData sheetId="59">
        <row r="4">
          <cell r="EM4"/>
        </row>
        <row r="5">
          <cell r="EM5"/>
        </row>
        <row r="15">
          <cell r="EM15"/>
        </row>
        <row r="16">
          <cell r="EM16"/>
        </row>
        <row r="22">
          <cell r="EM22"/>
        </row>
        <row r="23">
          <cell r="EM23"/>
        </row>
        <row r="32">
          <cell r="EM32"/>
        </row>
        <row r="33">
          <cell r="EM33"/>
        </row>
      </sheetData>
      <sheetData sheetId="60">
        <row r="15">
          <cell r="EL15"/>
          <cell r="EM15"/>
        </row>
        <row r="16">
          <cell r="EL16"/>
          <cell r="EM16"/>
        </row>
        <row r="32">
          <cell r="EL32"/>
          <cell r="EM32"/>
        </row>
        <row r="33">
          <cell r="EL33"/>
          <cell r="EM33"/>
        </row>
        <row r="37">
          <cell r="EL37"/>
          <cell r="EM37"/>
        </row>
        <row r="38">
          <cell r="EL38"/>
          <cell r="EM38"/>
        </row>
      </sheetData>
      <sheetData sheetId="61">
        <row r="4">
          <cell r="EM4">
            <v>1</v>
          </cell>
        </row>
        <row r="5">
          <cell r="EM5">
            <v>1</v>
          </cell>
        </row>
        <row r="15">
          <cell r="EL15"/>
          <cell r="EM15"/>
        </row>
        <row r="16">
          <cell r="EL16"/>
          <cell r="EM16"/>
        </row>
        <row r="22">
          <cell r="EM22">
            <v>92</v>
          </cell>
        </row>
        <row r="23">
          <cell r="EM23">
            <v>50</v>
          </cell>
        </row>
        <row r="32">
          <cell r="EL32"/>
          <cell r="EM32"/>
        </row>
        <row r="33">
          <cell r="EL33"/>
          <cell r="EM33"/>
        </row>
        <row r="37">
          <cell r="EL37"/>
          <cell r="EM37"/>
        </row>
        <row r="38">
          <cell r="EL38"/>
          <cell r="EM38"/>
        </row>
      </sheetData>
      <sheetData sheetId="62"/>
      <sheetData sheetId="63"/>
      <sheetData sheetId="64">
        <row r="4">
          <cell r="EM4">
            <v>21</v>
          </cell>
        </row>
        <row r="5">
          <cell r="EM5">
            <v>21</v>
          </cell>
        </row>
        <row r="47">
          <cell r="EM47">
            <v>562810</v>
          </cell>
        </row>
        <row r="48">
          <cell r="EM48"/>
        </row>
        <row r="52">
          <cell r="EM52">
            <v>441255</v>
          </cell>
        </row>
        <row r="53">
          <cell r="EM53"/>
        </row>
        <row r="57">
          <cell r="EM57"/>
        </row>
        <row r="58">
          <cell r="EM58"/>
        </row>
      </sheetData>
      <sheetData sheetId="65">
        <row r="4">
          <cell r="EM4">
            <v>30</v>
          </cell>
        </row>
        <row r="5">
          <cell r="EM5">
            <v>30</v>
          </cell>
        </row>
        <row r="15">
          <cell r="EM15"/>
        </row>
        <row r="47">
          <cell r="EM47">
            <v>38897</v>
          </cell>
        </row>
        <row r="48">
          <cell r="EM48"/>
        </row>
        <row r="52">
          <cell r="EM52">
            <v>33877</v>
          </cell>
        </row>
        <row r="53">
          <cell r="EM53"/>
        </row>
        <row r="57">
          <cell r="EM57"/>
        </row>
        <row r="58">
          <cell r="EM58"/>
        </row>
      </sheetData>
      <sheetData sheetId="66"/>
      <sheetData sheetId="67">
        <row r="15">
          <cell r="EM15">
            <v>21</v>
          </cell>
        </row>
        <row r="16">
          <cell r="EM16">
            <v>21</v>
          </cell>
        </row>
        <row r="47">
          <cell r="EM47">
            <v>18010</v>
          </cell>
        </row>
        <row r="48">
          <cell r="EM48"/>
        </row>
        <row r="52">
          <cell r="EM52">
            <v>59632</v>
          </cell>
        </row>
        <row r="53">
          <cell r="EM53"/>
        </row>
        <row r="57">
          <cell r="EM57"/>
        </row>
        <row r="58">
          <cell r="EM58"/>
        </row>
      </sheetData>
      <sheetData sheetId="68">
        <row r="4">
          <cell r="EM4">
            <v>79</v>
          </cell>
        </row>
        <row r="5">
          <cell r="EM5">
            <v>79</v>
          </cell>
        </row>
        <row r="15">
          <cell r="EM15"/>
        </row>
        <row r="47">
          <cell r="EM47">
            <v>5631632</v>
          </cell>
        </row>
        <row r="48">
          <cell r="EM48"/>
        </row>
        <row r="52">
          <cell r="EM52">
            <v>8059928</v>
          </cell>
        </row>
        <row r="53">
          <cell r="EM53"/>
        </row>
        <row r="57">
          <cell r="EM57"/>
        </row>
        <row r="58">
          <cell r="EM58"/>
        </row>
      </sheetData>
      <sheetData sheetId="69">
        <row r="4">
          <cell r="EM4">
            <v>79</v>
          </cell>
        </row>
        <row r="5">
          <cell r="EM5">
            <v>79</v>
          </cell>
        </row>
        <row r="15">
          <cell r="EM15">
            <v>15</v>
          </cell>
        </row>
        <row r="16">
          <cell r="EM16">
            <v>15</v>
          </cell>
        </row>
        <row r="47">
          <cell r="EM47">
            <v>4326340</v>
          </cell>
        </row>
        <row r="48">
          <cell r="EM48">
            <v>4095</v>
          </cell>
        </row>
        <row r="52">
          <cell r="EM52">
            <v>3754099</v>
          </cell>
        </row>
        <row r="53">
          <cell r="EM53">
            <v>291692</v>
          </cell>
        </row>
        <row r="57">
          <cell r="EM57"/>
        </row>
        <row r="58">
          <cell r="EM58"/>
        </row>
      </sheetData>
      <sheetData sheetId="70"/>
      <sheetData sheetId="71"/>
      <sheetData sheetId="72"/>
      <sheetData sheetId="73">
        <row r="4">
          <cell r="EM4">
            <v>219</v>
          </cell>
        </row>
        <row r="5">
          <cell r="EM5">
            <v>219</v>
          </cell>
        </row>
      </sheetData>
      <sheetData sheetId="74">
        <row r="4">
          <cell r="EM4">
            <v>20</v>
          </cell>
        </row>
        <row r="5">
          <cell r="EM5">
            <v>20</v>
          </cell>
        </row>
        <row r="47">
          <cell r="EM47">
            <v>23898</v>
          </cell>
        </row>
        <row r="48">
          <cell r="EM48"/>
        </row>
        <row r="52">
          <cell r="EM52">
            <v>32064</v>
          </cell>
        </row>
        <row r="53">
          <cell r="EM53"/>
        </row>
        <row r="57">
          <cell r="EM57"/>
        </row>
        <row r="58">
          <cell r="EM58"/>
        </row>
      </sheetData>
      <sheetData sheetId="75">
        <row r="4">
          <cell r="EM4">
            <v>19</v>
          </cell>
        </row>
        <row r="5">
          <cell r="EM5">
            <v>19</v>
          </cell>
        </row>
        <row r="47">
          <cell r="EM47">
            <v>34283</v>
          </cell>
        </row>
        <row r="48">
          <cell r="EM48"/>
        </row>
        <row r="52">
          <cell r="EM52">
            <v>104675</v>
          </cell>
        </row>
        <row r="53">
          <cell r="EM53"/>
        </row>
        <row r="57">
          <cell r="EM57"/>
        </row>
        <row r="58">
          <cell r="EM58"/>
        </row>
      </sheetData>
      <sheetData sheetId="76">
        <row r="4">
          <cell r="EM4">
            <v>21</v>
          </cell>
        </row>
        <row r="5">
          <cell r="EM5">
            <v>21</v>
          </cell>
        </row>
        <row r="8">
          <cell r="EM8"/>
        </row>
        <row r="9">
          <cell r="EM9"/>
        </row>
        <row r="47">
          <cell r="EM47">
            <v>36242</v>
          </cell>
        </row>
        <row r="48">
          <cell r="EM48"/>
        </row>
        <row r="52">
          <cell r="EM52">
            <v>28474</v>
          </cell>
        </row>
        <row r="53">
          <cell r="EM53"/>
        </row>
        <row r="57">
          <cell r="EM57"/>
        </row>
        <row r="58">
          <cell r="EM58"/>
        </row>
      </sheetData>
      <sheetData sheetId="77">
        <row r="4">
          <cell r="EM4">
            <v>37</v>
          </cell>
        </row>
        <row r="5">
          <cell r="EM5">
            <v>37</v>
          </cell>
        </row>
      </sheetData>
      <sheetData sheetId="78">
        <row r="4">
          <cell r="EM4">
            <v>794</v>
          </cell>
        </row>
        <row r="5">
          <cell r="EM5">
            <v>795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C14" sqref="C14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0">
        <v>42401</v>
      </c>
      <c r="B2" s="17"/>
      <c r="C2" s="17"/>
      <c r="D2" s="484" t="s">
        <v>186</v>
      </c>
      <c r="E2" s="484" t="s">
        <v>181</v>
      </c>
      <c r="F2" s="8"/>
      <c r="G2" s="8"/>
      <c r="H2" s="8"/>
      <c r="I2" s="8"/>
      <c r="J2" s="23"/>
    </row>
    <row r="3" spans="1:14" ht="13.5" thickBot="1" x14ac:dyDescent="0.25">
      <c r="A3" s="396"/>
      <c r="B3" s="8" t="s">
        <v>0</v>
      </c>
      <c r="C3" s="8" t="s">
        <v>1</v>
      </c>
      <c r="D3" s="485"/>
      <c r="E3" s="486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9">
        <f>'Major Airline Stats'!I4</f>
        <v>971874</v>
      </c>
      <c r="C5" s="301">
        <f>'Major Airline Stats'!I5</f>
        <v>983499</v>
      </c>
      <c r="D5" s="5">
        <f>'Major Airline Stats'!I6</f>
        <v>1955373</v>
      </c>
      <c r="E5" s="9">
        <f>'[1]Monthly Summary'!D5</f>
        <v>1819155</v>
      </c>
      <c r="F5" s="39">
        <f>(D5-E5)/E5</f>
        <v>7.4879820576036676E-2</v>
      </c>
      <c r="G5" s="9">
        <f>+D5+'[2]Monthly Summary'!G5</f>
        <v>3926247</v>
      </c>
      <c r="H5" s="9">
        <f>'[1]Monthly Summary'!G5</f>
        <v>3650886</v>
      </c>
      <c r="I5" s="85">
        <f>(G5-H5)/H5</f>
        <v>7.5423061689682991E-2</v>
      </c>
      <c r="J5" s="9"/>
    </row>
    <row r="6" spans="1:14" x14ac:dyDescent="0.2">
      <c r="A6" s="67" t="s">
        <v>5</v>
      </c>
      <c r="B6" s="299">
        <f>'Regional Major'!L5</f>
        <v>299822</v>
      </c>
      <c r="C6" s="299">
        <f>'Regional Major'!L6</f>
        <v>298953</v>
      </c>
      <c r="D6" s="5">
        <f>B6+C6</f>
        <v>598775</v>
      </c>
      <c r="E6" s="9">
        <f>'[1]Monthly Summary'!D6</f>
        <v>631884</v>
      </c>
      <c r="F6" s="39">
        <f>(D6-E6)/E6</f>
        <v>-5.2397275449291326E-2</v>
      </c>
      <c r="G6" s="9">
        <f>+D6+'[2]Monthly Summary'!G6</f>
        <v>1237475</v>
      </c>
      <c r="H6" s="9">
        <f>'[1]Monthly Summary'!G6</f>
        <v>1305847</v>
      </c>
      <c r="I6" s="85">
        <f>(G6-H6)/H6</f>
        <v>-5.2358354386080455E-2</v>
      </c>
      <c r="J6" s="20"/>
      <c r="K6" s="2"/>
    </row>
    <row r="7" spans="1:14" x14ac:dyDescent="0.2">
      <c r="A7" s="67" t="s">
        <v>6</v>
      </c>
      <c r="B7" s="9">
        <f>Charter!G5</f>
        <v>92</v>
      </c>
      <c r="C7" s="300">
        <f>Charter!G6</f>
        <v>50</v>
      </c>
      <c r="D7" s="5">
        <f>B7+C7</f>
        <v>142</v>
      </c>
      <c r="E7" s="9">
        <f>'[1]Monthly Summary'!D7</f>
        <v>286</v>
      </c>
      <c r="F7" s="39">
        <f>(D7-E7)/E7</f>
        <v>-0.50349650349650354</v>
      </c>
      <c r="G7" s="9">
        <f>+D7+'[2]Monthly Summary'!G7</f>
        <v>480</v>
      </c>
      <c r="H7" s="9">
        <f>'[1]Monthly Summary'!G7</f>
        <v>1133</v>
      </c>
      <c r="I7" s="85">
        <f>(G7-H7)/H7</f>
        <v>-0.57634598411297444</v>
      </c>
      <c r="J7" s="20"/>
      <c r="K7" s="2"/>
    </row>
    <row r="8" spans="1:14" x14ac:dyDescent="0.2">
      <c r="A8" s="70" t="s">
        <v>7</v>
      </c>
      <c r="B8" s="148">
        <f>SUM(B5:B7)</f>
        <v>1271788</v>
      </c>
      <c r="C8" s="148">
        <f>SUM(C5:C7)</f>
        <v>1282502</v>
      </c>
      <c r="D8" s="148">
        <f>SUM(D5:D7)</f>
        <v>2554290</v>
      </c>
      <c r="E8" s="148">
        <f>SUM(E5:E7)</f>
        <v>2451325</v>
      </c>
      <c r="F8" s="92">
        <f>(D8-E8)/E8</f>
        <v>4.2003814263714523E-2</v>
      </c>
      <c r="G8" s="148">
        <f>SUM(G5:G7)</f>
        <v>5164202</v>
      </c>
      <c r="H8" s="148">
        <f>SUM(H5:H7)</f>
        <v>4957866</v>
      </c>
      <c r="I8" s="91">
        <f>(G8-H8)/H8</f>
        <v>4.161790576832855E-2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2">
        <f>'Major Airline Stats'!I9+'Regional Major'!L10</f>
        <v>44008</v>
      </c>
      <c r="C10" s="302">
        <f>'Major Airline Stats'!I10+'Regional Major'!L11</f>
        <v>43529</v>
      </c>
      <c r="D10" s="120">
        <f>SUM(B10:C10)</f>
        <v>87537</v>
      </c>
      <c r="E10" s="120">
        <f>'[1]Monthly Summary'!D10</f>
        <v>78990</v>
      </c>
      <c r="F10" s="93">
        <f>(D10-E10)/E10</f>
        <v>0.10820357007216104</v>
      </c>
      <c r="G10" s="9">
        <f>+D10+'[2]Monthly Summary'!G10</f>
        <v>175009</v>
      </c>
      <c r="H10" s="120">
        <f>'[1]Monthly Summary'!G10</f>
        <v>166449</v>
      </c>
      <c r="I10" s="96">
        <f>(G10-H10)/H10</f>
        <v>5.1427163876022086E-2</v>
      </c>
      <c r="J10" s="264"/>
    </row>
    <row r="11" spans="1:14" ht="15.75" thickBot="1" x14ac:dyDescent="0.3">
      <c r="A11" s="69" t="s">
        <v>15</v>
      </c>
      <c r="B11" s="278">
        <f>B10+B8</f>
        <v>1315796</v>
      </c>
      <c r="C11" s="278">
        <f>C10+C8</f>
        <v>1326031</v>
      </c>
      <c r="D11" s="278">
        <f>D10+D8</f>
        <v>2641827</v>
      </c>
      <c r="E11" s="278">
        <f>E10+E8</f>
        <v>2530315</v>
      </c>
      <c r="F11" s="94">
        <f>(D11-E11)/E11</f>
        <v>4.407040230168971E-2</v>
      </c>
      <c r="G11" s="278">
        <f>G8+G10</f>
        <v>5339211</v>
      </c>
      <c r="H11" s="278">
        <f>H8+H10</f>
        <v>5124315</v>
      </c>
      <c r="I11" s="97">
        <f>(G11-H11)/H11</f>
        <v>4.1936532004765513E-2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4" t="s">
        <v>186</v>
      </c>
      <c r="E13" s="484" t="s">
        <v>181</v>
      </c>
      <c r="F13" s="443"/>
      <c r="G13" s="443"/>
      <c r="H13" s="443"/>
      <c r="I13" s="443"/>
    </row>
    <row r="14" spans="1:14" ht="13.5" thickBot="1" x14ac:dyDescent="0.25">
      <c r="A14" s="16"/>
      <c r="B14" s="102" t="s">
        <v>14</v>
      </c>
      <c r="C14" s="102" t="s">
        <v>13</v>
      </c>
      <c r="D14" s="485"/>
      <c r="E14" s="486"/>
      <c r="F14" s="443" t="s">
        <v>2</v>
      </c>
      <c r="G14" s="443" t="s">
        <v>187</v>
      </c>
      <c r="H14" s="443" t="s">
        <v>178</v>
      </c>
      <c r="I14" s="443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10">
        <f>'Major Airline Stats'!I15+'Major Airline Stats'!I19</f>
        <v>7664</v>
      </c>
      <c r="C16" s="310">
        <f>'Major Airline Stats'!I16+'Major Airline Stats'!I20</f>
        <v>7657</v>
      </c>
      <c r="D16" s="47">
        <f t="shared" ref="D16:D21" si="0">SUM(B16:C16)</f>
        <v>15321</v>
      </c>
      <c r="E16" s="9">
        <f>'[1]Monthly Summary'!D16</f>
        <v>14055</v>
      </c>
      <c r="F16" s="95">
        <f t="shared" ref="F16:F22" si="1">(D16-E16)/E16</f>
        <v>9.0074706510138741E-2</v>
      </c>
      <c r="G16" s="9">
        <f>+D16+'[2]Monthly Summary'!G16</f>
        <v>31050</v>
      </c>
      <c r="H16" s="9">
        <f>'[1]Monthly Summary'!G16</f>
        <v>28983</v>
      </c>
      <c r="I16" s="262">
        <f t="shared" ref="I16:I22" si="2">(G16-H16)/H16</f>
        <v>7.1317668978366625E-2</v>
      </c>
      <c r="N16" s="130"/>
    </row>
    <row r="17" spans="1:12" x14ac:dyDescent="0.2">
      <c r="A17" s="68" t="s">
        <v>5</v>
      </c>
      <c r="B17" s="47">
        <f>'Regional Major'!L15+'Regional Major'!L18</f>
        <v>6028</v>
      </c>
      <c r="C17" s="47">
        <f>'Regional Major'!L16+'Regional Major'!L19</f>
        <v>6029</v>
      </c>
      <c r="D17" s="47">
        <f>SUM(B17:C17)</f>
        <v>12057</v>
      </c>
      <c r="E17" s="9">
        <f>'[1]Monthly Summary'!D17</f>
        <v>12556</v>
      </c>
      <c r="F17" s="95">
        <f t="shared" si="1"/>
        <v>-3.9741956036954441E-2</v>
      </c>
      <c r="G17" s="9">
        <f>+D17+'[2]Monthly Summary'!G17</f>
        <v>25275</v>
      </c>
      <c r="H17" s="9">
        <f>'[1]Monthly Summary'!G17</f>
        <v>26565</v>
      </c>
      <c r="I17" s="262">
        <f t="shared" si="2"/>
        <v>-4.8560135516657256E-2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6</v>
      </c>
      <c r="F18" s="95">
        <f t="shared" si="1"/>
        <v>-0.66666666666666663</v>
      </c>
      <c r="G18" s="9">
        <f>+D18+'[2]Monthly Summary'!G18</f>
        <v>6</v>
      </c>
      <c r="H18" s="9">
        <f>'[1]Monthly Summary'!G18</f>
        <v>17</v>
      </c>
      <c r="I18" s="262">
        <f t="shared" si="2"/>
        <v>-0.6470588235294118</v>
      </c>
    </row>
    <row r="19" spans="1:12" x14ac:dyDescent="0.2">
      <c r="A19" s="68" t="s">
        <v>11</v>
      </c>
      <c r="B19" s="47">
        <f>Cargo!M4</f>
        <v>524</v>
      </c>
      <c r="C19" s="47">
        <f>Cargo!M5</f>
        <v>524</v>
      </c>
      <c r="D19" s="47">
        <f t="shared" si="0"/>
        <v>1048</v>
      </c>
      <c r="E19" s="9">
        <f>'[1]Monthly Summary'!D19</f>
        <v>955</v>
      </c>
      <c r="F19" s="95">
        <f t="shared" si="1"/>
        <v>9.7382198952879584E-2</v>
      </c>
      <c r="G19" s="9">
        <f>+D19+'[2]Monthly Summary'!G19</f>
        <v>2134</v>
      </c>
      <c r="H19" s="9">
        <f>'[1]Monthly Summary'!G19</f>
        <v>1955</v>
      </c>
      <c r="I19" s="262">
        <f t="shared" si="2"/>
        <v>9.1560102301790278E-2</v>
      </c>
    </row>
    <row r="20" spans="1:12" x14ac:dyDescent="0.2">
      <c r="A20" s="68" t="s">
        <v>159</v>
      </c>
      <c r="B20" s="47">
        <f>'[3]General Avation'!$EM$4</f>
        <v>794</v>
      </c>
      <c r="C20" s="47">
        <f>'[3]General Avation'!$EM$5</f>
        <v>795</v>
      </c>
      <c r="D20" s="47">
        <f t="shared" si="0"/>
        <v>1589</v>
      </c>
      <c r="E20" s="9">
        <f>'[1]Monthly Summary'!D20</f>
        <v>1613</v>
      </c>
      <c r="F20" s="95">
        <f t="shared" si="1"/>
        <v>-1.4879107253564786E-2</v>
      </c>
      <c r="G20" s="9">
        <f>+D20+'[2]Monthly Summary'!G20</f>
        <v>3139</v>
      </c>
      <c r="H20" s="9">
        <f>'[1]Monthly Summary'!G20</f>
        <v>3279</v>
      </c>
      <c r="I20" s="262">
        <f t="shared" si="2"/>
        <v>-4.2695943885330892E-2</v>
      </c>
    </row>
    <row r="21" spans="1:12" ht="12.75" customHeight="1" x14ac:dyDescent="0.2">
      <c r="A21" s="68" t="s">
        <v>12</v>
      </c>
      <c r="B21" s="18">
        <f>'[3]Military '!$EM$4</f>
        <v>37</v>
      </c>
      <c r="C21" s="18">
        <f>'[3]Military '!$EM$5</f>
        <v>37</v>
      </c>
      <c r="D21" s="18">
        <f t="shared" si="0"/>
        <v>74</v>
      </c>
      <c r="E21" s="120">
        <f>'[1]Monthly Summary'!D21</f>
        <v>126</v>
      </c>
      <c r="F21" s="260">
        <f t="shared" si="1"/>
        <v>-0.41269841269841268</v>
      </c>
      <c r="G21" s="479">
        <f>+D21+'[2]Monthly Summary'!G21</f>
        <v>172</v>
      </c>
      <c r="H21" s="120">
        <f>'[1]Monthly Summary'!G21</f>
        <v>176</v>
      </c>
      <c r="I21" s="263">
        <f t="shared" si="2"/>
        <v>-2.2727272727272728E-2</v>
      </c>
    </row>
    <row r="22" spans="1:12" ht="15.75" thickBot="1" x14ac:dyDescent="0.3">
      <c r="A22" s="69" t="s">
        <v>31</v>
      </c>
      <c r="B22" s="279">
        <f>SUM(B16:B21)</f>
        <v>15048</v>
      </c>
      <c r="C22" s="279">
        <f>SUM(C16:C21)</f>
        <v>15043</v>
      </c>
      <c r="D22" s="279">
        <f>SUM(D16:D21)</f>
        <v>30091</v>
      </c>
      <c r="E22" s="279">
        <f>SUM(E16:E21)</f>
        <v>29311</v>
      </c>
      <c r="F22" s="275">
        <f t="shared" si="1"/>
        <v>2.6611169867967657E-2</v>
      </c>
      <c r="G22" s="279">
        <f>SUM(G16:G21)</f>
        <v>61776</v>
      </c>
      <c r="H22" s="279">
        <f>SUM(H16:H21)</f>
        <v>60975</v>
      </c>
      <c r="I22" s="276">
        <f t="shared" si="2"/>
        <v>1.3136531365313652E-2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4" t="s">
        <v>186</v>
      </c>
      <c r="E24" s="484" t="s">
        <v>181</v>
      </c>
      <c r="F24" s="443"/>
      <c r="G24" s="443"/>
      <c r="H24" s="443"/>
      <c r="I24" s="443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443" t="s">
        <v>2</v>
      </c>
      <c r="G25" s="443" t="s">
        <v>187</v>
      </c>
      <c r="H25" s="443" t="s">
        <v>178</v>
      </c>
      <c r="I25" s="443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6706.9156659566597</v>
      </c>
      <c r="C27" s="22">
        <f>(Cargo!M21+'Major Airline Stats'!I33+'Regional Major'!L30)*0.00045359237</f>
        <v>7194.0530060876399</v>
      </c>
      <c r="D27" s="22">
        <f>(SUM(B27:C27)+('Cargo Summary'!E17*0.00045359237))</f>
        <v>13900.968672044299</v>
      </c>
      <c r="E27" s="9">
        <f>'[1]Monthly Summary'!D27</f>
        <v>14623.5050300647</v>
      </c>
      <c r="F27" s="98">
        <f>(D27-E27)/E27</f>
        <v>-4.9409246041556179E-2</v>
      </c>
      <c r="G27" s="9">
        <f>+D27+'[2]Monthly Summary'!G27</f>
        <v>25884.676331654908</v>
      </c>
      <c r="H27" s="9">
        <f>'[1]Monthly Summary'!G27</f>
        <v>29909.263084992061</v>
      </c>
      <c r="I27" s="100">
        <f>(G27-H27)/H27</f>
        <v>-0.13455987671446909</v>
      </c>
    </row>
    <row r="28" spans="1:12" x14ac:dyDescent="0.2">
      <c r="A28" s="62" t="s">
        <v>18</v>
      </c>
      <c r="B28" s="22">
        <f>(Cargo!M17+'Major Airline Stats'!I29+'Regional Major'!L26)*0.00045359237</f>
        <v>501.64367771594999</v>
      </c>
      <c r="C28" s="22">
        <f>(Cargo!M22+'Major Airline Stats'!I34+'Regional Major'!L31)*0.00045359237</f>
        <v>454.01920042016997</v>
      </c>
      <c r="D28" s="22">
        <f>SUM(B28:C28)</f>
        <v>955.66287813611996</v>
      </c>
      <c r="E28" s="9">
        <f>'[1]Monthly Summary'!D28</f>
        <v>872.16060515045001</v>
      </c>
      <c r="F28" s="98">
        <f>(D28-E28)/E28</f>
        <v>9.5741853613378447E-2</v>
      </c>
      <c r="G28" s="9">
        <f>+D28+'[2]Monthly Summary'!G28</f>
        <v>2092.18800273945</v>
      </c>
      <c r="H28" s="9">
        <f>'[1]Monthly Summary'!G28</f>
        <v>1923.4412084749399</v>
      </c>
      <c r="I28" s="100">
        <f>(G28-H28)/H28</f>
        <v>8.7731714138695308E-2</v>
      </c>
    </row>
    <row r="29" spans="1:12" ht="15.75" thickBot="1" x14ac:dyDescent="0.3">
      <c r="A29" s="63" t="s">
        <v>66</v>
      </c>
      <c r="B29" s="54">
        <f>SUM(B27:B28)</f>
        <v>7208.5593436726094</v>
      </c>
      <c r="C29" s="54">
        <f>SUM(C27:C28)</f>
        <v>7648.0722065078098</v>
      </c>
      <c r="D29" s="54">
        <f>SUM(D27:D28)</f>
        <v>14856.631550180418</v>
      </c>
      <c r="E29" s="54">
        <f>SUM(E27:E28)</f>
        <v>15495.665635215149</v>
      </c>
      <c r="F29" s="99">
        <f>(D29-E29)/E29</f>
        <v>-4.1239537563489664E-2</v>
      </c>
      <c r="G29" s="54">
        <f>SUM(G27:G28)</f>
        <v>27976.864334394359</v>
      </c>
      <c r="H29" s="54">
        <f>SUM(H27:H28)</f>
        <v>31832.704293466999</v>
      </c>
      <c r="I29" s="101">
        <f>(G29-H29)/H29</f>
        <v>-0.12112825613323626</v>
      </c>
    </row>
    <row r="30" spans="1:12" s="7" customFormat="1" ht="4.5" customHeight="1" thickBot="1" x14ac:dyDescent="0.3">
      <c r="A30" s="59"/>
      <c r="B30" s="398"/>
      <c r="C30" s="398"/>
      <c r="D30" s="398"/>
      <c r="E30" s="398"/>
      <c r="F30" s="280"/>
      <c r="G30" s="398"/>
      <c r="H30" s="398"/>
      <c r="I30" s="280"/>
    </row>
    <row r="31" spans="1:12" ht="13.5" thickBot="1" x14ac:dyDescent="0.25">
      <c r="B31" s="483" t="s">
        <v>155</v>
      </c>
      <c r="C31" s="482"/>
      <c r="D31" s="483" t="s">
        <v>162</v>
      </c>
      <c r="E31" s="482"/>
      <c r="F31" s="421"/>
      <c r="G31" s="423"/>
      <c r="H31" s="420"/>
      <c r="I31" s="420"/>
    </row>
    <row r="32" spans="1:12" x14ac:dyDescent="0.2">
      <c r="A32" s="402" t="s">
        <v>156</v>
      </c>
      <c r="B32" s="403">
        <f>C8-B33</f>
        <v>789689</v>
      </c>
      <c r="C32" s="404">
        <f>B32/C8</f>
        <v>0.61574095011157881</v>
      </c>
      <c r="D32" s="405">
        <f>+B32+'[2]Monthly Summary'!$D$32</f>
        <v>1577111</v>
      </c>
      <c r="E32" s="406">
        <f>+D32/D34</f>
        <v>0.60717455020464228</v>
      </c>
      <c r="G32" s="430"/>
      <c r="H32" s="420"/>
      <c r="I32" s="419"/>
    </row>
    <row r="33" spans="1:14" ht="13.5" thickBot="1" x14ac:dyDescent="0.25">
      <c r="A33" s="407" t="s">
        <v>157</v>
      </c>
      <c r="B33" s="408">
        <f>'Major Airline Stats'!I51+'Regional Major'!L45</f>
        <v>492813</v>
      </c>
      <c r="C33" s="409">
        <f>+B33/C8</f>
        <v>0.38425904988842124</v>
      </c>
      <c r="D33" s="410">
        <f>+B33+'[2]Monthly Summary'!$D$33</f>
        <v>1020348</v>
      </c>
      <c r="E33" s="411">
        <f>+D33/D34</f>
        <v>0.39282544979535772</v>
      </c>
      <c r="G33" s="420"/>
      <c r="H33" s="420"/>
      <c r="I33" s="419"/>
    </row>
    <row r="34" spans="1:14" ht="13.5" thickBot="1" x14ac:dyDescent="0.25">
      <c r="B34" s="314"/>
      <c r="D34" s="412">
        <f>SUM(D32:D33)</f>
        <v>2597459</v>
      </c>
    </row>
    <row r="35" spans="1:14" ht="13.5" thickBot="1" x14ac:dyDescent="0.25">
      <c r="B35" s="481" t="s">
        <v>215</v>
      </c>
      <c r="C35" s="482"/>
      <c r="D35" s="483" t="s">
        <v>188</v>
      </c>
      <c r="E35" s="482"/>
    </row>
    <row r="36" spans="1:14" x14ac:dyDescent="0.2">
      <c r="A36" s="402" t="s">
        <v>156</v>
      </c>
      <c r="B36" s="403">
        <f>'[1]Monthly Summary'!$B$32</f>
        <v>751975</v>
      </c>
      <c r="C36" s="404">
        <f>+B36/B38</f>
        <v>0.606975281885625</v>
      </c>
      <c r="D36" s="405">
        <f>'[1]Monthly Summary'!$D$32</f>
        <v>1494414</v>
      </c>
      <c r="E36" s="406">
        <f>+D36/D38</f>
        <v>0.59764774386490982</v>
      </c>
    </row>
    <row r="37" spans="1:14" ht="13.5" thickBot="1" x14ac:dyDescent="0.25">
      <c r="A37" s="407" t="s">
        <v>157</v>
      </c>
      <c r="B37" s="408">
        <f>'[1]Monthly Summary'!$B$33</f>
        <v>486914</v>
      </c>
      <c r="C37" s="411">
        <f>+B37/B38</f>
        <v>0.39302471811437506</v>
      </c>
      <c r="D37" s="410">
        <f>'[1]Monthly Summary'!$D$33</f>
        <v>1006079</v>
      </c>
      <c r="E37" s="411">
        <f>+D37/D38</f>
        <v>0.40235225613509018</v>
      </c>
    </row>
    <row r="38" spans="1:14" x14ac:dyDescent="0.2">
      <c r="B38" s="429">
        <f>+SUM(B36:B37)</f>
        <v>1238889</v>
      </c>
      <c r="D38" s="412">
        <f>SUM(D36:D37)</f>
        <v>2500493</v>
      </c>
    </row>
    <row r="39" spans="1:14" x14ac:dyDescent="0.2">
      <c r="A39" s="416" t="s">
        <v>158</v>
      </c>
    </row>
    <row r="40" spans="1:14" x14ac:dyDescent="0.2">
      <c r="A40" s="229" t="s">
        <v>160</v>
      </c>
      <c r="I40" s="2"/>
    </row>
    <row r="41" spans="1:14" x14ac:dyDescent="0.2">
      <c r="N41" s="417"/>
    </row>
    <row r="42" spans="1:14" x14ac:dyDescent="0.2">
      <c r="G42" s="2"/>
      <c r="N42" s="417"/>
    </row>
    <row r="43" spans="1:14" x14ac:dyDescent="0.2">
      <c r="J43" s="2"/>
      <c r="N43" s="417"/>
    </row>
    <row r="44" spans="1:14" x14ac:dyDescent="0.2">
      <c r="N44" s="417"/>
    </row>
    <row r="45" spans="1:14" x14ac:dyDescent="0.2">
      <c r="J45" s="2"/>
      <c r="N45" s="417"/>
    </row>
    <row r="46" spans="1:14" x14ac:dyDescent="0.2">
      <c r="B46" s="2"/>
      <c r="F46" s="314"/>
    </row>
    <row r="47" spans="1:14" x14ac:dyDescent="0.2">
      <c r="N47" s="417"/>
    </row>
    <row r="51" spans="12:12" x14ac:dyDescent="0.2">
      <c r="L51" s="418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701"/>
  <sheetViews>
    <sheetView topLeftCell="E22" zoomScaleNormal="100" zoomScaleSheetLayoutView="85" workbookViewId="0">
      <selection activeCell="P47" sqref="P47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0" s="224" customFormat="1" ht="26.25" thickBot="1" x14ac:dyDescent="0.25">
      <c r="A1" s="520" t="s">
        <v>140</v>
      </c>
      <c r="B1" s="521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7" t="s">
        <v>144</v>
      </c>
      <c r="K1" s="528"/>
      <c r="L1" s="270" t="s">
        <v>193</v>
      </c>
      <c r="M1" s="389" t="s">
        <v>147</v>
      </c>
      <c r="N1" s="271" t="s">
        <v>176</v>
      </c>
      <c r="O1" s="348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2">
        <v>42401</v>
      </c>
      <c r="B2" s="523"/>
      <c r="C2" s="524" t="s">
        <v>9</v>
      </c>
      <c r="D2" s="525"/>
      <c r="E2" s="525"/>
      <c r="F2" s="525"/>
      <c r="G2" s="525"/>
      <c r="H2" s="525"/>
      <c r="I2" s="526"/>
      <c r="J2" s="522">
        <v>42401</v>
      </c>
      <c r="K2" s="523"/>
      <c r="L2" s="517" t="s">
        <v>146</v>
      </c>
      <c r="M2" s="518"/>
      <c r="N2" s="518"/>
      <c r="O2" s="518"/>
      <c r="P2" s="518"/>
      <c r="Q2" s="518"/>
      <c r="R2" s="519"/>
    </row>
    <row r="3" spans="1:20" x14ac:dyDescent="0.2">
      <c r="A3" s="349"/>
      <c r="B3" s="350"/>
      <c r="C3" s="351"/>
      <c r="D3" s="352"/>
      <c r="E3" s="353"/>
      <c r="F3" s="354"/>
      <c r="G3" s="424"/>
      <c r="H3" s="425"/>
      <c r="I3" s="354"/>
      <c r="J3" s="355"/>
      <c r="K3" s="350"/>
      <c r="L3" s="351"/>
      <c r="M3" s="352"/>
      <c r="N3" s="353"/>
      <c r="O3" s="354"/>
      <c r="P3" s="356"/>
      <c r="Q3" s="356"/>
      <c r="R3" s="350"/>
    </row>
    <row r="4" spans="1:20" ht="14.1" customHeight="1" x14ac:dyDescent="0.2">
      <c r="A4" s="357" t="s">
        <v>105</v>
      </c>
      <c r="B4" s="55"/>
      <c r="C4" s="358">
        <f>SUM(C5:C7)</f>
        <v>164</v>
      </c>
      <c r="D4" s="359">
        <f>C4/$C$57</f>
        <v>5.9902111184162469E-3</v>
      </c>
      <c r="E4" s="360">
        <f>SUM(E5:E7)</f>
        <v>158</v>
      </c>
      <c r="F4" s="361">
        <f>(C4-E4)/E4</f>
        <v>3.7974683544303799E-2</v>
      </c>
      <c r="G4" s="358">
        <f>SUM(G5:G7)</f>
        <v>185</v>
      </c>
      <c r="H4" s="360">
        <f>SUM(H5:H7)</f>
        <v>336</v>
      </c>
      <c r="I4" s="361">
        <f>(G4-H4)/H4</f>
        <v>-0.44940476190476192</v>
      </c>
      <c r="J4" s="357" t="s">
        <v>105</v>
      </c>
      <c r="K4" s="55"/>
      <c r="L4" s="358">
        <f>SUM(L5:L7)</f>
        <v>6157</v>
      </c>
      <c r="M4" s="359">
        <f>L4/$L$57</f>
        <v>2.4105885798317091E-3</v>
      </c>
      <c r="N4" s="360">
        <f>SUM(N5:N7)</f>
        <v>5061</v>
      </c>
      <c r="O4" s="361">
        <f>(L4-N4)/N4</f>
        <v>0.21655799249160246</v>
      </c>
      <c r="P4" s="358">
        <f>SUM(P5:P7)</f>
        <v>12646</v>
      </c>
      <c r="Q4" s="360">
        <f>SUM(Q5:Q7)</f>
        <v>11457</v>
      </c>
      <c r="R4" s="361">
        <f>(P4-Q4)/Q4</f>
        <v>0.10377934886968665</v>
      </c>
      <c r="T4" s="20"/>
    </row>
    <row r="5" spans="1:20" ht="14.1" customHeight="1" x14ac:dyDescent="0.2">
      <c r="A5" s="357"/>
      <c r="B5" s="444" t="s">
        <v>105</v>
      </c>
      <c r="C5" s="362">
        <v>0</v>
      </c>
      <c r="D5" s="39">
        <f>C5/$C$57</f>
        <v>0</v>
      </c>
      <c r="E5" s="9">
        <v>0</v>
      </c>
      <c r="F5" s="86" t="e">
        <f>(C5-E5)/E5</f>
        <v>#DIV/0!</v>
      </c>
      <c r="G5" s="300">
        <v>0</v>
      </c>
      <c r="H5" s="300">
        <v>0</v>
      </c>
      <c r="I5" s="453" t="e">
        <f>(G5-H5)/H5</f>
        <v>#DIV/0!</v>
      </c>
      <c r="J5" s="357"/>
      <c r="K5" s="444" t="s">
        <v>105</v>
      </c>
      <c r="L5" s="451">
        <v>0</v>
      </c>
      <c r="M5" s="452">
        <f>L5/$L$57</f>
        <v>0</v>
      </c>
      <c r="N5" s="300">
        <v>0</v>
      </c>
      <c r="O5" s="453" t="e">
        <f>(L5-N5)/N5</f>
        <v>#DIV/0!</v>
      </c>
      <c r="P5" s="300">
        <v>0</v>
      </c>
      <c r="Q5" s="300">
        <v>0</v>
      </c>
      <c r="R5" s="453" t="e">
        <f>(P5-Q5)/Q5</f>
        <v>#DIV/0!</v>
      </c>
      <c r="T5" s="20"/>
    </row>
    <row r="6" spans="1:20" ht="14.1" customHeight="1" x14ac:dyDescent="0.2">
      <c r="A6" s="357"/>
      <c r="B6" s="444" t="s">
        <v>195</v>
      </c>
      <c r="C6" s="451">
        <f>'[3]Jazz Air'!$EM$19</f>
        <v>7</v>
      </c>
      <c r="D6" s="452">
        <f>C6/$C$57</f>
        <v>2.5567974285923005E-4</v>
      </c>
      <c r="E6" s="300">
        <f>[3]AirCanada!$DY$19</f>
        <v>158</v>
      </c>
      <c r="F6" s="453">
        <f>(C6-E6)/E6</f>
        <v>-0.95569620253164556</v>
      </c>
      <c r="G6" s="300">
        <f>SUM('[3]Jazz Air'!$EL$19:$EM$19)</f>
        <v>185</v>
      </c>
      <c r="H6" s="300">
        <f>SUM('[3]Jazz Air'!$DX$19:$DY$19)</f>
        <v>336</v>
      </c>
      <c r="I6" s="453">
        <f>(G6-H6)/H6</f>
        <v>-0.44940476190476192</v>
      </c>
      <c r="J6" s="454"/>
      <c r="K6" s="444" t="s">
        <v>195</v>
      </c>
      <c r="L6" s="451">
        <f>'[3]Jazz Air'!$EM$41</f>
        <v>270</v>
      </c>
      <c r="M6" s="452">
        <f>L6/$L$57</f>
        <v>1.0571039736146848E-4</v>
      </c>
      <c r="N6" s="300">
        <f>[3]AirCanada!$DY$41</f>
        <v>5061</v>
      </c>
      <c r="O6" s="453">
        <f>(L6-N6)/N6</f>
        <v>-0.94665085951393002</v>
      </c>
      <c r="P6" s="300">
        <f>SUM('[3]Jazz Air'!$EL$41:$EM$41)</f>
        <v>6759</v>
      </c>
      <c r="Q6" s="300">
        <f>SUM([3]AirCanada!$DX$41:$DY$41)</f>
        <v>11457</v>
      </c>
      <c r="R6" s="453">
        <f>(P6-Q6)/Q6</f>
        <v>-0.41005498821681069</v>
      </c>
      <c r="T6" s="20"/>
    </row>
    <row r="7" spans="1:20" ht="14.1" customHeight="1" x14ac:dyDescent="0.2">
      <c r="A7" s="357"/>
      <c r="B7" s="444" t="s">
        <v>196</v>
      </c>
      <c r="C7" s="362">
        <f>'[3]Air Georgian'!$EM$19</f>
        <v>157</v>
      </c>
      <c r="D7" s="39">
        <f>C7/$C$57</f>
        <v>5.7345313755570162E-3</v>
      </c>
      <c r="E7" s="9">
        <f>'[3]Air Georgian'!$DY$19</f>
        <v>0</v>
      </c>
      <c r="F7" s="86" t="e">
        <f>(C7-E7)/E7</f>
        <v>#DIV/0!</v>
      </c>
      <c r="G7" s="360"/>
      <c r="H7" s="360"/>
      <c r="I7" s="361"/>
      <c r="J7" s="357"/>
      <c r="K7" s="444" t="s">
        <v>196</v>
      </c>
      <c r="L7" s="362">
        <f>'[3]Air Georgian'!$EM$41</f>
        <v>5887</v>
      </c>
      <c r="M7" s="39">
        <f>L7/$L$57</f>
        <v>2.3048781824702405E-3</v>
      </c>
      <c r="N7" s="9">
        <f>'[3]Air Georgian'!$DY$41</f>
        <v>0</v>
      </c>
      <c r="O7" s="86" t="e">
        <f>(L7-N7)/N7</f>
        <v>#DIV/0!</v>
      </c>
      <c r="P7" s="9">
        <f>SUM('[3]Air Georgian'!$EL$41:$EM$41)</f>
        <v>5887</v>
      </c>
      <c r="Q7" s="9">
        <f>SUM('[3]Air Georgian'!$DX$41:$DY$41)</f>
        <v>0</v>
      </c>
      <c r="R7" s="86" t="e">
        <f>(P7-Q7)/Q7</f>
        <v>#DIV/0!</v>
      </c>
      <c r="T7" s="20"/>
    </row>
    <row r="8" spans="1:20" ht="14.1" customHeight="1" x14ac:dyDescent="0.2">
      <c r="A8" s="357"/>
      <c r="B8" s="55"/>
      <c r="C8" s="358"/>
      <c r="D8" s="359"/>
      <c r="E8" s="360"/>
      <c r="F8" s="361"/>
      <c r="G8" s="360"/>
      <c r="H8" s="360"/>
      <c r="I8" s="361"/>
      <c r="J8" s="357"/>
      <c r="K8" s="55"/>
      <c r="L8" s="362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7" t="s">
        <v>168</v>
      </c>
      <c r="B9" s="55"/>
      <c r="C9" s="358">
        <f>'[3]Air France'!$EM$19</f>
        <v>0</v>
      </c>
      <c r="D9" s="359">
        <f>C9/$C$57</f>
        <v>0</v>
      </c>
      <c r="E9" s="360">
        <f>'[3]Air France'!$DY$19</f>
        <v>0</v>
      </c>
      <c r="F9" s="361" t="e">
        <f>(C9-E9)/E9</f>
        <v>#DIV/0!</v>
      </c>
      <c r="G9" s="360">
        <f>SUM('[3]Air France'!$EL$19:$EM$19)</f>
        <v>0</v>
      </c>
      <c r="H9" s="360">
        <f>SUM('[3]Air France'!$DX$19:$DY$19)</f>
        <v>0</v>
      </c>
      <c r="I9" s="361" t="e">
        <f>(G9-H9)/H9</f>
        <v>#DIV/0!</v>
      </c>
      <c r="J9" s="357" t="s">
        <v>168</v>
      </c>
      <c r="K9" s="55"/>
      <c r="L9" s="358">
        <f>'[3]Air France'!$EM$41</f>
        <v>0</v>
      </c>
      <c r="M9" s="359">
        <f>L9/$L$57</f>
        <v>0</v>
      </c>
      <c r="N9" s="360">
        <f>'[3]Air France'!$DY$41</f>
        <v>0</v>
      </c>
      <c r="O9" s="361" t="e">
        <f>(L9-N9)/N9</f>
        <v>#DIV/0!</v>
      </c>
      <c r="P9" s="360">
        <f>SUM('[3]Air France'!$EL$41:$EM$41)</f>
        <v>0</v>
      </c>
      <c r="Q9" s="360">
        <f>SUM('[3]Air France'!$DX$41:$DY$41)</f>
        <v>0</v>
      </c>
      <c r="R9" s="361" t="e">
        <f>(P9-Q9)/Q9</f>
        <v>#DIV/0!</v>
      </c>
      <c r="T9" s="20"/>
    </row>
    <row r="10" spans="1:20" ht="14.1" customHeight="1" x14ac:dyDescent="0.2">
      <c r="A10" s="357"/>
      <c r="B10" s="55"/>
      <c r="C10" s="358"/>
      <c r="D10" s="359"/>
      <c r="E10" s="360"/>
      <c r="F10" s="361"/>
      <c r="G10" s="360"/>
      <c r="H10" s="360"/>
      <c r="I10" s="361"/>
      <c r="J10" s="357"/>
      <c r="K10" s="55"/>
      <c r="L10" s="362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7" t="s">
        <v>135</v>
      </c>
      <c r="B11" s="55"/>
      <c r="C11" s="358">
        <f>SUM(C12:C13)</f>
        <v>142</v>
      </c>
      <c r="D11" s="359">
        <f>C11/$C$57</f>
        <v>5.1866462122872378E-3</v>
      </c>
      <c r="E11" s="360">
        <f>SUM(E12:E13)</f>
        <v>58</v>
      </c>
      <c r="F11" s="361">
        <f>(C11-E11)/E11</f>
        <v>1.4482758620689655</v>
      </c>
      <c r="G11" s="360">
        <f>SUM(G12:G13)</f>
        <v>266</v>
      </c>
      <c r="H11" s="360">
        <f>SUM(H12:H13)</f>
        <v>128</v>
      </c>
      <c r="I11" s="361">
        <f>(G11-H11)/H11</f>
        <v>1.078125</v>
      </c>
      <c r="J11" s="357" t="s">
        <v>135</v>
      </c>
      <c r="K11" s="55"/>
      <c r="L11" s="358">
        <f>SUM(L12:L13)</f>
        <v>17722</v>
      </c>
      <c r="M11" s="359">
        <f>L11/$L$57</f>
        <v>6.9385172668146094E-3</v>
      </c>
      <c r="N11" s="360">
        <f>SUM(N12:N13)</f>
        <v>7147</v>
      </c>
      <c r="O11" s="361">
        <f>(L11-N11)/N11</f>
        <v>1.4796418077515041</v>
      </c>
      <c r="P11" s="360">
        <f>SUM(P12:P13)</f>
        <v>36376</v>
      </c>
      <c r="Q11" s="360">
        <f>SUM(Q12:Q13)</f>
        <v>16932</v>
      </c>
      <c r="R11" s="361">
        <f>(P11-Q11)/Q11</f>
        <v>1.1483581384360972</v>
      </c>
      <c r="T11" s="20"/>
    </row>
    <row r="12" spans="1:20" ht="14.1" customHeight="1" x14ac:dyDescent="0.2">
      <c r="A12" s="357"/>
      <c r="B12" s="444" t="s">
        <v>135</v>
      </c>
      <c r="C12" s="451">
        <f>[3]Alaska!$EM$19</f>
        <v>142</v>
      </c>
      <c r="D12" s="452">
        <f>C12/$C$57</f>
        <v>5.1866462122872378E-3</v>
      </c>
      <c r="E12" s="300">
        <f>[3]Alaska!$DY$19</f>
        <v>58</v>
      </c>
      <c r="F12" s="453">
        <f>(C12-E12)/E12</f>
        <v>1.4482758620689655</v>
      </c>
      <c r="G12" s="300">
        <f>SUM([3]Alaska!$EL$19:$EM$19)</f>
        <v>266</v>
      </c>
      <c r="H12" s="300">
        <f>SUM([3]Alaska!$DX$19:$DY$19)</f>
        <v>128</v>
      </c>
      <c r="I12" s="453">
        <f>(G12-H12)/H12</f>
        <v>1.078125</v>
      </c>
      <c r="J12" s="357"/>
      <c r="K12" s="444" t="s">
        <v>135</v>
      </c>
      <c r="L12" s="451">
        <f>[3]Alaska!$EM$41</f>
        <v>17722</v>
      </c>
      <c r="M12" s="452">
        <f>L12/$L$57</f>
        <v>6.9385172668146094E-3</v>
      </c>
      <c r="N12" s="300">
        <f>[3]Alaska!$DY$41</f>
        <v>7147</v>
      </c>
      <c r="O12" s="453">
        <f>(L12-N12)/N12</f>
        <v>1.4796418077515041</v>
      </c>
      <c r="P12" s="300">
        <f>SUM([3]Alaska!$EL$41:$EM$41)</f>
        <v>36376</v>
      </c>
      <c r="Q12" s="300">
        <f>SUM([3]Alaska!$DX$41:$DY$41)</f>
        <v>16932</v>
      </c>
      <c r="R12" s="453">
        <f>(P12-Q12)/Q12</f>
        <v>1.1483581384360972</v>
      </c>
      <c r="T12" s="20"/>
    </row>
    <row r="13" spans="1:20" ht="14.1" customHeight="1" x14ac:dyDescent="0.2">
      <c r="A13" s="357"/>
      <c r="B13" s="444" t="s">
        <v>104</v>
      </c>
      <c r="C13" s="362">
        <f>'[3]Sky West_AS'!$EM$19</f>
        <v>0</v>
      </c>
      <c r="D13" s="39">
        <f>C13/$C$57</f>
        <v>0</v>
      </c>
      <c r="E13" s="9">
        <f>'[3]Sky West_AS'!$DY$19</f>
        <v>0</v>
      </c>
      <c r="F13" s="86" t="e">
        <f>(C13-E13)/E13</f>
        <v>#DIV/0!</v>
      </c>
      <c r="G13" s="9">
        <f>SUM('[3]Sky West_AS'!$EL$19:$EM$19)</f>
        <v>0</v>
      </c>
      <c r="H13" s="9">
        <f>SUM('[3]Sky West_AS'!$DX$19:$DY$19)</f>
        <v>0</v>
      </c>
      <c r="I13" s="86" t="e">
        <f>(G13-H13)/H13</f>
        <v>#DIV/0!</v>
      </c>
      <c r="J13" s="357"/>
      <c r="K13" s="444" t="s">
        <v>104</v>
      </c>
      <c r="L13" s="362">
        <f>'[3]Sky West_AS'!$EM$41</f>
        <v>0</v>
      </c>
      <c r="M13" s="39">
        <f>L13/$L$57</f>
        <v>0</v>
      </c>
      <c r="N13" s="9">
        <f>'[3]Sky West_AS'!$DY$41</f>
        <v>0</v>
      </c>
      <c r="O13" s="86" t="e">
        <f>(L13-N13)/N13</f>
        <v>#DIV/0!</v>
      </c>
      <c r="P13" s="9">
        <f>SUM('[3]Sky West_AS'!$EL$41:$EM$41)</f>
        <v>0</v>
      </c>
      <c r="Q13" s="9">
        <f>SUM('[3]Sky West_AS'!$DX$41:$DY$41)</f>
        <v>0</v>
      </c>
      <c r="R13" s="86" t="e">
        <f>(P13-Q13)/Q13</f>
        <v>#DIV/0!</v>
      </c>
      <c r="T13" s="20"/>
    </row>
    <row r="14" spans="1:20" ht="14.1" customHeight="1" x14ac:dyDescent="0.2">
      <c r="A14" s="357"/>
      <c r="B14" s="55"/>
      <c r="C14" s="358"/>
      <c r="D14" s="359"/>
      <c r="E14" s="363"/>
      <c r="F14" s="361"/>
      <c r="G14" s="363"/>
      <c r="H14" s="363"/>
      <c r="I14" s="361"/>
      <c r="J14" s="357"/>
      <c r="K14" s="55"/>
      <c r="L14" s="364"/>
      <c r="M14" s="39"/>
      <c r="N14" s="146"/>
      <c r="O14" s="86"/>
      <c r="P14" s="146"/>
      <c r="Q14" s="146"/>
      <c r="R14" s="86"/>
      <c r="T14" s="20"/>
    </row>
    <row r="15" spans="1:20" ht="14.1" customHeight="1" x14ac:dyDescent="0.2">
      <c r="A15" s="357" t="s">
        <v>19</v>
      </c>
      <c r="B15" s="365"/>
      <c r="C15" s="358">
        <f>SUM(C16:C21)</f>
        <v>1582</v>
      </c>
      <c r="D15" s="359">
        <f t="shared" ref="D15:D21" si="0">C15/$C$57</f>
        <v>5.7783621886185986E-2</v>
      </c>
      <c r="E15" s="360">
        <f>SUM(E16:E21)</f>
        <v>1497</v>
      </c>
      <c r="F15" s="361">
        <f t="shared" ref="F15:F21" si="1">(C15-E15)/E15</f>
        <v>5.678022712090848E-2</v>
      </c>
      <c r="G15" s="358">
        <f>SUM(G16:G21)</f>
        <v>3283</v>
      </c>
      <c r="H15" s="360">
        <f>SUM(H16:H21)</f>
        <v>3194</v>
      </c>
      <c r="I15" s="361">
        <f t="shared" ref="I15:I21" si="2">(G15-H15)/H15</f>
        <v>2.7864746399499062E-2</v>
      </c>
      <c r="J15" s="357" t="s">
        <v>19</v>
      </c>
      <c r="K15" s="365"/>
      <c r="L15" s="358">
        <f>SUM(L16:L21)</f>
        <v>176431</v>
      </c>
      <c r="M15" s="359">
        <f t="shared" ref="M15:M21" si="3">L15/$L$57</f>
        <v>6.9076263395856471E-2</v>
      </c>
      <c r="N15" s="360">
        <f>SUM(N16:N21)</f>
        <v>175109</v>
      </c>
      <c r="O15" s="361">
        <f t="shared" ref="O15:O21" si="4">(L15-N15)/N15</f>
        <v>7.5495834023379723E-3</v>
      </c>
      <c r="P15" s="358">
        <f>SUM(P16:P21)</f>
        <v>366072</v>
      </c>
      <c r="Q15" s="360">
        <f>SUM(Q16:Q21)</f>
        <v>364807</v>
      </c>
      <c r="R15" s="361">
        <f t="shared" ref="R15:R21" si="5">(P15-Q15)/Q15</f>
        <v>3.467586970644752E-3</v>
      </c>
      <c r="T15" s="20"/>
    </row>
    <row r="16" spans="1:20" ht="14.1" customHeight="1" x14ac:dyDescent="0.2">
      <c r="A16" s="53"/>
      <c r="B16" s="366" t="s">
        <v>19</v>
      </c>
      <c r="C16" s="362">
        <f>[3]American!$EM$19</f>
        <v>1348</v>
      </c>
      <c r="D16" s="39">
        <f t="shared" si="0"/>
        <v>4.9236613339177442E-2</v>
      </c>
      <c r="E16" s="9">
        <f>[3]American!$DY$19</f>
        <v>629</v>
      </c>
      <c r="F16" s="86">
        <f t="shared" si="1"/>
        <v>1.1430842607313196</v>
      </c>
      <c r="G16" s="9">
        <f>SUM([3]American!$EL$19:$EM$19)</f>
        <v>2799</v>
      </c>
      <c r="H16" s="9">
        <f>SUM([3]American!$DX$19:$DY$19)</f>
        <v>1328</v>
      </c>
      <c r="I16" s="86">
        <f t="shared" si="2"/>
        <v>1.1076807228915662</v>
      </c>
      <c r="J16" s="53"/>
      <c r="K16" s="366" t="s">
        <v>19</v>
      </c>
      <c r="L16" s="362">
        <f>[3]American!$EM$41</f>
        <v>165408</v>
      </c>
      <c r="M16" s="39">
        <f t="shared" si="3"/>
        <v>6.4760538543576954E-2</v>
      </c>
      <c r="N16" s="9">
        <f>[3]American!$DY$41</f>
        <v>77133</v>
      </c>
      <c r="O16" s="86">
        <f t="shared" si="4"/>
        <v>1.1444517910621912</v>
      </c>
      <c r="P16" s="9">
        <f>SUM([3]American!$EL$41:$EM$41)</f>
        <v>343518</v>
      </c>
      <c r="Q16" s="9">
        <f>SUM([3]American!$DX$41:$DY$41)</f>
        <v>158334</v>
      </c>
      <c r="R16" s="86">
        <f t="shared" si="5"/>
        <v>1.1695782333548068</v>
      </c>
      <c r="T16" s="20"/>
    </row>
    <row r="17" spans="1:23" ht="14.1" customHeight="1" x14ac:dyDescent="0.2">
      <c r="A17" s="53"/>
      <c r="B17" s="442" t="s">
        <v>22</v>
      </c>
      <c r="C17" s="362">
        <f>'[3]US Airways'!$EM$19</f>
        <v>0</v>
      </c>
      <c r="D17" s="39">
        <f t="shared" si="0"/>
        <v>0</v>
      </c>
      <c r="E17" s="9">
        <f>'[3]US Airways'!$DY$19</f>
        <v>656</v>
      </c>
      <c r="F17" s="86">
        <f t="shared" si="1"/>
        <v>-1</v>
      </c>
      <c r="G17" s="9">
        <f>SUM('[3]US Airways'!$EL$19:$EM$19)</f>
        <v>0</v>
      </c>
      <c r="H17" s="9">
        <f>SUM('[3]US Airways'!$DX$19:$DY$19)</f>
        <v>1381</v>
      </c>
      <c r="I17" s="86">
        <f t="shared" si="2"/>
        <v>-1</v>
      </c>
      <c r="J17" s="373"/>
      <c r="K17" s="366" t="s">
        <v>22</v>
      </c>
      <c r="L17" s="362">
        <f>'[3]US Airways'!$EM$41</f>
        <v>0</v>
      </c>
      <c r="M17" s="39">
        <f t="shared" si="3"/>
        <v>0</v>
      </c>
      <c r="N17" s="9">
        <f>'[3]US Airways'!$DY$41</f>
        <v>85143</v>
      </c>
      <c r="O17" s="86">
        <f t="shared" si="4"/>
        <v>-1</v>
      </c>
      <c r="P17" s="9">
        <f>SUM('[3]US Airways'!$EL$41:$EM$41)</f>
        <v>0</v>
      </c>
      <c r="Q17" s="9">
        <f>SUM('[3]US Airways'!$DX$41:$DY$41)</f>
        <v>177419</v>
      </c>
      <c r="R17" s="86">
        <f t="shared" si="5"/>
        <v>-1</v>
      </c>
      <c r="T17" s="20"/>
    </row>
    <row r="18" spans="1:23" ht="14.1" customHeight="1" x14ac:dyDescent="0.2">
      <c r="A18" s="53"/>
      <c r="B18" s="442" t="s">
        <v>197</v>
      </c>
      <c r="C18" s="362">
        <f>'[3]American Eagle'!$EM$19</f>
        <v>8</v>
      </c>
      <c r="D18" s="39">
        <f t="shared" si="0"/>
        <v>2.9220542041054863E-4</v>
      </c>
      <c r="E18" s="9">
        <f>'[3]American Eagle'!$DY$19</f>
        <v>185</v>
      </c>
      <c r="F18" s="86">
        <f t="shared" si="1"/>
        <v>-0.95675675675675675</v>
      </c>
      <c r="G18" s="9">
        <f>SUM('[3]American Eagle'!$EL$19:$EM$19)</f>
        <v>28</v>
      </c>
      <c r="H18" s="9">
        <f>SUM('[3]American Eagle'!$DX$19:$DY$19)</f>
        <v>396</v>
      </c>
      <c r="I18" s="86">
        <f t="shared" si="2"/>
        <v>-0.92929292929292928</v>
      </c>
      <c r="J18" s="53"/>
      <c r="K18" s="442" t="s">
        <v>197</v>
      </c>
      <c r="L18" s="362">
        <f>'[3]American Eagle'!$EM$41</f>
        <v>436</v>
      </c>
      <c r="M18" s="39">
        <f t="shared" si="3"/>
        <v>1.7070271573926021E-4</v>
      </c>
      <c r="N18" s="9">
        <f>'[3]American Eagle'!$DY$41</f>
        <v>11044</v>
      </c>
      <c r="O18" s="86">
        <f t="shared" si="4"/>
        <v>-0.96052155016298446</v>
      </c>
      <c r="P18" s="9">
        <f>SUM('[3]American Eagle'!$EL$41:$EM$41)</f>
        <v>1449</v>
      </c>
      <c r="Q18" s="9">
        <f>SUM('[3]American Eagle'!$DX$41:$DY$41)</f>
        <v>23485</v>
      </c>
      <c r="R18" s="86">
        <f t="shared" si="5"/>
        <v>-0.93830104321907604</v>
      </c>
      <c r="T18" s="20"/>
    </row>
    <row r="19" spans="1:23" ht="14.1" customHeight="1" x14ac:dyDescent="0.2">
      <c r="A19" s="53"/>
      <c r="B19" s="442" t="s">
        <v>56</v>
      </c>
      <c r="C19" s="362">
        <f>[3]Republic!$EM$19</f>
        <v>202</v>
      </c>
      <c r="D19" s="39">
        <f t="shared" si="0"/>
        <v>7.3781868653663525E-3</v>
      </c>
      <c r="E19" s="9">
        <f>[3]Republic!$DY$19</f>
        <v>25</v>
      </c>
      <c r="F19" s="86">
        <f t="shared" si="1"/>
        <v>7.08</v>
      </c>
      <c r="G19" s="9">
        <f>SUM([3]Republic!$EL$19:$EM$19)</f>
        <v>358</v>
      </c>
      <c r="H19" s="9">
        <f>SUM([3]Republic!$DX$19:$DY$19)</f>
        <v>77</v>
      </c>
      <c r="I19" s="86">
        <f t="shared" si="2"/>
        <v>3.6493506493506493</v>
      </c>
      <c r="J19" s="373"/>
      <c r="K19" s="368" t="s">
        <v>56</v>
      </c>
      <c r="L19" s="362">
        <f>[3]Republic!$EM$41</f>
        <v>9738</v>
      </c>
      <c r="M19" s="39">
        <f t="shared" si="3"/>
        <v>3.8126216648369632E-3</v>
      </c>
      <c r="N19" s="9">
        <f>[3]Republic!$DY$41</f>
        <v>1680</v>
      </c>
      <c r="O19" s="86">
        <f t="shared" si="4"/>
        <v>4.7964285714285717</v>
      </c>
      <c r="P19" s="9">
        <f>SUM([3]Republic!$EL$41:$EM$41)</f>
        <v>16886</v>
      </c>
      <c r="Q19" s="9">
        <f>SUM([3]Republic!$DX$41:$DY$41)</f>
        <v>4872</v>
      </c>
      <c r="R19" s="86">
        <f t="shared" si="5"/>
        <v>2.465927750410509</v>
      </c>
      <c r="T19" s="20"/>
    </row>
    <row r="20" spans="1:23" ht="14.1" customHeight="1" x14ac:dyDescent="0.2">
      <c r="A20" s="53"/>
      <c r="B20" s="442" t="s">
        <v>55</v>
      </c>
      <c r="C20" s="362">
        <f>[3]MESA!$EM$19</f>
        <v>0</v>
      </c>
      <c r="D20" s="39">
        <f t="shared" si="0"/>
        <v>0</v>
      </c>
      <c r="E20" s="9">
        <f>[3]MESA!$DY$19</f>
        <v>2</v>
      </c>
      <c r="F20" s="86">
        <f t="shared" si="1"/>
        <v>-1</v>
      </c>
      <c r="G20" s="9">
        <f>SUM([3]MESA!$EL$19:$EM$19)</f>
        <v>14</v>
      </c>
      <c r="H20" s="9">
        <f>SUM([3]MESA!$DX$19:$DY$19)</f>
        <v>12</v>
      </c>
      <c r="I20" s="86">
        <f t="shared" si="2"/>
        <v>0.16666666666666666</v>
      </c>
      <c r="J20" s="373"/>
      <c r="K20" s="442" t="s">
        <v>55</v>
      </c>
      <c r="L20" s="362">
        <f>[3]MESA!$EM$41</f>
        <v>0</v>
      </c>
      <c r="M20" s="39">
        <f t="shared" si="3"/>
        <v>0</v>
      </c>
      <c r="N20" s="9">
        <f>[3]MESA!$DY$41</f>
        <v>109</v>
      </c>
      <c r="O20" s="86">
        <f t="shared" si="4"/>
        <v>-1</v>
      </c>
      <c r="P20" s="9">
        <f>SUM([3]MESA!$EL$41:$EM$41)</f>
        <v>1079</v>
      </c>
      <c r="Q20" s="9">
        <f>SUM([3]MESA!$DX$41:$DY$41)</f>
        <v>697</v>
      </c>
      <c r="R20" s="86">
        <f t="shared" si="5"/>
        <v>0.54806312769010046</v>
      </c>
      <c r="T20" s="20"/>
    </row>
    <row r="21" spans="1:23" ht="14.1" customHeight="1" x14ac:dyDescent="0.2">
      <c r="A21" s="53"/>
      <c r="B21" s="442" t="s">
        <v>53</v>
      </c>
      <c r="C21" s="362">
        <f>'[3]Air Wisconsin'!$EM$19</f>
        <v>24</v>
      </c>
      <c r="D21" s="39">
        <f t="shared" si="0"/>
        <v>8.7661626123164589E-4</v>
      </c>
      <c r="E21" s="9">
        <f>'[3]Air Wisconsin'!$DY$19</f>
        <v>0</v>
      </c>
      <c r="F21" s="86" t="e">
        <f t="shared" si="1"/>
        <v>#DIV/0!</v>
      </c>
      <c r="G21" s="9">
        <f>SUM('[3]Air Wisconsin'!$EL$19:$EM$19)</f>
        <v>84</v>
      </c>
      <c r="H21" s="9">
        <f>SUM('[3]Air Wisconsin'!$DX$19:$DY$19)</f>
        <v>0</v>
      </c>
      <c r="I21" s="446" t="e">
        <f t="shared" si="2"/>
        <v>#DIV/0!</v>
      </c>
      <c r="J21" s="53"/>
      <c r="K21" s="447" t="s">
        <v>53</v>
      </c>
      <c r="L21" s="362">
        <f>'[3]Air Wisconsin'!$EM$41</f>
        <v>849</v>
      </c>
      <c r="M21" s="39">
        <f t="shared" si="3"/>
        <v>3.3240047170328424E-4</v>
      </c>
      <c r="N21" s="9">
        <f>'[3]Air Wisconsin'!$DY$41</f>
        <v>0</v>
      </c>
      <c r="O21" s="86" t="e">
        <f t="shared" si="4"/>
        <v>#DIV/0!</v>
      </c>
      <c r="P21" s="9">
        <f>SUM('[3]Air Wisconsin'!$EL$41:$EM$41)</f>
        <v>3140</v>
      </c>
      <c r="Q21" s="9">
        <f>SUM('[3]Air Wisconsin'!$DX$41:$DY$41)</f>
        <v>0</v>
      </c>
      <c r="R21" s="86" t="e">
        <f t="shared" si="5"/>
        <v>#DIV/0!</v>
      </c>
      <c r="T21" s="20"/>
    </row>
    <row r="22" spans="1:23" ht="14.1" customHeight="1" x14ac:dyDescent="0.2">
      <c r="A22" s="53"/>
      <c r="B22" s="367"/>
      <c r="C22" s="362"/>
      <c r="D22" s="39"/>
      <c r="E22" s="9"/>
      <c r="F22" s="86"/>
      <c r="G22" s="9"/>
      <c r="H22" s="9"/>
      <c r="I22" s="86"/>
      <c r="J22" s="53"/>
      <c r="K22" s="367"/>
      <c r="L22" s="362"/>
      <c r="M22" s="39"/>
      <c r="N22" s="9"/>
      <c r="O22" s="86"/>
      <c r="P22" s="9"/>
      <c r="Q22" s="9"/>
      <c r="R22" s="86"/>
      <c r="T22" s="20"/>
      <c r="U22" s="9"/>
      <c r="V22" s="11"/>
      <c r="W22" s="11"/>
    </row>
    <row r="23" spans="1:23" ht="14.1" customHeight="1" x14ac:dyDescent="0.2">
      <c r="A23" s="357" t="s">
        <v>20</v>
      </c>
      <c r="B23" s="370"/>
      <c r="C23" s="358">
        <f>SUM(C24:C30)</f>
        <v>20215</v>
      </c>
      <c r="D23" s="359">
        <f t="shared" ref="D23:D30" si="6">C23/$C$57</f>
        <v>0.73836657169990505</v>
      </c>
      <c r="E23" s="360">
        <f>SUM(E24:E30)</f>
        <v>19934</v>
      </c>
      <c r="F23" s="361">
        <f t="shared" ref="F23:F30" si="7">(C23-E23)/E23</f>
        <v>1.4096518511086585E-2</v>
      </c>
      <c r="G23" s="363">
        <f>SUM(G24:G30)</f>
        <v>41656</v>
      </c>
      <c r="H23" s="363">
        <f>SUM(H24:H30)</f>
        <v>41624</v>
      </c>
      <c r="I23" s="361">
        <f>(G23-H23)/H23</f>
        <v>7.6878723813184697E-4</v>
      </c>
      <c r="J23" s="357" t="s">
        <v>20</v>
      </c>
      <c r="K23" s="370"/>
      <c r="L23" s="358">
        <f>SUM(L24:L30)</f>
        <v>1792579</v>
      </c>
      <c r="M23" s="359">
        <f t="shared" ref="M23:M30" si="8">L23/$L$57</f>
        <v>0.70183051256231044</v>
      </c>
      <c r="N23" s="360">
        <f>SUM(N24:N30)</f>
        <v>1742104</v>
      </c>
      <c r="O23" s="361">
        <f t="shared" ref="O23:O30" si="9">(L23-N23)/N23</f>
        <v>2.8973585962720941E-2</v>
      </c>
      <c r="P23" s="360">
        <f>SUM(P24:P30)</f>
        <v>3628919</v>
      </c>
      <c r="Q23" s="360">
        <f>SUM(Q24:Q30)</f>
        <v>3523318</v>
      </c>
      <c r="R23" s="361">
        <f t="shared" ref="R23:R30" si="10">(P23-Q23)/Q23</f>
        <v>2.997203204479414E-2</v>
      </c>
      <c r="T23" s="428"/>
      <c r="V23" s="11"/>
      <c r="W23" s="11"/>
    </row>
    <row r="24" spans="1:23" ht="14.1" customHeight="1" x14ac:dyDescent="0.2">
      <c r="A24" s="53"/>
      <c r="B24" s="366" t="s">
        <v>20</v>
      </c>
      <c r="C24" s="362">
        <f>[3]Delta!$EM$19</f>
        <v>9522</v>
      </c>
      <c r="D24" s="39">
        <f t="shared" si="6"/>
        <v>0.34779750164365547</v>
      </c>
      <c r="E24" s="9">
        <f>[3]Delta!$DY$19</f>
        <v>8768</v>
      </c>
      <c r="F24" s="86">
        <f t="shared" si="7"/>
        <v>8.5994525547445258E-2</v>
      </c>
      <c r="G24" s="9">
        <f>SUM([3]Delta!$EL$19:$EM$19)</f>
        <v>19239</v>
      </c>
      <c r="H24" s="9">
        <f>SUM([3]Delta!$DX$19:$DY$19)</f>
        <v>17980</v>
      </c>
      <c r="I24" s="86">
        <f t="shared" ref="I24:I30" si="11">(G24-H24)/H24</f>
        <v>7.0022246941045613E-2</v>
      </c>
      <c r="J24" s="53"/>
      <c r="K24" s="366" t="s">
        <v>20</v>
      </c>
      <c r="L24" s="362">
        <f>[3]Delta!$EM$41</f>
        <v>1266852</v>
      </c>
      <c r="M24" s="39">
        <f t="shared" si="8"/>
        <v>0.49599788265989286</v>
      </c>
      <c r="N24" s="9">
        <f>[3]Delta!$DY$41</f>
        <v>1184452</v>
      </c>
      <c r="O24" s="86">
        <f t="shared" si="9"/>
        <v>6.9568036526596266E-2</v>
      </c>
      <c r="P24" s="9">
        <f>SUM([3]Delta!$EL$41:$EM$41)</f>
        <v>2547213</v>
      </c>
      <c r="Q24" s="9">
        <f>SUM([3]Delta!$DX$41:$DY$41)</f>
        <v>2375048</v>
      </c>
      <c r="R24" s="86">
        <f t="shared" si="10"/>
        <v>7.2489061273708993E-2</v>
      </c>
      <c r="T24" s="20"/>
      <c r="U24" s="9"/>
      <c r="V24" s="11"/>
      <c r="W24" s="11"/>
    </row>
    <row r="25" spans="1:23" ht="14.1" customHeight="1" x14ac:dyDescent="0.2">
      <c r="A25" s="53"/>
      <c r="B25" s="368" t="s">
        <v>124</v>
      </c>
      <c r="C25" s="362">
        <f>[3]Compass!$EM$19</f>
        <v>1145</v>
      </c>
      <c r="D25" s="39">
        <f t="shared" si="6"/>
        <v>4.1821900796259769E-2</v>
      </c>
      <c r="E25" s="9">
        <f>[3]Compass!$DY$19</f>
        <v>1227</v>
      </c>
      <c r="F25" s="86">
        <f t="shared" si="7"/>
        <v>-6.6829665851670744E-2</v>
      </c>
      <c r="G25" s="9">
        <f>SUM([3]Compass!$EL$19:$EM$19)</f>
        <v>2352</v>
      </c>
      <c r="H25" s="9">
        <f>SUM([3]Compass!$DX$19:$DY$19)</f>
        <v>2448</v>
      </c>
      <c r="I25" s="86">
        <f t="shared" si="11"/>
        <v>-3.9215686274509803E-2</v>
      </c>
      <c r="J25" s="53"/>
      <c r="K25" s="368" t="s">
        <v>124</v>
      </c>
      <c r="L25" s="362">
        <f>[3]Compass!$EM$41</f>
        <v>65710</v>
      </c>
      <c r="M25" s="39">
        <f t="shared" si="8"/>
        <v>2.5726778557859608E-2</v>
      </c>
      <c r="N25" s="9">
        <f>[3]Compass!$DY$41</f>
        <v>71129</v>
      </c>
      <c r="O25" s="86">
        <f t="shared" si="9"/>
        <v>-7.6185522079601845E-2</v>
      </c>
      <c r="P25" s="9">
        <f>SUM([3]Compass!$EL$41:$EM$41)</f>
        <v>134619</v>
      </c>
      <c r="Q25" s="9">
        <f>SUM([3]Compass!$DX$41:$DY$41)</f>
        <v>137906</v>
      </c>
      <c r="R25" s="86">
        <f t="shared" si="10"/>
        <v>-2.3835076066306034E-2</v>
      </c>
      <c r="T25" s="9"/>
      <c r="U25" s="9"/>
      <c r="V25" s="11"/>
      <c r="W25" s="11"/>
    </row>
    <row r="26" spans="1:23" ht="14.1" customHeight="1" x14ac:dyDescent="0.2">
      <c r="A26" s="53"/>
      <c r="B26" s="367" t="s">
        <v>170</v>
      </c>
      <c r="C26" s="362">
        <f>[3]Pinnacle!$EM$19</f>
        <v>3562</v>
      </c>
      <c r="D26" s="39">
        <f t="shared" si="6"/>
        <v>0.13010446343779677</v>
      </c>
      <c r="E26" s="9">
        <f>[3]Pinnacle!$DY$19</f>
        <v>5102</v>
      </c>
      <c r="F26" s="86">
        <f t="shared" si="7"/>
        <v>-0.30184241473931789</v>
      </c>
      <c r="G26" s="9">
        <f>SUM([3]Pinnacle!$EL$19:$EM$19)</f>
        <v>7687</v>
      </c>
      <c r="H26" s="9">
        <f>SUM([3]Pinnacle!$DX$19:$DY$19)</f>
        <v>10888</v>
      </c>
      <c r="I26" s="86">
        <f t="shared" si="11"/>
        <v>-0.2939933872152829</v>
      </c>
      <c r="J26" s="53"/>
      <c r="K26" s="367" t="s">
        <v>170</v>
      </c>
      <c r="L26" s="362">
        <f>[3]Pinnacle!$EM$41</f>
        <v>198370</v>
      </c>
      <c r="M26" s="39">
        <f t="shared" si="8"/>
        <v>7.7665820461461116E-2</v>
      </c>
      <c r="N26" s="9">
        <f>[3]Pinnacle!$DY$41</f>
        <v>269970</v>
      </c>
      <c r="O26" s="86">
        <f t="shared" si="9"/>
        <v>-0.26521465348001627</v>
      </c>
      <c r="P26" s="9">
        <f>SUM([3]Pinnacle!$EL$41:$EM$41)</f>
        <v>414945</v>
      </c>
      <c r="Q26" s="9">
        <f>SUM([3]Pinnacle!$DX$41:$DY$41)</f>
        <v>561673</v>
      </c>
      <c r="R26" s="86">
        <f t="shared" si="10"/>
        <v>-0.26123384958863965</v>
      </c>
      <c r="T26" s="20"/>
      <c r="U26" s="11"/>
    </row>
    <row r="27" spans="1:23" ht="14.1" customHeight="1" x14ac:dyDescent="0.2">
      <c r="A27" s="53"/>
      <c r="B27" s="366" t="s">
        <v>166</v>
      </c>
      <c r="C27" s="362">
        <f>'[3]Go Jet'!$EM$19</f>
        <v>0</v>
      </c>
      <c r="D27" s="39">
        <f t="shared" si="6"/>
        <v>0</v>
      </c>
      <c r="E27" s="9">
        <f>'[3]Go Jet'!$DY$19</f>
        <v>26</v>
      </c>
      <c r="F27" s="86">
        <f>(C27-E27)/E27</f>
        <v>-1</v>
      </c>
      <c r="G27" s="9">
        <f>SUM('[3]Go Jet'!$EL$19:$EM$19)</f>
        <v>0</v>
      </c>
      <c r="H27" s="9">
        <f>SUM('[3]Go Jet'!$DX$19:$DY$19)</f>
        <v>26</v>
      </c>
      <c r="I27" s="86">
        <f>(G27-H27)/H27</f>
        <v>-1</v>
      </c>
      <c r="J27" s="53"/>
      <c r="K27" s="366" t="s">
        <v>166</v>
      </c>
      <c r="L27" s="362">
        <f>'[3]Go Jet'!$EM$41</f>
        <v>0</v>
      </c>
      <c r="M27" s="39">
        <f t="shared" si="8"/>
        <v>0</v>
      </c>
      <c r="N27" s="9">
        <f>'[3]Go Jet'!$DY$41</f>
        <v>1459</v>
      </c>
      <c r="O27" s="86">
        <f>(L27-N27)/N27</f>
        <v>-1</v>
      </c>
      <c r="P27" s="9">
        <f>SUM('[3]Go Jet'!$EL$41:$EM$41)</f>
        <v>0</v>
      </c>
      <c r="Q27" s="9">
        <f>SUM('[3]Go Jet'!$DX$41:$DY$41)</f>
        <v>1459</v>
      </c>
      <c r="R27" s="86">
        <f>(P27-Q27)/Q27</f>
        <v>-1</v>
      </c>
      <c r="T27" s="336"/>
      <c r="U27" s="334"/>
    </row>
    <row r="28" spans="1:23" ht="14.1" customHeight="1" x14ac:dyDescent="0.2">
      <c r="A28" s="53"/>
      <c r="B28" s="367" t="s">
        <v>104</v>
      </c>
      <c r="C28" s="362">
        <f>'[3]Sky West'!$EM$19</f>
        <v>5242</v>
      </c>
      <c r="D28" s="39">
        <f t="shared" si="6"/>
        <v>0.19146760172401198</v>
      </c>
      <c r="E28" s="9">
        <f>'[3]Sky West'!$DY$19</f>
        <v>3398</v>
      </c>
      <c r="F28" s="86">
        <f t="shared" si="7"/>
        <v>0.54267216009417307</v>
      </c>
      <c r="G28" s="9">
        <f>SUM('[3]Sky West'!$EL$19:$EM$19)</f>
        <v>10473</v>
      </c>
      <c r="H28" s="9">
        <f>SUM('[3]Sky West'!$DX$19:$DY$19)</f>
        <v>7101</v>
      </c>
      <c r="I28" s="86">
        <f t="shared" si="11"/>
        <v>0.4748626953950148</v>
      </c>
      <c r="J28" s="53"/>
      <c r="K28" s="367" t="s">
        <v>104</v>
      </c>
      <c r="L28" s="362">
        <f>'[3]Sky West'!$EM$41</f>
        <v>226213</v>
      </c>
      <c r="M28" s="39">
        <f t="shared" si="8"/>
        <v>8.8566911549369881E-2</v>
      </c>
      <c r="N28" s="9">
        <f>'[3]Sky West'!$DY$41</f>
        <v>140878</v>
      </c>
      <c r="O28" s="86">
        <f t="shared" si="9"/>
        <v>0.60573687871775583</v>
      </c>
      <c r="P28" s="9">
        <f>SUM('[3]Sky West'!$EL$41:$EM$41)</f>
        <v>439401</v>
      </c>
      <c r="Q28" s="9">
        <f>SUM('[3]Sky West'!$DX$41:$DY$41)</f>
        <v>284754</v>
      </c>
      <c r="R28" s="86">
        <f t="shared" si="10"/>
        <v>0.54308982490149393</v>
      </c>
      <c r="T28" s="20"/>
    </row>
    <row r="29" spans="1:23" ht="14.1" customHeight="1" x14ac:dyDescent="0.2">
      <c r="A29" s="53"/>
      <c r="B29" s="367" t="s">
        <v>139</v>
      </c>
      <c r="C29" s="362">
        <f>'[3]Shuttle America_Delta'!$EM$19</f>
        <v>138</v>
      </c>
      <c r="D29" s="39">
        <f t="shared" si="6"/>
        <v>5.0405435020819634E-3</v>
      </c>
      <c r="E29" s="9">
        <f>'[3]Shuttle America_Delta'!$DY$19</f>
        <v>388</v>
      </c>
      <c r="F29" s="86">
        <f t="shared" si="7"/>
        <v>-0.64432989690721654</v>
      </c>
      <c r="G29" s="9">
        <f>SUM('[3]Shuttle America_Delta'!$EL$19:$EM$19)</f>
        <v>274</v>
      </c>
      <c r="H29" s="9">
        <f>SUM('[3]Shuttle America_Delta'!$DX$19:$DY$19)</f>
        <v>802</v>
      </c>
      <c r="I29" s="86">
        <f t="shared" si="11"/>
        <v>-0.65835411471321692</v>
      </c>
      <c r="J29" s="53"/>
      <c r="K29" s="367" t="s">
        <v>139</v>
      </c>
      <c r="L29" s="362">
        <f>'[3]Shuttle America_Delta'!$EM$41</f>
        <v>6170</v>
      </c>
      <c r="M29" s="39">
        <f t="shared" si="8"/>
        <v>2.4156783397046686E-3</v>
      </c>
      <c r="N29" s="9">
        <f>'[3]Shuttle America_Delta'!$DY$41</f>
        <v>20233</v>
      </c>
      <c r="O29" s="86">
        <f t="shared" si="9"/>
        <v>-0.69505263678149554</v>
      </c>
      <c r="P29" s="9">
        <f>SUM('[3]Shuttle America_Delta'!$EL$41:$EM$41)</f>
        <v>12322</v>
      </c>
      <c r="Q29" s="9">
        <f>SUM('[3]Shuttle America_Delta'!$DX$41:$DY$41)</f>
        <v>40894</v>
      </c>
      <c r="R29" s="86">
        <f t="shared" si="10"/>
        <v>-0.69868440357998729</v>
      </c>
      <c r="T29" s="20"/>
    </row>
    <row r="30" spans="1:23" ht="14.1" customHeight="1" x14ac:dyDescent="0.2">
      <c r="A30" s="53"/>
      <c r="B30" s="445" t="s">
        <v>198</v>
      </c>
      <c r="C30" s="362">
        <f>'[3]Atlantic Southeast'!$EM$19</f>
        <v>606</v>
      </c>
      <c r="D30" s="39">
        <f t="shared" si="6"/>
        <v>2.2134560596099057E-2</v>
      </c>
      <c r="E30" s="9">
        <f>'[3]Atlantic Southeast'!$DY$19</f>
        <v>1025</v>
      </c>
      <c r="F30" s="86">
        <f t="shared" si="7"/>
        <v>-0.40878048780487802</v>
      </c>
      <c r="G30" s="9">
        <f>SUM('[3]Atlantic Southeast'!$EL$19:$EM$19)</f>
        <v>1631</v>
      </c>
      <c r="H30" s="9">
        <f>SUM('[3]Atlantic Southeast'!$DX$19:$DY$19)</f>
        <v>2379</v>
      </c>
      <c r="I30" s="86">
        <f t="shared" si="11"/>
        <v>-0.31441782261454393</v>
      </c>
      <c r="J30" s="53"/>
      <c r="K30" s="445" t="s">
        <v>198</v>
      </c>
      <c r="L30" s="362">
        <f>'[3]Atlantic Southeast'!$EM$41</f>
        <v>29264</v>
      </c>
      <c r="M30" s="39">
        <f t="shared" si="8"/>
        <v>1.1457440994022274E-2</v>
      </c>
      <c r="N30" s="9">
        <f>'[3]Atlantic Southeast'!$DY$41</f>
        <v>53983</v>
      </c>
      <c r="O30" s="86">
        <f t="shared" si="9"/>
        <v>-0.45790341403775264</v>
      </c>
      <c r="P30" s="9">
        <f>SUM('[3]Atlantic Southeast'!$EL$41:$EM$41)</f>
        <v>80419</v>
      </c>
      <c r="Q30" s="9">
        <f>SUM('[3]Atlantic Southeast'!$DX$41:$DY$41)</f>
        <v>121584</v>
      </c>
      <c r="R30" s="86">
        <f t="shared" si="10"/>
        <v>-0.33857250954072904</v>
      </c>
      <c r="T30" s="333"/>
    </row>
    <row r="31" spans="1:23" ht="14.1" customHeight="1" x14ac:dyDescent="0.2">
      <c r="A31" s="53"/>
      <c r="B31" s="371"/>
      <c r="C31" s="362"/>
      <c r="D31" s="39"/>
      <c r="E31" s="9"/>
      <c r="F31" s="86"/>
      <c r="G31" s="9"/>
      <c r="H31" s="9"/>
      <c r="I31" s="86"/>
      <c r="J31" s="53"/>
      <c r="K31" s="371"/>
      <c r="L31" s="362"/>
      <c r="M31" s="39"/>
      <c r="N31" s="9"/>
      <c r="O31" s="86"/>
      <c r="P31" s="9"/>
      <c r="Q31" s="9"/>
      <c r="R31" s="86"/>
      <c r="T31" s="333"/>
    </row>
    <row r="32" spans="1:23" s="7" customFormat="1" ht="14.1" customHeight="1" x14ac:dyDescent="0.2">
      <c r="A32" s="357" t="s">
        <v>50</v>
      </c>
      <c r="B32" s="372"/>
      <c r="C32" s="358">
        <f>[3]Frontier!$EM$19</f>
        <v>158</v>
      </c>
      <c r="D32" s="359">
        <f>C32/$C$57</f>
        <v>5.771057053108335E-3</v>
      </c>
      <c r="E32" s="360">
        <f>[3]Frontier!$DY$19</f>
        <v>112</v>
      </c>
      <c r="F32" s="361">
        <f>(C32-E32)/E32</f>
        <v>0.4107142857142857</v>
      </c>
      <c r="G32" s="360">
        <f>SUM([3]Frontier!$EL$19:$EM$19)</f>
        <v>306</v>
      </c>
      <c r="H32" s="360">
        <f>SUM([3]Frontier!$DX$19:$DY$19)</f>
        <v>258</v>
      </c>
      <c r="I32" s="361">
        <f>(G32-H32)/H32</f>
        <v>0.18604651162790697</v>
      </c>
      <c r="J32" s="357" t="s">
        <v>50</v>
      </c>
      <c r="K32" s="372"/>
      <c r="L32" s="358">
        <f>[3]Frontier!$EM$41</f>
        <v>22648</v>
      </c>
      <c r="M32" s="359">
        <f>L32/$L$57</f>
        <v>8.8671447386760669E-3</v>
      </c>
      <c r="N32" s="360">
        <f>[3]Frontier!$DY$41</f>
        <v>16002</v>
      </c>
      <c r="O32" s="361">
        <f>(L32-N32)/N32</f>
        <v>0.41532308461442319</v>
      </c>
      <c r="P32" s="360">
        <f>SUM([3]Frontier!$EL$41:$EM$41)</f>
        <v>45712</v>
      </c>
      <c r="Q32" s="360">
        <f>SUM([3]Frontier!$DX$41:$DY$41)</f>
        <v>36517</v>
      </c>
      <c r="R32" s="361">
        <f>(P32-Q32)/Q32</f>
        <v>0.25180053125941343</v>
      </c>
      <c r="T32" s="335"/>
      <c r="U32"/>
    </row>
    <row r="33" spans="1:21" s="7" customFormat="1" ht="14.1" customHeight="1" x14ac:dyDescent="0.2">
      <c r="A33" s="357"/>
      <c r="B33" s="372"/>
      <c r="C33" s="358"/>
      <c r="D33" s="359"/>
      <c r="E33" s="360"/>
      <c r="F33" s="361"/>
      <c r="G33" s="360"/>
      <c r="H33" s="360"/>
      <c r="I33" s="361"/>
      <c r="J33" s="357"/>
      <c r="K33" s="372"/>
      <c r="L33" s="362"/>
      <c r="M33" s="39"/>
      <c r="N33" s="9"/>
      <c r="O33" s="86"/>
      <c r="P33" s="9"/>
      <c r="Q33" s="9"/>
      <c r="R33" s="86"/>
      <c r="T33" s="335"/>
    </row>
    <row r="34" spans="1:21" s="7" customFormat="1" ht="14.1" customHeight="1" x14ac:dyDescent="0.2">
      <c r="A34" s="357" t="s">
        <v>165</v>
      </c>
      <c r="B34" s="372"/>
      <c r="C34" s="358">
        <f>'[3]Great Lakes'!$EM$19</f>
        <v>134</v>
      </c>
      <c r="D34" s="359">
        <f>C34/$C$57</f>
        <v>4.8944407918766891E-3</v>
      </c>
      <c r="E34" s="360">
        <f>'[3]Great Lakes'!$DY$19</f>
        <v>154</v>
      </c>
      <c r="F34" s="361">
        <f>(C34-E34)/E34</f>
        <v>-0.12987012987012986</v>
      </c>
      <c r="G34" s="360">
        <f>SUM('[3]Great Lakes'!$EL$19:$EM$19)</f>
        <v>277</v>
      </c>
      <c r="H34" s="360">
        <f>SUM('[3]Great Lakes'!$DX$19:$DY$19)</f>
        <v>366</v>
      </c>
      <c r="I34" s="361">
        <f>(G34-H34)/H34</f>
        <v>-0.24316939890710382</v>
      </c>
      <c r="J34" s="357" t="s">
        <v>165</v>
      </c>
      <c r="K34" s="372"/>
      <c r="L34" s="358">
        <f>'[3]Great Lakes'!$EM$41</f>
        <v>402</v>
      </c>
      <c r="M34" s="359">
        <f>L34/$L$57</f>
        <v>1.5739103607151974E-4</v>
      </c>
      <c r="N34" s="360">
        <f>'[3]Great Lakes'!$DY$41</f>
        <v>603</v>
      </c>
      <c r="O34" s="361">
        <f>(L34-N34)/N34</f>
        <v>-0.33333333333333331</v>
      </c>
      <c r="P34" s="360">
        <f>SUM('[3]Great Lakes'!$EL$41:$EM$41)</f>
        <v>778</v>
      </c>
      <c r="Q34" s="360">
        <f>SUM('[3]Great Lakes'!$DX$41:$DY$41)</f>
        <v>1368</v>
      </c>
      <c r="R34" s="361">
        <f>(P34-Q34)/Q34</f>
        <v>-0.43128654970760233</v>
      </c>
      <c r="T34" s="335"/>
    </row>
    <row r="35" spans="1:21" s="7" customFormat="1" ht="14.1" customHeight="1" x14ac:dyDescent="0.2">
      <c r="A35" s="357"/>
      <c r="B35" s="372"/>
      <c r="C35" s="358"/>
      <c r="D35" s="359"/>
      <c r="E35" s="360"/>
      <c r="F35" s="361"/>
      <c r="G35" s="360"/>
      <c r="H35" s="360"/>
      <c r="I35" s="361"/>
      <c r="J35" s="357"/>
      <c r="K35" s="372"/>
      <c r="L35" s="362"/>
      <c r="M35" s="39"/>
      <c r="N35" s="9"/>
      <c r="O35" s="86"/>
      <c r="P35" s="9"/>
      <c r="Q35" s="9"/>
      <c r="R35" s="86"/>
      <c r="T35" s="335"/>
    </row>
    <row r="36" spans="1:21" s="7" customFormat="1" ht="14.1" customHeight="1" x14ac:dyDescent="0.2">
      <c r="A36" s="357" t="s">
        <v>51</v>
      </c>
      <c r="B36" s="372"/>
      <c r="C36" s="358">
        <f>[3]Icelandair!$EM$19</f>
        <v>0</v>
      </c>
      <c r="D36" s="359">
        <f>C36/$C$57</f>
        <v>0</v>
      </c>
      <c r="E36" s="360">
        <f>[3]Icelandair!$DY$19</f>
        <v>0</v>
      </c>
      <c r="F36" s="361" t="e">
        <f>(C36-E36)/E36</f>
        <v>#DIV/0!</v>
      </c>
      <c r="G36" s="360">
        <f>SUM([3]Icelandair!$EL$19:$EM$19)</f>
        <v>12</v>
      </c>
      <c r="H36" s="360">
        <f>SUM([3]Icelandair!$DX$19:$DY$19)</f>
        <v>0</v>
      </c>
      <c r="I36" s="361" t="e">
        <f>(G36-H36)/H36</f>
        <v>#DIV/0!</v>
      </c>
      <c r="J36" s="357" t="s">
        <v>51</v>
      </c>
      <c r="K36" s="372"/>
      <c r="L36" s="358">
        <f>[3]Icelandair!$EM$41</f>
        <v>0</v>
      </c>
      <c r="M36" s="359">
        <f>L36/$L$57</f>
        <v>0</v>
      </c>
      <c r="N36" s="360">
        <f>[3]Icelandair!$DY$41</f>
        <v>0</v>
      </c>
      <c r="O36" s="361" t="e">
        <f>(L36-N36)/N36</f>
        <v>#DIV/0!</v>
      </c>
      <c r="P36" s="360">
        <f>SUM([3]Icelandair!$EL$41:$EM$41)</f>
        <v>1473</v>
      </c>
      <c r="Q36" s="360">
        <f>SUM([3]Icelandair!$DX$41:$DY$41)</f>
        <v>0</v>
      </c>
      <c r="R36" s="361" t="e">
        <f>(P36-Q36)/Q36</f>
        <v>#DIV/0!</v>
      </c>
      <c r="T36" s="20"/>
    </row>
    <row r="37" spans="1:21" s="7" customFormat="1" ht="14.1" customHeight="1" x14ac:dyDescent="0.2">
      <c r="A37" s="357"/>
      <c r="B37" s="372"/>
      <c r="C37" s="358"/>
      <c r="D37" s="359"/>
      <c r="E37" s="360"/>
      <c r="F37" s="361"/>
      <c r="G37" s="360"/>
      <c r="H37" s="360"/>
      <c r="I37" s="361"/>
      <c r="J37" s="357"/>
      <c r="K37" s="372"/>
      <c r="L37" s="362"/>
      <c r="M37" s="39"/>
      <c r="N37" s="9"/>
      <c r="O37" s="86"/>
      <c r="P37" s="9"/>
      <c r="Q37" s="9"/>
      <c r="R37" s="86"/>
      <c r="T37" s="20"/>
    </row>
    <row r="38" spans="1:21" ht="14.1" customHeight="1" x14ac:dyDescent="0.2">
      <c r="A38" s="369" t="s">
        <v>136</v>
      </c>
      <c r="B38" s="55"/>
      <c r="C38" s="358">
        <f>SUM(C39:C39)</f>
        <v>1235</v>
      </c>
      <c r="D38" s="359">
        <f>C38/$C$57</f>
        <v>4.5109211775878441E-2</v>
      </c>
      <c r="E38" s="360">
        <f>SUM(E39:E39)</f>
        <v>1129</v>
      </c>
      <c r="F38" s="361">
        <f>(C38-E38)/E38</f>
        <v>9.3888396811337468E-2</v>
      </c>
      <c r="G38" s="358">
        <f>SUM(G39:G39)</f>
        <v>2545</v>
      </c>
      <c r="H38" s="360">
        <f>SUM(H39:H39)</f>
        <v>2409</v>
      </c>
      <c r="I38" s="361">
        <f>(G38-H38)/H38</f>
        <v>5.6454960564549607E-2</v>
      </c>
      <c r="J38" s="357" t="s">
        <v>136</v>
      </c>
      <c r="K38" s="55"/>
      <c r="L38" s="358">
        <f>SUM(L39:L39)</f>
        <v>139213</v>
      </c>
      <c r="M38" s="359">
        <f>L38/$L$57</f>
        <v>5.4504672399563379E-2</v>
      </c>
      <c r="N38" s="360">
        <f>SUM(N39:N39)</f>
        <v>131205</v>
      </c>
      <c r="O38" s="361">
        <f>(L38-N38)/N38</f>
        <v>6.103425936511566E-2</v>
      </c>
      <c r="P38" s="358">
        <f>SUM(P39:P39)</f>
        <v>286432</v>
      </c>
      <c r="Q38" s="360">
        <f>SUM(Q39:Q39)</f>
        <v>271951</v>
      </c>
      <c r="R38" s="361">
        <f>(P38-Q38)/Q38</f>
        <v>5.3248563160275195E-2</v>
      </c>
      <c r="T38" s="20"/>
    </row>
    <row r="39" spans="1:21" ht="14.1" customHeight="1" x14ac:dyDescent="0.2">
      <c r="A39" s="369"/>
      <c r="B39" s="55" t="s">
        <v>136</v>
      </c>
      <c r="C39" s="438">
        <f>[3]Southwest!$EM$19</f>
        <v>1235</v>
      </c>
      <c r="D39" s="439">
        <f>C39/$C$57</f>
        <v>4.5109211775878441E-2</v>
      </c>
      <c r="E39" s="301">
        <f>[3]Southwest!$DY$19</f>
        <v>1129</v>
      </c>
      <c r="F39" s="440">
        <f>(C39-E39)/E39</f>
        <v>9.3888396811337468E-2</v>
      </c>
      <c r="G39" s="301">
        <f>SUM([3]Southwest!$EL$19:$EM$19)</f>
        <v>2545</v>
      </c>
      <c r="H39" s="301">
        <f>SUM([3]Southwest!$DX$19:$DY$19)</f>
        <v>2409</v>
      </c>
      <c r="I39" s="440">
        <f>(G39-H39)/H39</f>
        <v>5.6454960564549607E-2</v>
      </c>
      <c r="J39" s="357"/>
      <c r="K39" s="55" t="s">
        <v>136</v>
      </c>
      <c r="L39" s="438">
        <f>[3]Southwest!$EM$41</f>
        <v>139213</v>
      </c>
      <c r="M39" s="439">
        <f>L39/$L$57</f>
        <v>5.4504672399563379E-2</v>
      </c>
      <c r="N39" s="301">
        <f>[3]Southwest!$DY$41</f>
        <v>131205</v>
      </c>
      <c r="O39" s="440">
        <f>(L39-N39)/N39</f>
        <v>6.103425936511566E-2</v>
      </c>
      <c r="P39" s="301">
        <f>SUM([3]Southwest!$EL$41:$EM$41)</f>
        <v>286432</v>
      </c>
      <c r="Q39" s="301">
        <f>SUM([3]Southwest!$DX$41:$DY$41)</f>
        <v>271951</v>
      </c>
      <c r="R39" s="440">
        <f>(P39-Q39)/Q39</f>
        <v>5.3248563160275195E-2</v>
      </c>
      <c r="T39" s="20"/>
    </row>
    <row r="40" spans="1:21" ht="14.1" customHeight="1" x14ac:dyDescent="0.2">
      <c r="A40" s="357"/>
      <c r="B40" s="55"/>
      <c r="C40" s="358"/>
      <c r="D40" s="359"/>
      <c r="E40" s="360"/>
      <c r="F40" s="361"/>
      <c r="G40" s="360"/>
      <c r="H40" s="360"/>
      <c r="I40" s="361"/>
      <c r="J40" s="357"/>
      <c r="K40" s="55"/>
      <c r="L40" s="362"/>
      <c r="M40" s="39"/>
      <c r="N40" s="9"/>
      <c r="O40" s="86"/>
      <c r="P40" s="9"/>
      <c r="Q40" s="9"/>
      <c r="R40" s="86"/>
      <c r="T40" s="20"/>
      <c r="U40" s="7"/>
    </row>
    <row r="41" spans="1:21" ht="14.1" customHeight="1" x14ac:dyDescent="0.2">
      <c r="A41" s="357" t="s">
        <v>167</v>
      </c>
      <c r="B41" s="55"/>
      <c r="C41" s="358">
        <f>[3]Spirit!$EM$19</f>
        <v>612</v>
      </c>
      <c r="D41" s="359">
        <f>C41/$C$57</f>
        <v>2.2353714661406968E-2</v>
      </c>
      <c r="E41" s="360">
        <f>[3]Spirit!$DY$19</f>
        <v>607</v>
      </c>
      <c r="F41" s="361">
        <f>(C41-E41)/E41</f>
        <v>8.2372322899505763E-3</v>
      </c>
      <c r="G41" s="360">
        <f>SUM([3]Spirit!$EL$19:$EM$19)</f>
        <v>1292</v>
      </c>
      <c r="H41" s="360">
        <f>SUM([3]Spirit!$DX$19:$DY$19)</f>
        <v>1287</v>
      </c>
      <c r="I41" s="361">
        <f>(G41-H41)/H41</f>
        <v>3.885003885003885E-3</v>
      </c>
      <c r="J41" s="357" t="s">
        <v>167</v>
      </c>
      <c r="K41" s="55"/>
      <c r="L41" s="358">
        <f>[3]Spirit!$EM$41</f>
        <v>92339</v>
      </c>
      <c r="M41" s="359">
        <f>L41/$L$57</f>
        <v>3.6152564377631993E-2</v>
      </c>
      <c r="N41" s="360">
        <f>[3]Spirit!$DY$41</f>
        <v>88542</v>
      </c>
      <c r="O41" s="361">
        <f>(L41-N41)/N41</f>
        <v>4.2883603261728895E-2</v>
      </c>
      <c r="P41" s="360">
        <f>SUM([3]Spirit!$EL$41:$EM$41)</f>
        <v>190206</v>
      </c>
      <c r="Q41" s="360">
        <f>SUM([3]Spirit!$DX$41:$DY$41)</f>
        <v>181759</v>
      </c>
      <c r="R41" s="361">
        <f>(P41-Q41)/Q41</f>
        <v>4.647362716564242E-2</v>
      </c>
      <c r="T41" s="20"/>
      <c r="U41" s="7"/>
    </row>
    <row r="42" spans="1:21" ht="14.1" customHeight="1" x14ac:dyDescent="0.2">
      <c r="A42" s="357"/>
      <c r="B42" s="55"/>
      <c r="C42" s="358"/>
      <c r="D42" s="359"/>
      <c r="E42" s="360"/>
      <c r="F42" s="361"/>
      <c r="G42" s="360"/>
      <c r="H42" s="360"/>
      <c r="I42" s="361"/>
      <c r="J42" s="357"/>
      <c r="K42" s="55"/>
      <c r="L42" s="362"/>
      <c r="M42" s="39"/>
      <c r="N42" s="9"/>
      <c r="O42" s="86"/>
      <c r="P42" s="9"/>
      <c r="Q42" s="9"/>
      <c r="R42" s="86"/>
      <c r="T42" s="20"/>
      <c r="U42" s="7"/>
    </row>
    <row r="43" spans="1:21" s="7" customFormat="1" ht="14.1" customHeight="1" x14ac:dyDescent="0.2">
      <c r="A43" s="357" t="s">
        <v>52</v>
      </c>
      <c r="B43" s="372"/>
      <c r="C43" s="358">
        <f>'[3]Sun Country'!$EM$19</f>
        <v>1694</v>
      </c>
      <c r="D43" s="359">
        <f>C43/$C$57</f>
        <v>6.187449777193367E-2</v>
      </c>
      <c r="E43" s="360">
        <f>'[3]Sun Country'!$DY$19</f>
        <v>1622</v>
      </c>
      <c r="F43" s="361">
        <f>(C43-E43)/E43</f>
        <v>4.4389642416769418E-2</v>
      </c>
      <c r="G43" s="360">
        <f>SUM('[3]Sun Country'!$EL$19:$EM$19)</f>
        <v>3392</v>
      </c>
      <c r="H43" s="360">
        <f>SUM('[3]Sun Country'!$DX$19:$DY$19)</f>
        <v>3206</v>
      </c>
      <c r="I43" s="361">
        <f>(G43-H43)/H43</f>
        <v>5.8016219588271987E-2</v>
      </c>
      <c r="J43" s="357" t="s">
        <v>52</v>
      </c>
      <c r="K43" s="372"/>
      <c r="L43" s="358">
        <f>'[3]Sun Country'!$EM$41</f>
        <v>194645</v>
      </c>
      <c r="M43" s="359">
        <f>L43/$L$57</f>
        <v>7.6207408497863088E-2</v>
      </c>
      <c r="N43" s="360">
        <f>'[3]Sun Country'!$DY$41</f>
        <v>191005</v>
      </c>
      <c r="O43" s="361">
        <f>(L43-N43)/N43</f>
        <v>1.9057092746263188E-2</v>
      </c>
      <c r="P43" s="360">
        <f>SUM('[3]Sun Country'!$EL$41:$EM$41)</f>
        <v>365068</v>
      </c>
      <c r="Q43" s="360">
        <f>SUM('[3]Sun Country'!$DX$41:$DY$41)</f>
        <v>357226</v>
      </c>
      <c r="R43" s="361">
        <f>(P43-Q43)/Q43</f>
        <v>2.1952489460453608E-2</v>
      </c>
      <c r="T43" s="20"/>
    </row>
    <row r="44" spans="1:21" s="7" customFormat="1" ht="14.1" customHeight="1" x14ac:dyDescent="0.2">
      <c r="A44" s="357"/>
      <c r="B44" s="372"/>
      <c r="C44" s="358"/>
      <c r="D44" s="359"/>
      <c r="E44" s="360"/>
      <c r="F44" s="361"/>
      <c r="G44" s="360"/>
      <c r="H44" s="360"/>
      <c r="I44" s="361"/>
      <c r="J44" s="357"/>
      <c r="K44" s="372"/>
      <c r="L44" s="362"/>
      <c r="M44" s="39"/>
      <c r="N44" s="9"/>
      <c r="O44" s="86"/>
      <c r="P44" s="9"/>
      <c r="Q44" s="9"/>
      <c r="R44" s="86"/>
      <c r="T44" s="20"/>
    </row>
    <row r="45" spans="1:21" s="7" customFormat="1" ht="14.1" customHeight="1" x14ac:dyDescent="0.2">
      <c r="A45" s="357" t="s">
        <v>21</v>
      </c>
      <c r="B45" s="365"/>
      <c r="C45" s="358">
        <f>SUM(C46:C52)</f>
        <v>1442</v>
      </c>
      <c r="D45" s="359">
        <f>C45/$C$57</f>
        <v>5.2670027029001386E-2</v>
      </c>
      <c r="E45" s="360">
        <f>SUM(E46:E52)</f>
        <v>1340</v>
      </c>
      <c r="F45" s="361">
        <f t="shared" ref="F45:F52" si="12">(C45-E45)/E45</f>
        <v>7.6119402985074622E-2</v>
      </c>
      <c r="G45" s="360">
        <f>SUM(G46:G52)</f>
        <v>2954</v>
      </c>
      <c r="H45" s="360">
        <f>SUM(H46:H52)</f>
        <v>2740</v>
      </c>
      <c r="I45" s="361">
        <f t="shared" ref="I45:I52" si="13">(G45-H45)/H45</f>
        <v>7.8102189781021902E-2</v>
      </c>
      <c r="J45" s="357" t="s">
        <v>21</v>
      </c>
      <c r="K45" s="365"/>
      <c r="L45" s="358">
        <f>SUM(L46:L52)</f>
        <v>112012</v>
      </c>
      <c r="M45" s="359">
        <f>L45/$L$57</f>
        <v>4.3854937145380767E-2</v>
      </c>
      <c r="N45" s="360">
        <f>SUM(N46:N52)</f>
        <v>94261</v>
      </c>
      <c r="O45" s="361">
        <f t="shared" ref="O45:O52" si="14">(L45-N45)/N45</f>
        <v>0.18831754384103713</v>
      </c>
      <c r="P45" s="360">
        <f>SUM(P46:P52)</f>
        <v>230040</v>
      </c>
      <c r="Q45" s="360">
        <f>SUM(Q46:Q52)</f>
        <v>191398</v>
      </c>
      <c r="R45" s="361">
        <f t="shared" ref="R45:R52" si="15">(P45-Q45)/Q45</f>
        <v>0.20189343671302731</v>
      </c>
      <c r="T45" s="20"/>
      <c r="U45"/>
    </row>
    <row r="46" spans="1:21" s="7" customFormat="1" ht="14.1" customHeight="1" x14ac:dyDescent="0.2">
      <c r="A46" s="373"/>
      <c r="B46" s="442" t="s">
        <v>21</v>
      </c>
      <c r="C46" s="362">
        <f>[3]United!$EM$19</f>
        <v>476</v>
      </c>
      <c r="D46" s="39">
        <f>C46/$C$57</f>
        <v>1.7386222514427643E-2</v>
      </c>
      <c r="E46" s="9">
        <f>[3]United!$DY$19+[3]Continental!$DY$19</f>
        <v>320</v>
      </c>
      <c r="F46" s="86">
        <f t="shared" si="12"/>
        <v>0.48749999999999999</v>
      </c>
      <c r="G46" s="9">
        <f>SUM([3]United!$EL$19:$EM$19)</f>
        <v>922</v>
      </c>
      <c r="H46" s="9">
        <f>SUM([3]United!$DX$19:$DY$19)+SUM([3]Continental!$DX$19:$DY$19)</f>
        <v>640</v>
      </c>
      <c r="I46" s="86">
        <f t="shared" si="13"/>
        <v>0.44062499999999999</v>
      </c>
      <c r="J46" s="373"/>
      <c r="K46" s="442" t="s">
        <v>21</v>
      </c>
      <c r="L46" s="362">
        <f>[3]United!$EM$41</f>
        <v>56144</v>
      </c>
      <c r="M46" s="39">
        <f>L46/$L$57</f>
        <v>2.1981498331341803E-2</v>
      </c>
      <c r="N46" s="9">
        <f>[3]United!$DY$41+[3]Continental!$DY$41</f>
        <v>37923</v>
      </c>
      <c r="O46" s="86">
        <f t="shared" si="14"/>
        <v>0.48047359122432298</v>
      </c>
      <c r="P46" s="9">
        <f>SUM([3]United!$EL$41:$EM$41)</f>
        <v>109471</v>
      </c>
      <c r="Q46" s="9">
        <f>SUM([3]United!$DX$41:$DY$41)+SUM([3]Continental!$DX$41:$DY$41)</f>
        <v>74332</v>
      </c>
      <c r="R46" s="86">
        <f t="shared" si="15"/>
        <v>0.47273045256417157</v>
      </c>
      <c r="T46" s="20"/>
    </row>
    <row r="47" spans="1:21" s="7" customFormat="1" ht="14.1" customHeight="1" x14ac:dyDescent="0.2">
      <c r="A47" s="373"/>
      <c r="B47" s="442" t="s">
        <v>198</v>
      </c>
      <c r="C47" s="362">
        <f>'[3]Continental Express'!$EM$19</f>
        <v>46</v>
      </c>
      <c r="D47" s="39">
        <f>C47/$C$56</f>
        <v>3.8152110807000081E-3</v>
      </c>
      <c r="E47" s="9">
        <f>'[3]Continental Express'!$DY$19</f>
        <v>268</v>
      </c>
      <c r="F47" s="86">
        <f t="shared" si="12"/>
        <v>-0.82835820895522383</v>
      </c>
      <c r="G47" s="9">
        <f>SUM('[3]Continental Express'!$EL$19:$EM$19)</f>
        <v>956</v>
      </c>
      <c r="H47" s="9">
        <f>SUM('[3]Continental Express'!$DX$19:$DY$19)</f>
        <v>538</v>
      </c>
      <c r="I47" s="86">
        <f t="shared" si="13"/>
        <v>0.77695167286245348</v>
      </c>
      <c r="J47" s="53"/>
      <c r="K47" s="442" t="s">
        <v>198</v>
      </c>
      <c r="L47" s="362">
        <f>'[3]Continental Express'!$EM$41</f>
        <v>1604</v>
      </c>
      <c r="M47" s="39">
        <f>L47/$L$56</f>
        <v>2.6788025552169012E-3</v>
      </c>
      <c r="N47" s="9">
        <f>'[3]Continental Express'!$DY$41</f>
        <v>10424</v>
      </c>
      <c r="O47" s="86">
        <f t="shared" si="14"/>
        <v>-0.8461243284727552</v>
      </c>
      <c r="P47" s="9">
        <f>SUM('[3]Continental Express'!$EL$41:$EM$41)</f>
        <v>66305</v>
      </c>
      <c r="Q47" s="9">
        <f>SUM('[3]Continental Express'!$DX$41:$DY$41)</f>
        <v>20924</v>
      </c>
      <c r="R47" s="86">
        <f t="shared" si="15"/>
        <v>2.1688491684190403</v>
      </c>
      <c r="T47" s="20"/>
    </row>
    <row r="48" spans="1:21" s="7" customFormat="1" ht="14.1" customHeight="1" x14ac:dyDescent="0.2">
      <c r="A48" s="373"/>
      <c r="B48" s="366" t="s">
        <v>166</v>
      </c>
      <c r="C48" s="362">
        <f>'[3]Go Jet_UA'!$EM$19</f>
        <v>52</v>
      </c>
      <c r="D48" s="39">
        <f>C48/$C$57</f>
        <v>1.8993352326685661E-3</v>
      </c>
      <c r="E48" s="9">
        <f>'[3]Go Jet_UA'!$DY$19</f>
        <v>62</v>
      </c>
      <c r="F48" s="86">
        <f t="shared" si="12"/>
        <v>-0.16129032258064516</v>
      </c>
      <c r="G48" s="9">
        <f>SUM('[3]Go Jet_UA'!$EL$19:$EM$19)</f>
        <v>52</v>
      </c>
      <c r="H48" s="9">
        <f>SUM('[3]Go Jet_UA'!$DX$19:$DY$19)</f>
        <v>168</v>
      </c>
      <c r="I48" s="86">
        <f t="shared" si="13"/>
        <v>-0.69047619047619047</v>
      </c>
      <c r="J48" s="373"/>
      <c r="K48" s="366" t="s">
        <v>166</v>
      </c>
      <c r="L48" s="362">
        <f>'[3]Go Jet_UA'!$EM$41</f>
        <v>3315</v>
      </c>
      <c r="M48" s="39">
        <f>L48/$L$57</f>
        <v>1.2978887676046965E-3</v>
      </c>
      <c r="N48" s="9">
        <f>'[3]Go Jet_UA'!$DY$41</f>
        <v>3727</v>
      </c>
      <c r="O48" s="86">
        <f t="shared" si="14"/>
        <v>-0.11054467400053662</v>
      </c>
      <c r="P48" s="9">
        <f>SUM('[3]Go Jet_UA'!$EL$41:$EM$41)</f>
        <v>3315</v>
      </c>
      <c r="Q48" s="9">
        <f>SUM('[3]Go Jet_UA'!$DX$41:$DY$41)</f>
        <v>10531</v>
      </c>
      <c r="R48" s="86">
        <f t="shared" si="15"/>
        <v>-0.68521507928971603</v>
      </c>
      <c r="T48" s="20"/>
    </row>
    <row r="49" spans="1:21" s="7" customFormat="1" ht="14.1" customHeight="1" x14ac:dyDescent="0.2">
      <c r="A49" s="373"/>
      <c r="B49" s="366" t="s">
        <v>55</v>
      </c>
      <c r="C49" s="362">
        <f>[3]MESA_UA!$EM$19</f>
        <v>202</v>
      </c>
      <c r="D49" s="39">
        <f>C49/$C$57</f>
        <v>7.3781868653663525E-3</v>
      </c>
      <c r="E49" s="9">
        <f>[3]MESA_UA!$DY$19</f>
        <v>170</v>
      </c>
      <c r="F49" s="86">
        <f>(C49-E49)/E49</f>
        <v>0.18823529411764706</v>
      </c>
      <c r="G49" s="9">
        <f>SUM([3]MESA_UA!$EL$19:$EM$19)</f>
        <v>358</v>
      </c>
      <c r="H49" s="9">
        <f>SUM([3]MESA_UA!$DX$19:$DY$19)</f>
        <v>320</v>
      </c>
      <c r="I49" s="86">
        <f>(G49-H49)/H49</f>
        <v>0.11874999999999999</v>
      </c>
      <c r="J49" s="373"/>
      <c r="K49" s="366" t="s">
        <v>55</v>
      </c>
      <c r="L49" s="362">
        <f>[3]MESA_UA!$EM$41</f>
        <v>11308</v>
      </c>
      <c r="M49" s="39">
        <f>L49/$L$57</f>
        <v>4.4273080494943908E-3</v>
      </c>
      <c r="N49" s="9">
        <f>[3]MESA_UA!$DY$41</f>
        <v>10596</v>
      </c>
      <c r="O49" s="86">
        <f>(L49-N49)/N49</f>
        <v>6.7195167987919968E-2</v>
      </c>
      <c r="P49" s="9">
        <f>SUM([3]MESA_UA!$EL$41:$EM$41)</f>
        <v>11308</v>
      </c>
      <c r="Q49" s="9">
        <f>SUM([3]MESA_UA!$DX$41:$DY$41)</f>
        <v>20056</v>
      </c>
      <c r="R49" s="86">
        <f t="shared" si="15"/>
        <v>-0.4361786996410052</v>
      </c>
      <c r="T49" s="20"/>
    </row>
    <row r="50" spans="1:21" ht="14.1" customHeight="1" x14ac:dyDescent="0.2">
      <c r="A50" s="53"/>
      <c r="B50" s="442" t="s">
        <v>56</v>
      </c>
      <c r="C50" s="362">
        <f>[3]Republic_UA!$EM$19</f>
        <v>128</v>
      </c>
      <c r="D50" s="39">
        <f t="shared" ref="D50" si="16">C50/$C$57</f>
        <v>4.6752867265687781E-3</v>
      </c>
      <c r="E50" s="9">
        <f>[3]Republic_UA!$DY$19</f>
        <v>0</v>
      </c>
      <c r="F50" s="86" t="e">
        <f t="shared" ref="F50" si="17">(C50-E50)/E50</f>
        <v>#DIV/0!</v>
      </c>
      <c r="G50" s="9">
        <f>SUM([3]Republic_UA!$EL$19:$EM$19)</f>
        <v>128</v>
      </c>
      <c r="H50" s="9">
        <f>SUM([3]Republic_UA!$DX$19:$DY$19)</f>
        <v>0</v>
      </c>
      <c r="I50" s="86" t="e">
        <f t="shared" ref="I50" si="18">(G50-H50)/H50</f>
        <v>#DIV/0!</v>
      </c>
      <c r="J50" s="373"/>
      <c r="K50" s="368" t="s">
        <v>214</v>
      </c>
      <c r="L50" s="362">
        <f>[3]Republic_UA!$EM$41</f>
        <v>6656</v>
      </c>
      <c r="M50" s="39">
        <f t="shared" ref="M50" si="19">L50/$L$57</f>
        <v>2.6059570549553119E-3</v>
      </c>
      <c r="N50" s="9">
        <f>[3]Republic_UA!$DY$41</f>
        <v>0</v>
      </c>
      <c r="O50" s="86" t="e">
        <f t="shared" ref="O50" si="20">(L50-N50)/N50</f>
        <v>#DIV/0!</v>
      </c>
      <c r="P50" s="9">
        <f>SUM([3]Republic_UA!$EL$41:$EM$41)</f>
        <v>6656</v>
      </c>
      <c r="Q50" s="9">
        <f>SUM([3]Republic_UA!$DX$41:$DY$41)</f>
        <v>0</v>
      </c>
      <c r="R50" s="86" t="e">
        <f t="shared" si="15"/>
        <v>#DIV/0!</v>
      </c>
      <c r="T50" s="20"/>
    </row>
    <row r="51" spans="1:21" s="7" customFormat="1" ht="14.1" customHeight="1" x14ac:dyDescent="0.2">
      <c r="A51" s="373"/>
      <c r="B51" s="366" t="s">
        <v>104</v>
      </c>
      <c r="C51" s="362">
        <f>'[3]Sky West_UA'!$EM$19</f>
        <v>362</v>
      </c>
      <c r="D51" s="39">
        <f>C51/$C$57</f>
        <v>1.3222295273577324E-2</v>
      </c>
      <c r="E51" s="9">
        <f>'[3]Sky West_UA'!$DY$19+'[3]Sky West_CO'!$DY$19</f>
        <v>312</v>
      </c>
      <c r="F51" s="86">
        <f t="shared" si="12"/>
        <v>0.16025641025641027</v>
      </c>
      <c r="G51" s="9">
        <f>SUM('[3]Sky West_UA'!$EL$19:$EM$19)</f>
        <v>362</v>
      </c>
      <c r="H51" s="9">
        <f>SUM('[3]Sky West_UA'!$DX$19:$DY$19)+SUM('[3]Sky West_CO'!$DX$19:$DY$19)</f>
        <v>602</v>
      </c>
      <c r="I51" s="86">
        <f t="shared" si="13"/>
        <v>-0.39867109634551495</v>
      </c>
      <c r="J51" s="373"/>
      <c r="K51" s="366" t="s">
        <v>104</v>
      </c>
      <c r="L51" s="362">
        <f>'[3]Sky West_UA'!$EM$41</f>
        <v>23445</v>
      </c>
      <c r="M51" s="39">
        <f>L51/$L$57</f>
        <v>9.1791861708875131E-3</v>
      </c>
      <c r="N51" s="9">
        <f>'[3]Sky West_UA'!$DY$41+'[3]Sky West_CO'!$DY$41</f>
        <v>19618</v>
      </c>
      <c r="O51" s="86">
        <f t="shared" si="14"/>
        <v>0.19507595065755939</v>
      </c>
      <c r="P51" s="9">
        <f>SUM('[3]Sky West_UA'!$EL$41:$EM$41)</f>
        <v>23445</v>
      </c>
      <c r="Q51" s="9">
        <f>SUM('[3]Sky West_UA'!$DX$41:$DY$41)+SUM('[3]Sky West_CO'!$DX$41:$DY$41)</f>
        <v>37967</v>
      </c>
      <c r="R51" s="86">
        <f t="shared" si="15"/>
        <v>-0.3824900571548977</v>
      </c>
      <c r="T51" s="20"/>
    </row>
    <row r="52" spans="1:21" s="7" customFormat="1" ht="14.1" customHeight="1" x14ac:dyDescent="0.2">
      <c r="A52" s="373"/>
      <c r="B52" s="368" t="s">
        <v>139</v>
      </c>
      <c r="C52" s="362">
        <f>'[3]Shuttle America'!$EM$19</f>
        <v>176</v>
      </c>
      <c r="D52" s="39">
        <f>C52/$C$57</f>
        <v>6.4285192490320699E-3</v>
      </c>
      <c r="E52" s="9">
        <f>'[3]Shuttle America'!$DY$19</f>
        <v>208</v>
      </c>
      <c r="F52" s="86">
        <f t="shared" si="12"/>
        <v>-0.15384615384615385</v>
      </c>
      <c r="G52" s="9">
        <f>SUM('[3]Shuttle America'!$EL$19:$EM$19)</f>
        <v>176</v>
      </c>
      <c r="H52" s="9">
        <f>SUM('[3]Shuttle America'!$DX$19:$DY$19)</f>
        <v>472</v>
      </c>
      <c r="I52" s="86">
        <f t="shared" si="13"/>
        <v>-0.6271186440677966</v>
      </c>
      <c r="J52" s="373"/>
      <c r="K52" s="368" t="s">
        <v>139</v>
      </c>
      <c r="L52" s="362">
        <f>'[3]Shuttle America'!$EM$41</f>
        <v>9540</v>
      </c>
      <c r="M52" s="39">
        <f>L52/$L$57</f>
        <v>3.7351007067718866E-3</v>
      </c>
      <c r="N52" s="9">
        <f>'[3]Shuttle America'!$DY$41</f>
        <v>11973</v>
      </c>
      <c r="O52" s="86">
        <f t="shared" si="14"/>
        <v>-0.20320721623653221</v>
      </c>
      <c r="P52" s="9">
        <f>SUM('[3]Shuttle America'!$EL$41:$EM$41)</f>
        <v>9540</v>
      </c>
      <c r="Q52" s="9">
        <f>SUM('[3]Shuttle America'!$DX$41:$DY$41)</f>
        <v>27588</v>
      </c>
      <c r="R52" s="86">
        <f t="shared" si="15"/>
        <v>-0.65419747716398435</v>
      </c>
      <c r="T52" s="20"/>
    </row>
    <row r="53" spans="1:21" s="7" customFormat="1" ht="14.1" customHeight="1" thickBot="1" x14ac:dyDescent="0.25">
      <c r="A53" s="373"/>
      <c r="B53" s="368"/>
      <c r="C53" s="374"/>
      <c r="D53" s="375"/>
      <c r="E53" s="376"/>
      <c r="F53" s="377"/>
      <c r="G53" s="378"/>
      <c r="H53" s="378"/>
      <c r="I53" s="377"/>
      <c r="J53" s="449"/>
      <c r="K53" s="450"/>
      <c r="L53" s="374"/>
      <c r="M53" s="375"/>
      <c r="N53" s="378"/>
      <c r="O53" s="377"/>
      <c r="P53" s="378"/>
      <c r="Q53" s="378"/>
      <c r="R53" s="377"/>
      <c r="T53" s="20"/>
    </row>
    <row r="54" spans="1:21" s="229" customFormat="1" ht="14.1" customHeight="1" thickBot="1" x14ac:dyDescent="0.25">
      <c r="B54" s="264"/>
      <c r="C54" s="360"/>
      <c r="D54" s="359"/>
      <c r="E54" s="360"/>
      <c r="F54" s="359"/>
      <c r="G54" s="448"/>
      <c r="H54" s="360"/>
      <c r="I54" s="359"/>
      <c r="J54" s="379"/>
      <c r="K54" s="264"/>
      <c r="L54" s="380"/>
      <c r="M54" s="379"/>
      <c r="N54" s="381"/>
      <c r="O54" s="379"/>
      <c r="P54" s="230"/>
      <c r="Q54" s="230"/>
      <c r="R54" s="230"/>
      <c r="T54" s="228"/>
      <c r="U54"/>
    </row>
    <row r="55" spans="1:21" ht="14.1" customHeight="1" x14ac:dyDescent="0.2">
      <c r="B55" s="382" t="s">
        <v>141</v>
      </c>
      <c r="C55" s="461">
        <f>+C57-C56</f>
        <v>15321</v>
      </c>
      <c r="D55" s="473">
        <f>C55/$C$57</f>
        <v>0.55960990576375191</v>
      </c>
      <c r="E55" s="463">
        <f>+E57-E56</f>
        <v>14055</v>
      </c>
      <c r="F55" s="464">
        <f>(C55-E55)/E55</f>
        <v>9.0074706510138741E-2</v>
      </c>
      <c r="G55" s="461">
        <f>+G57-G56</f>
        <v>31050</v>
      </c>
      <c r="H55" s="463">
        <f>+H57-H56</f>
        <v>28983</v>
      </c>
      <c r="I55" s="470">
        <f>(G55-H55)/H55</f>
        <v>7.1317668978366625E-2</v>
      </c>
      <c r="K55" s="382" t="s">
        <v>141</v>
      </c>
      <c r="L55" s="461">
        <f>+L57-L56</f>
        <v>1955373</v>
      </c>
      <c r="M55" s="462">
        <f>+L55/L57</f>
        <v>0.76556761785143224</v>
      </c>
      <c r="N55" s="463">
        <f>+N57-N56</f>
        <v>1819155</v>
      </c>
      <c r="O55" s="464">
        <f>(L55-N55)/N55</f>
        <v>7.4879820576036676E-2</v>
      </c>
      <c r="P55" s="461">
        <f>+P57-P56</f>
        <v>3926247</v>
      </c>
      <c r="Q55" s="463">
        <f>+Q57-Q56</f>
        <v>3650886</v>
      </c>
      <c r="R55" s="470">
        <f>(P55-Q55)/Q55</f>
        <v>7.5423061689682991E-2</v>
      </c>
    </row>
    <row r="56" spans="1:21" ht="14.1" customHeight="1" x14ac:dyDescent="0.2">
      <c r="B56" s="334" t="s">
        <v>142</v>
      </c>
      <c r="C56" s="465">
        <f>C52+C30+C28+C26+C25+C29+C18+C51+C48+C27+C47+C49+C21+C20+C19+C13+C7+C6+C50</f>
        <v>12057</v>
      </c>
      <c r="D56" s="437">
        <f>C56/$C$57</f>
        <v>0.44039009423624809</v>
      </c>
      <c r="E56" s="383">
        <f>E52+E30+E28+E26+E25+E29+E18+E51+E48+E27+E47+E49+E21+E20+E19+E13+E7+E6+E50</f>
        <v>12556</v>
      </c>
      <c r="F56" s="385">
        <f>(C56-E56)/E56</f>
        <v>-3.9741956036954441E-2</v>
      </c>
      <c r="G56" s="465">
        <f>G52+G30+G28+G26+G25+G29+G18+G51+G48+G27+G47+G49+G21+G20+G19+G13+G7+G6+G50</f>
        <v>25118</v>
      </c>
      <c r="H56" s="383">
        <f>H52+H30+H28+H26+H25+H29+H18+H51+H48+H27+H47+H49+H21+H20+H19+H13+H7+H6+H50</f>
        <v>26565</v>
      </c>
      <c r="I56" s="471">
        <f>(G56-H56)/H56</f>
        <v>-5.4470167513645772E-2</v>
      </c>
      <c r="K56" s="334" t="s">
        <v>142</v>
      </c>
      <c r="L56" s="465">
        <f>L52+L30+L28+L26+L25+L29+L18+L51+L48+L27+L47+L49+L21+L20+L19+L13+L7+L6+L50</f>
        <v>598775</v>
      </c>
      <c r="M56" s="384">
        <f>+L56/L57</f>
        <v>0.23443238214856774</v>
      </c>
      <c r="N56" s="383">
        <f>N52+N30+N28+N26+N25+N29+N18+N51+N48+N27+N47+N49+N21+N20+N19+N13+N7+N6+N50</f>
        <v>631884</v>
      </c>
      <c r="O56" s="385">
        <f>(L56-N56)/N56</f>
        <v>-5.2397275449291326E-2</v>
      </c>
      <c r="P56" s="465">
        <f>P52+P30+P28+P26+P25+P29+P18+P51+P48+P27+P47+P49+P21+P20+P19+P13+P7+P6+P50</f>
        <v>1237475</v>
      </c>
      <c r="Q56" s="383">
        <f>Q52+Q30+Q28+Q26+Q25+Q29+Q18+Q51+Q48+Q27+Q47+Q49+Q21+Q20+Q19+Q13+Q7+Q6+Q50</f>
        <v>1305847</v>
      </c>
      <c r="R56" s="471">
        <f>(P56-Q56)/Q56</f>
        <v>-5.2358354386080455E-2</v>
      </c>
    </row>
    <row r="57" spans="1:21" ht="14.1" customHeight="1" thickBot="1" x14ac:dyDescent="0.25">
      <c r="B57" s="334" t="s">
        <v>143</v>
      </c>
      <c r="C57" s="466">
        <f>C45+C43+C38+C36+C32+C23+C15+C11+C4+C34+C41</f>
        <v>27378</v>
      </c>
      <c r="D57" s="474">
        <f>+C57/C57</f>
        <v>1</v>
      </c>
      <c r="E57" s="468">
        <f>E45+E43+E38+E36+E32+E23+E15+E11+E4+E34+E41</f>
        <v>26611</v>
      </c>
      <c r="F57" s="469">
        <f>(C57-E57)/E57</f>
        <v>2.8822667318026379E-2</v>
      </c>
      <c r="G57" s="466">
        <f>G45+G43+G38+G36+G32+G23+G15+G11+G4+G34+G41</f>
        <v>56168</v>
      </c>
      <c r="H57" s="468">
        <f>H45+H43+H38+H36+H32+H23+H15+H11+H4+H34+H41</f>
        <v>55548</v>
      </c>
      <c r="I57" s="472">
        <f>(G57-H57)/H57</f>
        <v>1.1161517966443437E-2</v>
      </c>
      <c r="K57" s="334" t="s">
        <v>143</v>
      </c>
      <c r="L57" s="466">
        <f>L45+L43+L38+L36+L32+L23+L15+L11+L4+L34+L41</f>
        <v>2554148</v>
      </c>
      <c r="M57" s="467">
        <f>+L57/L57</f>
        <v>1</v>
      </c>
      <c r="N57" s="468">
        <f>N45+N43+N38+N36+N32+N23+N15+N11+N4+N34+N41</f>
        <v>2451039</v>
      </c>
      <c r="O57" s="469">
        <f>(L57-N57)/N57</f>
        <v>4.2067466082751026E-2</v>
      </c>
      <c r="P57" s="466">
        <f>P45+P43+P38+P36+P32+P23+P15+P11+P4+P34+P41</f>
        <v>5163722</v>
      </c>
      <c r="Q57" s="468">
        <f>Q45+Q43+Q38+Q36+Q32+Q23+Q15+Q11+Q4+Q34+Q41</f>
        <v>4956733</v>
      </c>
      <c r="R57" s="472">
        <f>(P57-Q57)/Q57</f>
        <v>4.1759158703928573E-2</v>
      </c>
    </row>
    <row r="58" spans="1:21" x14ac:dyDescent="0.2">
      <c r="B58" s="334"/>
      <c r="F58" s="37"/>
      <c r="G58" s="231"/>
      <c r="H58" s="5"/>
      <c r="I58" s="37"/>
      <c r="K58" s="11"/>
      <c r="L58" s="4"/>
      <c r="M58" s="227"/>
      <c r="N58" s="4"/>
      <c r="O58" s="227"/>
      <c r="P58" s="4"/>
      <c r="Q58" s="7"/>
      <c r="R58" s="7"/>
    </row>
    <row r="59" spans="1:21" x14ac:dyDescent="0.2">
      <c r="B59" s="264"/>
      <c r="D59" s="4"/>
      <c r="E59" s="227"/>
      <c r="F59" s="227"/>
      <c r="G59" s="7"/>
      <c r="H59" s="7"/>
      <c r="I59"/>
      <c r="J59"/>
      <c r="K59"/>
      <c r="M59"/>
      <c r="O59"/>
      <c r="P59" s="2"/>
      <c r="Q59" s="2"/>
    </row>
    <row r="60" spans="1:21" x14ac:dyDescent="0.2">
      <c r="B60" s="334"/>
      <c r="D60" s="4"/>
      <c r="E60" s="427"/>
      <c r="F60" s="227"/>
      <c r="G60" s="4"/>
      <c r="H60" s="4"/>
      <c r="I60"/>
      <c r="J60"/>
      <c r="K60"/>
      <c r="M60"/>
      <c r="O60"/>
      <c r="P60" s="2"/>
      <c r="Q60" s="2"/>
    </row>
    <row r="61" spans="1:21" x14ac:dyDescent="0.2">
      <c r="B61" s="264"/>
      <c r="D61" s="4"/>
      <c r="E61" s="427"/>
      <c r="F61" s="227"/>
      <c r="G61" s="4"/>
      <c r="H61" s="4"/>
      <c r="I61"/>
      <c r="J61"/>
      <c r="K61"/>
      <c r="L61"/>
      <c r="M61"/>
      <c r="O61"/>
      <c r="P61" s="422"/>
    </row>
    <row r="62" spans="1:21" x14ac:dyDescent="0.2">
      <c r="D62" s="4"/>
      <c r="E62" s="227"/>
      <c r="F62" s="227"/>
      <c r="G62" s="4"/>
      <c r="H62" s="7"/>
      <c r="I62"/>
      <c r="J62"/>
      <c r="K62"/>
      <c r="L62"/>
      <c r="M62"/>
      <c r="N62"/>
      <c r="O62"/>
      <c r="P62" s="130"/>
    </row>
    <row r="63" spans="1:21" x14ac:dyDescent="0.2">
      <c r="D63" s="4"/>
      <c r="E63" s="227"/>
      <c r="F63" s="227"/>
      <c r="G63" s="4"/>
      <c r="H63" s="7"/>
      <c r="I63"/>
      <c r="J63"/>
      <c r="K63"/>
      <c r="M63"/>
      <c r="N63"/>
      <c r="O63"/>
    </row>
    <row r="64" spans="1:21" x14ac:dyDescent="0.2">
      <c r="D64" s="4"/>
      <c r="E64" s="3"/>
      <c r="G64" s="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F134" s="37"/>
      <c r="G134" s="231"/>
      <c r="H134" s="5"/>
      <c r="I134" s="37"/>
      <c r="K134" s="11"/>
    </row>
    <row r="135" spans="4:15" x14ac:dyDescent="0.2">
      <c r="F135" s="37"/>
      <c r="G135" s="231"/>
      <c r="H135" s="5"/>
      <c r="I135" s="37"/>
      <c r="K135" s="11"/>
    </row>
    <row r="136" spans="4:15" x14ac:dyDescent="0.2">
      <c r="F136" s="37"/>
      <c r="G136" s="231"/>
      <c r="H136" s="5"/>
      <c r="I136" s="37"/>
      <c r="K136" s="11"/>
    </row>
    <row r="137" spans="4:15" x14ac:dyDescent="0.2">
      <c r="F137" s="37"/>
      <c r="G137" s="231"/>
      <c r="H137" s="5"/>
      <c r="I137" s="37"/>
      <c r="K137" s="11"/>
    </row>
    <row r="138" spans="4:15" x14ac:dyDescent="0.2">
      <c r="F138" s="37"/>
      <c r="G138" s="231"/>
      <c r="H138" s="5"/>
      <c r="I138" s="37"/>
      <c r="K138" s="11"/>
    </row>
    <row r="139" spans="4:15" x14ac:dyDescent="0.2">
      <c r="F139" s="37"/>
      <c r="G139" s="231"/>
      <c r="H139" s="5"/>
      <c r="I139" s="37"/>
      <c r="K139" s="11"/>
    </row>
    <row r="140" spans="4:15" x14ac:dyDescent="0.2">
      <c r="F140" s="37"/>
      <c r="G140" s="231"/>
      <c r="H140" s="5"/>
      <c r="I140" s="37"/>
      <c r="K140" s="11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G1187" s="231"/>
      <c r="H1187" s="5"/>
      <c r="I1187" s="37"/>
      <c r="K1187" s="11"/>
    </row>
    <row r="1188" spans="6:11" x14ac:dyDescent="0.2">
      <c r="G1188" s="231"/>
      <c r="H1188" s="5"/>
      <c r="I1188" s="37"/>
      <c r="K1188" s="11"/>
    </row>
    <row r="1189" spans="6:11" x14ac:dyDescent="0.2">
      <c r="G1189" s="231"/>
      <c r="H1189" s="5"/>
      <c r="I1189" s="37"/>
      <c r="K1189" s="11"/>
    </row>
    <row r="1190" spans="6:11" x14ac:dyDescent="0.2">
      <c r="G1190" s="231"/>
      <c r="H1190" s="5"/>
      <c r="I1190" s="37"/>
      <c r="K1190" s="11"/>
    </row>
    <row r="1191" spans="6:11" x14ac:dyDescent="0.2">
      <c r="G1191" s="231"/>
      <c r="H1191" s="5"/>
      <c r="I1191" s="37"/>
      <c r="K1191" s="11"/>
    </row>
    <row r="1192" spans="6:11" x14ac:dyDescent="0.2">
      <c r="G1192" s="231"/>
      <c r="H1192" s="5"/>
      <c r="I1192" s="37"/>
      <c r="K1192" s="11"/>
    </row>
    <row r="1193" spans="6:11" x14ac:dyDescent="0.2"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February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C14" sqref="C1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90">
        <v>42401</v>
      </c>
      <c r="B1" s="458" t="s">
        <v>19</v>
      </c>
      <c r="C1" s="458" t="s">
        <v>20</v>
      </c>
      <c r="D1" s="458" t="s">
        <v>21</v>
      </c>
      <c r="E1" s="458" t="s">
        <v>167</v>
      </c>
      <c r="F1" s="458" t="s">
        <v>182</v>
      </c>
      <c r="G1" s="458" t="s">
        <v>168</v>
      </c>
      <c r="H1" s="458" t="s">
        <v>23</v>
      </c>
      <c r="I1" s="459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[3]American!$EM$22</f>
        <v>82941</v>
      </c>
      <c r="C4" s="21">
        <f>[3]Delta!$EM$22+[3]Delta!$EM$32</f>
        <v>630568</v>
      </c>
      <c r="D4" s="21">
        <f>[3]United!$EM$22</f>
        <v>28147</v>
      </c>
      <c r="E4" s="21">
        <f>[3]Spirit!$EM$22</f>
        <v>45822</v>
      </c>
      <c r="F4" s="21">
        <f>[3]Condor!$EM$22</f>
        <v>0</v>
      </c>
      <c r="G4" s="21">
        <f>'[3]Air France'!$EM$22</f>
        <v>0</v>
      </c>
      <c r="H4" s="21">
        <f>'Other Major Airline Stats'!H5</f>
        <v>184396</v>
      </c>
      <c r="I4" s="286">
        <f>SUM(B4:H4)</f>
        <v>971874</v>
      </c>
    </row>
    <row r="5" spans="1:18" x14ac:dyDescent="0.2">
      <c r="A5" s="62" t="s">
        <v>34</v>
      </c>
      <c r="B5" s="14">
        <f>[3]American!$EM$23</f>
        <v>82467</v>
      </c>
      <c r="C5" s="14">
        <f>[3]Delta!$EM$23+[3]Delta!$EM$33</f>
        <v>636284</v>
      </c>
      <c r="D5" s="14">
        <f>[3]United!$EM$23</f>
        <v>27997</v>
      </c>
      <c r="E5" s="14">
        <f>[3]Spirit!$EM$23</f>
        <v>46517</v>
      </c>
      <c r="F5" s="14">
        <f>[3]Condor!$EM$23</f>
        <v>0</v>
      </c>
      <c r="G5" s="14">
        <f>'[3]Air France'!$EM$23</f>
        <v>0</v>
      </c>
      <c r="H5" s="14">
        <f>'Other Major Airline Stats'!H6</f>
        <v>190234</v>
      </c>
      <c r="I5" s="287">
        <f>SUM(B5:H5)</f>
        <v>983499</v>
      </c>
      <c r="K5" s="314"/>
      <c r="L5" s="314"/>
      <c r="M5" s="314"/>
      <c r="N5" s="314"/>
      <c r="O5" s="314"/>
      <c r="P5" s="314"/>
      <c r="Q5" s="314"/>
      <c r="R5" s="314"/>
    </row>
    <row r="6" spans="1:18" ht="15" x14ac:dyDescent="0.25">
      <c r="A6" s="60" t="s">
        <v>7</v>
      </c>
      <c r="B6" s="34">
        <f t="shared" ref="B6:H6" si="0">SUM(B4:B5)</f>
        <v>165408</v>
      </c>
      <c r="C6" s="34">
        <f t="shared" si="0"/>
        <v>1266852</v>
      </c>
      <c r="D6" s="34">
        <f t="shared" si="0"/>
        <v>56144</v>
      </c>
      <c r="E6" s="34">
        <f t="shared" si="0"/>
        <v>92339</v>
      </c>
      <c r="F6" s="34">
        <f t="shared" ref="F6:G6" si="1">SUM(F4:F5)</f>
        <v>0</v>
      </c>
      <c r="G6" s="34">
        <f t="shared" si="1"/>
        <v>0</v>
      </c>
      <c r="H6" s="34">
        <f t="shared" si="0"/>
        <v>374630</v>
      </c>
      <c r="I6" s="288">
        <f>SUM(B6:H6)</f>
        <v>1955373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[3]American!$EM$27</f>
        <v>2823</v>
      </c>
      <c r="C9" s="21">
        <f>[3]Delta!$EM$27+[3]Delta!$EM$37</f>
        <v>26313</v>
      </c>
      <c r="D9" s="21">
        <f>[3]United!$EM$27</f>
        <v>959</v>
      </c>
      <c r="E9" s="21">
        <f>[3]Spirit!$EM$27</f>
        <v>309</v>
      </c>
      <c r="F9" s="21">
        <f>[3]Condor!$EM$27</f>
        <v>0</v>
      </c>
      <c r="G9" s="21">
        <f>'[3]Air France'!$EM$27</f>
        <v>0</v>
      </c>
      <c r="H9" s="21">
        <f>'Other Major Airline Stats'!H10</f>
        <v>3141</v>
      </c>
      <c r="I9" s="286">
        <f>SUM(B9:H9)</f>
        <v>33545</v>
      </c>
    </row>
    <row r="10" spans="1:18" x14ac:dyDescent="0.2">
      <c r="A10" s="62" t="s">
        <v>36</v>
      </c>
      <c r="B10" s="14">
        <f>[3]American!$EM$28</f>
        <v>2915</v>
      </c>
      <c r="C10" s="14">
        <f>[3]Delta!$EM$28+[3]Delta!$EM$38</f>
        <v>25522</v>
      </c>
      <c r="D10" s="14">
        <f>[3]United!$EM$28</f>
        <v>1126</v>
      </c>
      <c r="E10" s="14">
        <f>[3]Spirit!$EM$28</f>
        <v>309</v>
      </c>
      <c r="F10" s="14">
        <f>[3]Condor!$EM$28</f>
        <v>0</v>
      </c>
      <c r="G10" s="14">
        <f>'[3]Air France'!$EM$28</f>
        <v>0</v>
      </c>
      <c r="H10" s="14">
        <f>'Other Major Airline Stats'!H11</f>
        <v>3207</v>
      </c>
      <c r="I10" s="287">
        <f>SUM(B10:H10)</f>
        <v>33079</v>
      </c>
    </row>
    <row r="11" spans="1:18" ht="15.75" thickBot="1" x14ac:dyDescent="0.3">
      <c r="A11" s="63" t="s">
        <v>37</v>
      </c>
      <c r="B11" s="289">
        <f t="shared" ref="B11:H11" si="2">SUM(B9:B10)</f>
        <v>5738</v>
      </c>
      <c r="C11" s="289">
        <f t="shared" si="2"/>
        <v>51835</v>
      </c>
      <c r="D11" s="289">
        <f t="shared" si="2"/>
        <v>2085</v>
      </c>
      <c r="E11" s="289">
        <f t="shared" si="2"/>
        <v>618</v>
      </c>
      <c r="F11" s="289">
        <f t="shared" ref="F11:G11" si="3">SUM(F9:F10)</f>
        <v>0</v>
      </c>
      <c r="G11" s="289">
        <f t="shared" si="3"/>
        <v>0</v>
      </c>
      <c r="H11" s="289">
        <f t="shared" si="2"/>
        <v>6348</v>
      </c>
      <c r="I11" s="290">
        <f>SUM(B11:H11)</f>
        <v>66624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[3]American!$EM$4</f>
        <v>674</v>
      </c>
      <c r="C15" s="21">
        <f>[3]Delta!$EM$4+[3]Delta!$EM$15</f>
        <v>4760</v>
      </c>
      <c r="D15" s="21">
        <f>[3]United!$EM$4</f>
        <v>238</v>
      </c>
      <c r="E15" s="21">
        <f>[3]Spirit!$EM$4</f>
        <v>306</v>
      </c>
      <c r="F15" s="21">
        <f>[3]Condor!$EM$4</f>
        <v>0</v>
      </c>
      <c r="G15" s="21">
        <f>'[3]Air France'!$EM$4</f>
        <v>0</v>
      </c>
      <c r="H15" s="21">
        <f>'Other Major Airline Stats'!H16</f>
        <v>1632</v>
      </c>
      <c r="I15" s="27">
        <f>SUM(B15:H15)</f>
        <v>7610</v>
      </c>
    </row>
    <row r="16" spans="1:18" x14ac:dyDescent="0.2">
      <c r="A16" s="62" t="s">
        <v>26</v>
      </c>
      <c r="B16" s="14">
        <f>[3]American!$EM$5</f>
        <v>674</v>
      </c>
      <c r="C16" s="14">
        <f>[3]Delta!$EM$5+[3]Delta!$EM$16</f>
        <v>4747</v>
      </c>
      <c r="D16" s="14">
        <f>[3]United!$EM$5</f>
        <v>238</v>
      </c>
      <c r="E16" s="14">
        <f>[3]Spirit!$EM$5</f>
        <v>306</v>
      </c>
      <c r="F16" s="14">
        <f>[3]Condor!$EM$5</f>
        <v>0</v>
      </c>
      <c r="G16" s="14">
        <f>'[3]Air France'!$EM$5</f>
        <v>0</v>
      </c>
      <c r="H16" s="14">
        <f>'Other Major Airline Stats'!H17</f>
        <v>1628</v>
      </c>
      <c r="I16" s="33">
        <f>SUM(B16:H16)</f>
        <v>7593</v>
      </c>
    </row>
    <row r="17" spans="1:9" x14ac:dyDescent="0.2">
      <c r="A17" s="62" t="s">
        <v>27</v>
      </c>
      <c r="B17" s="293">
        <f t="shared" ref="B17:H17" si="4">SUM(B15:B16)</f>
        <v>1348</v>
      </c>
      <c r="C17" s="291">
        <f t="shared" si="4"/>
        <v>9507</v>
      </c>
      <c r="D17" s="291">
        <f t="shared" si="4"/>
        <v>476</v>
      </c>
      <c r="E17" s="291">
        <f t="shared" si="4"/>
        <v>612</v>
      </c>
      <c r="F17" s="291">
        <f t="shared" ref="F17:G17" si="5">SUM(F15:F16)</f>
        <v>0</v>
      </c>
      <c r="G17" s="291">
        <f t="shared" si="5"/>
        <v>0</v>
      </c>
      <c r="H17" s="291">
        <f t="shared" si="4"/>
        <v>3260</v>
      </c>
      <c r="I17" s="292">
        <f>SUM(B17:H17)</f>
        <v>15203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[3]American!$EM$8</f>
        <v>0</v>
      </c>
      <c r="C19" s="21">
        <f>[3]Delta!$EM$8</f>
        <v>2</v>
      </c>
      <c r="D19" s="21">
        <f>[3]United!$EM$8</f>
        <v>0</v>
      </c>
      <c r="E19" s="21">
        <f>[3]Spirit!$EM$8</f>
        <v>0</v>
      </c>
      <c r="F19" s="21">
        <f>[3]Condor!$EM$8</f>
        <v>0</v>
      </c>
      <c r="G19" s="21">
        <f>'[3]Air France'!$EM$8</f>
        <v>0</v>
      </c>
      <c r="H19" s="21">
        <f>'Other Major Airline Stats'!H20</f>
        <v>52</v>
      </c>
      <c r="I19" s="27">
        <f>SUM(B19:H19)</f>
        <v>54</v>
      </c>
    </row>
    <row r="20" spans="1:9" x14ac:dyDescent="0.2">
      <c r="A20" s="62" t="s">
        <v>29</v>
      </c>
      <c r="B20" s="14">
        <f>[3]American!$EM$9</f>
        <v>0</v>
      </c>
      <c r="C20" s="14">
        <f>[3]Delta!$EM$9</f>
        <v>13</v>
      </c>
      <c r="D20" s="14">
        <f>[3]United!$EM$9</f>
        <v>0</v>
      </c>
      <c r="E20" s="14">
        <f>[3]Spirit!$EM$9</f>
        <v>0</v>
      </c>
      <c r="F20" s="14">
        <f>[3]Condor!$EM$9</f>
        <v>0</v>
      </c>
      <c r="G20" s="14">
        <f>'[3]Air France'!$EM$9</f>
        <v>0</v>
      </c>
      <c r="H20" s="14">
        <f>'Other Major Airline Stats'!H21</f>
        <v>51</v>
      </c>
      <c r="I20" s="33">
        <f>SUM(B20:H20)</f>
        <v>64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15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103</v>
      </c>
      <c r="I21" s="176">
        <f>SUM(B21:H21)</f>
        <v>118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1348</v>
      </c>
      <c r="C23" s="28">
        <f t="shared" si="8"/>
        <v>9522</v>
      </c>
      <c r="D23" s="28">
        <f t="shared" si="8"/>
        <v>476</v>
      </c>
      <c r="E23" s="28">
        <f>E17+E21</f>
        <v>612</v>
      </c>
      <c r="F23" s="28">
        <f t="shared" ref="F23:G23" si="9">F17+F21</f>
        <v>0</v>
      </c>
      <c r="G23" s="28">
        <f t="shared" si="9"/>
        <v>0</v>
      </c>
      <c r="H23" s="28">
        <f t="shared" si="8"/>
        <v>3363</v>
      </c>
      <c r="I23" s="29">
        <f>SUM(B23:H23)</f>
        <v>15321</v>
      </c>
    </row>
    <row r="25" spans="1:9" ht="13.5" thickBot="1" x14ac:dyDescent="0.25">
      <c r="B25" s="426"/>
      <c r="C25" s="426"/>
      <c r="D25" s="426"/>
      <c r="E25" s="426"/>
      <c r="F25" s="426"/>
      <c r="G25" s="426"/>
      <c r="H25" s="426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[3]American!$EM$47</f>
        <v>33848</v>
      </c>
      <c r="C28" s="21">
        <f>[3]Delta!$EM$47</f>
        <v>3813161</v>
      </c>
      <c r="D28" s="21">
        <f>[3]United!$EM$47</f>
        <v>13831</v>
      </c>
      <c r="E28" s="21">
        <f>[3]Spirit!$EM$47</f>
        <v>0</v>
      </c>
      <c r="F28" s="21">
        <f>[3]Condor!$EM$47</f>
        <v>0</v>
      </c>
      <c r="G28" s="21">
        <f>'[3]Air France'!$EM$47</f>
        <v>0</v>
      </c>
      <c r="H28" s="21">
        <f>'Other Major Airline Stats'!H28</f>
        <v>253266</v>
      </c>
      <c r="I28" s="27">
        <f>SUM(B28:H28)</f>
        <v>4114106</v>
      </c>
    </row>
    <row r="29" spans="1:9" x14ac:dyDescent="0.2">
      <c r="A29" s="62" t="s">
        <v>41</v>
      </c>
      <c r="B29" s="14">
        <f>[3]American!$EM$48</f>
        <v>28868</v>
      </c>
      <c r="C29" s="14">
        <f>[3]Delta!$EM$48</f>
        <v>781962</v>
      </c>
      <c r="D29" s="14">
        <f>[3]United!$EM$48</f>
        <v>125342</v>
      </c>
      <c r="E29" s="14">
        <f>[3]Spirit!$EM$48</f>
        <v>0</v>
      </c>
      <c r="F29" s="14">
        <f>[3]Condor!$EM$48</f>
        <v>0</v>
      </c>
      <c r="G29" s="14">
        <f>'[3]Air France'!$EM$48</f>
        <v>0</v>
      </c>
      <c r="H29" s="14">
        <f>'Other Major Airline Stats'!H29</f>
        <v>165668</v>
      </c>
      <c r="I29" s="33">
        <f>SUM(B29:H29)</f>
        <v>1101840</v>
      </c>
    </row>
    <row r="30" spans="1:9" x14ac:dyDescent="0.2">
      <c r="A30" s="66" t="s">
        <v>42</v>
      </c>
      <c r="B30" s="293">
        <f t="shared" ref="B30:H30" si="10">SUM(B28:B29)</f>
        <v>62716</v>
      </c>
      <c r="C30" s="293">
        <f t="shared" si="10"/>
        <v>4595123</v>
      </c>
      <c r="D30" s="293">
        <f t="shared" si="10"/>
        <v>139173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0</v>
      </c>
      <c r="H30" s="293">
        <f t="shared" si="10"/>
        <v>418934</v>
      </c>
      <c r="I30" s="27">
        <f>SUM(B30:H30)</f>
        <v>5215946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[3]American!$EM$52</f>
        <v>12333</v>
      </c>
      <c r="C33" s="21">
        <f>[3]Delta!$EM$52</f>
        <v>3143777</v>
      </c>
      <c r="D33" s="21">
        <f>[3]United!$EM$52</f>
        <v>3421</v>
      </c>
      <c r="E33" s="21">
        <f>[3]Spirit!$EM$52</f>
        <v>0</v>
      </c>
      <c r="F33" s="21">
        <f>[3]Condor!$EM$52</f>
        <v>0</v>
      </c>
      <c r="G33" s="21">
        <f>'[3]Air France'!$EM$52</f>
        <v>0</v>
      </c>
      <c r="H33" s="21">
        <f>'Other Major Airline Stats'!H33</f>
        <v>186637</v>
      </c>
      <c r="I33" s="27">
        <f t="shared" si="12"/>
        <v>3346168</v>
      </c>
    </row>
    <row r="34" spans="1:9" x14ac:dyDescent="0.2">
      <c r="A34" s="62" t="s">
        <v>41</v>
      </c>
      <c r="B34" s="14">
        <f>[3]American!$EM$53</f>
        <v>63075</v>
      </c>
      <c r="C34" s="14">
        <f>[3]Delta!$EM$53</f>
        <v>113884</v>
      </c>
      <c r="D34" s="14">
        <f>[3]United!$EM$53</f>
        <v>116119</v>
      </c>
      <c r="E34" s="14">
        <f>[3]Spirit!$EM$53</f>
        <v>0</v>
      </c>
      <c r="F34" s="14">
        <f>[3]Condor!$EM$53</f>
        <v>0</v>
      </c>
      <c r="G34" s="14">
        <f>'[3]Air France'!$EM$53</f>
        <v>0</v>
      </c>
      <c r="H34" s="14">
        <f>'Other Major Airline Stats'!H34</f>
        <v>416171</v>
      </c>
      <c r="I34" s="33">
        <f t="shared" si="12"/>
        <v>709249</v>
      </c>
    </row>
    <row r="35" spans="1:9" x14ac:dyDescent="0.2">
      <c r="A35" s="66" t="s">
        <v>44</v>
      </c>
      <c r="B35" s="293">
        <f t="shared" ref="B35:H35" si="13">SUM(B33:B34)</f>
        <v>75408</v>
      </c>
      <c r="C35" s="293">
        <f t="shared" si="13"/>
        <v>3257661</v>
      </c>
      <c r="D35" s="293">
        <f t="shared" si="13"/>
        <v>119540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0</v>
      </c>
      <c r="H35" s="293">
        <f t="shared" si="13"/>
        <v>602808</v>
      </c>
      <c r="I35" s="27">
        <f t="shared" si="12"/>
        <v>4055417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[3]American!$EM$57</f>
        <v>0</v>
      </c>
      <c r="C38" s="21">
        <f>[3]Delta!$EM$57</f>
        <v>0</v>
      </c>
      <c r="D38" s="21">
        <f>[3]United!$EM$57</f>
        <v>0</v>
      </c>
      <c r="E38" s="21">
        <f>[3]Spirit!$EM$57</f>
        <v>0</v>
      </c>
      <c r="F38" s="21">
        <f>[3]Condor!$EM$57</f>
        <v>0</v>
      </c>
      <c r="G38" s="21">
        <f>'[3]Air France'!$EM$57</f>
        <v>0</v>
      </c>
      <c r="H38" s="21">
        <f>'Other Major Airline Stats'!H38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[3]American!$EM$58</f>
        <v>0</v>
      </c>
      <c r="C39" s="14">
        <f>[3]Delta!$EM$58</f>
        <v>0</v>
      </c>
      <c r="D39" s="14">
        <f>[3]United!$EM$58</f>
        <v>0</v>
      </c>
      <c r="E39" s="14">
        <f>[3]Spirit!$EM$58</f>
        <v>0</v>
      </c>
      <c r="F39" s="14">
        <f>[3]Condor!$EM$58</f>
        <v>0</v>
      </c>
      <c r="G39" s="14">
        <f>'[3]Air France'!$EM$58</f>
        <v>0</v>
      </c>
      <c r="H39" s="14">
        <f>'Other Major Airline Stats'!H39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46181</v>
      </c>
      <c r="C43" s="21">
        <f t="shared" si="17"/>
        <v>6956938</v>
      </c>
      <c r="D43" s="21">
        <f t="shared" si="17"/>
        <v>17252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439903</v>
      </c>
      <c r="I43" s="27">
        <f>SUM(B43:H43)</f>
        <v>7460274</v>
      </c>
    </row>
    <row r="44" spans="1:9" x14ac:dyDescent="0.2">
      <c r="A44" s="62" t="s">
        <v>41</v>
      </c>
      <c r="B44" s="14">
        <f t="shared" si="17"/>
        <v>91943</v>
      </c>
      <c r="C44" s="14">
        <f t="shared" si="17"/>
        <v>895846</v>
      </c>
      <c r="D44" s="14">
        <f t="shared" si="17"/>
        <v>241461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581839</v>
      </c>
      <c r="I44" s="27">
        <f>SUM(B44:H44)</f>
        <v>1811089</v>
      </c>
    </row>
    <row r="45" spans="1:9" ht="15.75" thickBot="1" x14ac:dyDescent="0.3">
      <c r="A45" s="63" t="s">
        <v>49</v>
      </c>
      <c r="B45" s="294">
        <f t="shared" ref="B45:H45" si="20">SUM(B43:B44)</f>
        <v>138124</v>
      </c>
      <c r="C45" s="294">
        <f t="shared" si="20"/>
        <v>7852784</v>
      </c>
      <c r="D45" s="294">
        <f t="shared" si="20"/>
        <v>258713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0</v>
      </c>
      <c r="H45" s="294">
        <f t="shared" si="20"/>
        <v>1021742</v>
      </c>
      <c r="I45" s="295">
        <f>SUM(B45:H45)</f>
        <v>9271363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6" t="s">
        <v>128</v>
      </c>
      <c r="C47" s="324">
        <f>[3]Delta!$EM$70+[3]Delta!$EM$73</f>
        <v>327050</v>
      </c>
      <c r="D47" s="311"/>
      <c r="E47" s="311"/>
      <c r="F47" s="311"/>
      <c r="G47" s="311"/>
      <c r="H47" s="311"/>
      <c r="I47" s="312">
        <f>SUM(B47:H47)</f>
        <v>327050</v>
      </c>
    </row>
    <row r="48" spans="1:9" hidden="1" x14ac:dyDescent="0.2">
      <c r="A48" s="387" t="s">
        <v>129</v>
      </c>
      <c r="C48" s="324">
        <f>[3]Delta!$EM$71+[3]Delta!$EM$74</f>
        <v>309234</v>
      </c>
      <c r="D48" s="311"/>
      <c r="E48" s="311"/>
      <c r="F48" s="311"/>
      <c r="G48" s="311"/>
      <c r="H48" s="311"/>
      <c r="I48" s="312">
        <f>SUM(B48:H48)</f>
        <v>309234</v>
      </c>
    </row>
    <row r="49" spans="1:9" hidden="1" x14ac:dyDescent="0.2">
      <c r="A49" s="388" t="s">
        <v>130</v>
      </c>
      <c r="C49" s="325">
        <f>SUM(C47:C48)</f>
        <v>636284</v>
      </c>
      <c r="I49" s="312">
        <f>SUM(B49:H49)</f>
        <v>636284</v>
      </c>
    </row>
    <row r="50" spans="1:9" x14ac:dyDescent="0.2">
      <c r="A50" s="386" t="s">
        <v>128</v>
      </c>
      <c r="B50" s="399"/>
      <c r="C50" s="327">
        <f>[3]Delta!$EM$70+[3]Delta!$EM$73</f>
        <v>327050</v>
      </c>
      <c r="D50" s="399"/>
      <c r="E50" s="399"/>
      <c r="F50" s="399"/>
      <c r="G50" s="399"/>
      <c r="H50" s="326">
        <f>'Other Major Airline Stats'!H48</f>
        <v>164723</v>
      </c>
      <c r="I50" s="315">
        <f>SUM(B50:H50)</f>
        <v>491773</v>
      </c>
    </row>
    <row r="51" spans="1:9" x14ac:dyDescent="0.2">
      <c r="A51" s="401" t="s">
        <v>129</v>
      </c>
      <c r="B51" s="399"/>
      <c r="C51" s="327">
        <f>[3]Delta!$EM$71+[3]Delta!$EM$74</f>
        <v>309234</v>
      </c>
      <c r="D51" s="399"/>
      <c r="E51" s="399"/>
      <c r="F51" s="399"/>
      <c r="G51" s="399"/>
      <c r="H51" s="326">
        <f>+'Other Major Airline Stats'!H49</f>
        <v>4912</v>
      </c>
      <c r="I51" s="315">
        <f>SUM(B51:H51)</f>
        <v>314146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U49"/>
  <sheetViews>
    <sheetView zoomScaleNormal="100" workbookViewId="0">
      <selection activeCell="E29" sqref="E2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0.28515625" bestFit="1" customWidth="1"/>
    <col min="5" max="5" width="13.28515625" bestFit="1" customWidth="1"/>
    <col min="6" max="6" width="12.7109375" bestFit="1" customWidth="1"/>
    <col min="7" max="7" width="11.85546875" bestFit="1" customWidth="1"/>
    <col min="8" max="8" width="12.5703125" bestFit="1" customWidth="1"/>
  </cols>
  <sheetData>
    <row r="2" spans="1:11" ht="26.25" thickBot="1" x14ac:dyDescent="0.25">
      <c r="A2" s="390">
        <v>42401</v>
      </c>
      <c r="B2" s="457" t="s">
        <v>50</v>
      </c>
      <c r="C2" s="457" t="s">
        <v>165</v>
      </c>
      <c r="D2" s="457" t="s">
        <v>51</v>
      </c>
      <c r="E2" s="456" t="s">
        <v>136</v>
      </c>
      <c r="F2" s="456" t="s">
        <v>52</v>
      </c>
      <c r="G2" s="456" t="s">
        <v>135</v>
      </c>
      <c r="H2" s="277" t="s">
        <v>65</v>
      </c>
    </row>
    <row r="3" spans="1:11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52"/>
    </row>
    <row r="4" spans="1:11" x14ac:dyDescent="0.2">
      <c r="A4" s="62" t="s">
        <v>32</v>
      </c>
      <c r="B4" s="118"/>
      <c r="C4" s="118"/>
      <c r="D4" s="118"/>
      <c r="E4" s="118"/>
      <c r="F4" s="118"/>
      <c r="G4" s="118"/>
      <c r="H4" s="153"/>
    </row>
    <row r="5" spans="1:11" x14ac:dyDescent="0.2">
      <c r="A5" s="62" t="s">
        <v>33</v>
      </c>
      <c r="B5" s="146">
        <f>[3]Frontier!$EM$22</f>
        <v>11324</v>
      </c>
      <c r="C5" s="146">
        <f>'[3]Great Lakes'!$EM$22</f>
        <v>201</v>
      </c>
      <c r="D5" s="146">
        <f>[3]Icelandair!$EM$32</f>
        <v>0</v>
      </c>
      <c r="E5" s="118">
        <f>[3]Southwest!$EM$22</f>
        <v>69385</v>
      </c>
      <c r="F5" s="118">
        <f>'[3]Sun Country'!$EM$22+'[3]Sun Country'!$EM$32</f>
        <v>94838</v>
      </c>
      <c r="G5" s="118">
        <f>[3]Alaska!$EM$22</f>
        <v>8648</v>
      </c>
      <c r="H5" s="147">
        <f>SUM(B5:G5)</f>
        <v>184396</v>
      </c>
      <c r="K5" s="130"/>
    </row>
    <row r="6" spans="1:11" x14ac:dyDescent="0.2">
      <c r="A6" s="62" t="s">
        <v>34</v>
      </c>
      <c r="B6" s="146">
        <f>[3]Frontier!$EM$23</f>
        <v>11324</v>
      </c>
      <c r="C6" s="146">
        <f>'[3]Great Lakes'!$EM$23</f>
        <v>201</v>
      </c>
      <c r="D6" s="146">
        <f>[3]Icelandair!$EM$33</f>
        <v>0</v>
      </c>
      <c r="E6" s="118">
        <f>[3]Southwest!$EM$23</f>
        <v>69828</v>
      </c>
      <c r="F6" s="118">
        <f>'[3]Sun Country'!$EM$23+'[3]Sun Country'!$EM$33</f>
        <v>99807</v>
      </c>
      <c r="G6" s="118">
        <f>[3]Alaska!$EM$23</f>
        <v>9074</v>
      </c>
      <c r="H6" s="147">
        <f>SUM(B6:G6)</f>
        <v>190234</v>
      </c>
    </row>
    <row r="7" spans="1:11" ht="15" x14ac:dyDescent="0.25">
      <c r="A7" s="60" t="s">
        <v>7</v>
      </c>
      <c r="B7" s="155">
        <f t="shared" ref="B7:G7" si="0">SUM(B5:B6)</f>
        <v>22648</v>
      </c>
      <c r="C7" s="155">
        <f t="shared" si="0"/>
        <v>402</v>
      </c>
      <c r="D7" s="155">
        <f t="shared" si="0"/>
        <v>0</v>
      </c>
      <c r="E7" s="155">
        <f t="shared" si="0"/>
        <v>139213</v>
      </c>
      <c r="F7" s="155">
        <f>SUM(F5:F6)</f>
        <v>194645</v>
      </c>
      <c r="G7" s="155">
        <f t="shared" si="0"/>
        <v>17722</v>
      </c>
      <c r="H7" s="156">
        <f>SUM(B7:G7)</f>
        <v>374630</v>
      </c>
    </row>
    <row r="8" spans="1:11" x14ac:dyDescent="0.2">
      <c r="A8" s="62"/>
      <c r="B8" s="154"/>
      <c r="C8" s="154"/>
      <c r="D8" s="154"/>
      <c r="E8" s="154"/>
      <c r="F8" s="154"/>
      <c r="G8" s="154"/>
      <c r="H8" s="147"/>
    </row>
    <row r="9" spans="1:11" x14ac:dyDescent="0.2">
      <c r="A9" s="62" t="s">
        <v>35</v>
      </c>
      <c r="B9" s="154"/>
      <c r="C9" s="154"/>
      <c r="D9" s="154"/>
      <c r="E9" s="154"/>
      <c r="F9" s="154"/>
      <c r="G9" s="154"/>
      <c r="H9" s="147"/>
    </row>
    <row r="10" spans="1:11" x14ac:dyDescent="0.2">
      <c r="A10" s="62" t="s">
        <v>33</v>
      </c>
      <c r="B10" s="154">
        <f>[3]Frontier!$EM$27</f>
        <v>104</v>
      </c>
      <c r="C10" s="154">
        <f>'[3]Great Lakes'!$EM$27</f>
        <v>33</v>
      </c>
      <c r="D10" s="154">
        <f>[3]Icelandair!$EM$37</f>
        <v>0</v>
      </c>
      <c r="E10" s="154">
        <f>[3]Southwest!$EM$27</f>
        <v>1255</v>
      </c>
      <c r="F10" s="154">
        <f>'[3]Sun Country'!$EM$27+'[3]Sun Country'!$EM$37</f>
        <v>1331</v>
      </c>
      <c r="G10" s="154">
        <f>[3]Alaska!$EM$27</f>
        <v>418</v>
      </c>
      <c r="H10" s="147">
        <f>SUM(B10:G10)</f>
        <v>3141</v>
      </c>
    </row>
    <row r="11" spans="1:11" x14ac:dyDescent="0.2">
      <c r="A11" s="62" t="s">
        <v>36</v>
      </c>
      <c r="B11" s="157">
        <f>[3]Frontier!$EM$28</f>
        <v>104</v>
      </c>
      <c r="C11" s="157">
        <f>'[3]Great Lakes'!$EM$28</f>
        <v>47</v>
      </c>
      <c r="D11" s="157">
        <f>[3]Icelandair!$EM$38</f>
        <v>0</v>
      </c>
      <c r="E11" s="157">
        <f>[3]Southwest!$EM$28</f>
        <v>1299</v>
      </c>
      <c r="F11" s="157">
        <f>'[3]Sun Country'!$EM$28+'[3]Sun Country'!$EM$38</f>
        <v>1321</v>
      </c>
      <c r="G11" s="157">
        <f>[3]Alaska!$EM$28</f>
        <v>436</v>
      </c>
      <c r="H11" s="147">
        <f>SUM(B11:G11)</f>
        <v>3207</v>
      </c>
    </row>
    <row r="12" spans="1:11" ht="15.75" thickBot="1" x14ac:dyDescent="0.3">
      <c r="A12" s="63" t="s">
        <v>37</v>
      </c>
      <c r="B12" s="150">
        <f t="shared" ref="B12:G12" si="1">SUM(B10:B11)</f>
        <v>208</v>
      </c>
      <c r="C12" s="150">
        <f t="shared" si="1"/>
        <v>80</v>
      </c>
      <c r="D12" s="150">
        <f t="shared" si="1"/>
        <v>0</v>
      </c>
      <c r="E12" s="150">
        <f t="shared" si="1"/>
        <v>2554</v>
      </c>
      <c r="F12" s="150">
        <f>SUM(F10:F11)</f>
        <v>2652</v>
      </c>
      <c r="G12" s="150">
        <f t="shared" si="1"/>
        <v>854</v>
      </c>
      <c r="H12" s="158">
        <f>SUM(B12:G12)</f>
        <v>6348</v>
      </c>
      <c r="K12" s="130"/>
    </row>
    <row r="13" spans="1:11" ht="15" x14ac:dyDescent="0.25">
      <c r="A13" s="59"/>
      <c r="B13" s="297"/>
      <c r="C13" s="297"/>
      <c r="D13" s="297"/>
      <c r="E13" s="297"/>
      <c r="F13" s="297"/>
      <c r="G13" s="297"/>
      <c r="H13" s="298"/>
    </row>
    <row r="14" spans="1:11" ht="13.5" thickBot="1" x14ac:dyDescent="0.25"/>
    <row r="15" spans="1:11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5"/>
    </row>
    <row r="16" spans="1:11" x14ac:dyDescent="0.2">
      <c r="A16" s="62" t="s">
        <v>25</v>
      </c>
      <c r="B16" s="146">
        <f>[3]Frontier!$EM$4</f>
        <v>79</v>
      </c>
      <c r="C16" s="146">
        <f>'[3]Great Lakes'!$EM$4</f>
        <v>67</v>
      </c>
      <c r="D16" s="146">
        <f>[3]Icelandair!$EM$15</f>
        <v>0</v>
      </c>
      <c r="E16" s="106">
        <f>[3]Southwest!$EM$4</f>
        <v>617</v>
      </c>
      <c r="F16" s="118">
        <f>'[3]Sun Country'!$EM$4+'[3]Sun Country'!$EM$15</f>
        <v>798</v>
      </c>
      <c r="G16" s="118">
        <f>[3]Alaska!$EM$4</f>
        <v>71</v>
      </c>
      <c r="H16" s="147">
        <f>SUM(B16:G16)</f>
        <v>1632</v>
      </c>
    </row>
    <row r="17" spans="1:255" x14ac:dyDescent="0.2">
      <c r="A17" s="62" t="s">
        <v>26</v>
      </c>
      <c r="B17" s="146">
        <f>[3]Frontier!$EM$5</f>
        <v>79</v>
      </c>
      <c r="C17" s="146">
        <f>'[3]Great Lakes'!$EM$5</f>
        <v>67</v>
      </c>
      <c r="D17" s="146">
        <f>[3]Icelandair!$EM$16</f>
        <v>0</v>
      </c>
      <c r="E17" s="106">
        <f>[3]Southwest!$EM$5</f>
        <v>616</v>
      </c>
      <c r="F17" s="118">
        <f>'[3]Sun Country'!$EM$5+'[3]Sun Country'!$EM$16</f>
        <v>795</v>
      </c>
      <c r="G17" s="118">
        <f>[3]Alaska!$EM$5</f>
        <v>71</v>
      </c>
      <c r="H17" s="147">
        <f>SUM(B17:G17)</f>
        <v>1628</v>
      </c>
    </row>
    <row r="18" spans="1:255" x14ac:dyDescent="0.2">
      <c r="A18" s="66" t="s">
        <v>27</v>
      </c>
      <c r="B18" s="148">
        <f t="shared" ref="B18:G18" si="2">SUM(B16:B17)</f>
        <v>158</v>
      </c>
      <c r="C18" s="148">
        <f t="shared" si="2"/>
        <v>134</v>
      </c>
      <c r="D18" s="148">
        <f t="shared" si="2"/>
        <v>0</v>
      </c>
      <c r="E18" s="148">
        <f t="shared" si="2"/>
        <v>1233</v>
      </c>
      <c r="F18" s="148">
        <f t="shared" si="2"/>
        <v>1593</v>
      </c>
      <c r="G18" s="148">
        <f t="shared" si="2"/>
        <v>142</v>
      </c>
      <c r="H18" s="149">
        <f>SUM(B18:G18)</f>
        <v>3260</v>
      </c>
    </row>
    <row r="19" spans="1:255" x14ac:dyDescent="0.2">
      <c r="A19" s="66"/>
      <c r="B19" s="116"/>
      <c r="C19" s="116"/>
      <c r="D19" s="116"/>
      <c r="E19" s="116"/>
      <c r="F19" s="116"/>
      <c r="G19" s="116"/>
      <c r="H19" s="147"/>
    </row>
    <row r="20" spans="1:255" x14ac:dyDescent="0.2">
      <c r="A20" s="62" t="s">
        <v>28</v>
      </c>
      <c r="B20" s="146">
        <f>[3]Frontier!$EM$8</f>
        <v>0</v>
      </c>
      <c r="C20" s="146">
        <f>'[3]Great Lakes'!$EM$8</f>
        <v>0</v>
      </c>
      <c r="D20" s="146">
        <f>[3]Icelandair!$EM$8</f>
        <v>0</v>
      </c>
      <c r="E20" s="118">
        <f>[3]Southwest!$EM$8</f>
        <v>2</v>
      </c>
      <c r="F20" s="118">
        <f>'[3]Sun Country'!$EM$8</f>
        <v>50</v>
      </c>
      <c r="G20" s="118">
        <f>[3]Alaska!$EM$8</f>
        <v>0</v>
      </c>
      <c r="H20" s="147">
        <f>SUM(B20:G20)</f>
        <v>52</v>
      </c>
    </row>
    <row r="21" spans="1:255" x14ac:dyDescent="0.2">
      <c r="A21" s="62" t="s">
        <v>29</v>
      </c>
      <c r="B21" s="146">
        <f>[3]Frontier!$EM$9</f>
        <v>0</v>
      </c>
      <c r="C21" s="146">
        <f>'[3]Great Lakes'!$EM$9</f>
        <v>0</v>
      </c>
      <c r="D21" s="146">
        <f>[3]Icelandair!$EM$9</f>
        <v>0</v>
      </c>
      <c r="E21" s="118">
        <f>[3]Southwest!$EM$9</f>
        <v>0</v>
      </c>
      <c r="F21" s="118">
        <f>'[3]Sun Country'!$EM$9</f>
        <v>51</v>
      </c>
      <c r="G21" s="118">
        <f>[3]Alaska!$EM$9</f>
        <v>0</v>
      </c>
      <c r="H21" s="147">
        <f>SUM(B21:G21)</f>
        <v>51</v>
      </c>
    </row>
    <row r="22" spans="1:255" x14ac:dyDescent="0.2">
      <c r="A22" s="66" t="s">
        <v>30</v>
      </c>
      <c r="B22" s="148">
        <f t="shared" ref="B22:G22" si="3">SUM(B20:B21)</f>
        <v>0</v>
      </c>
      <c r="C22" s="148">
        <f t="shared" si="3"/>
        <v>0</v>
      </c>
      <c r="D22" s="148">
        <f t="shared" si="3"/>
        <v>0</v>
      </c>
      <c r="E22" s="148">
        <f t="shared" si="3"/>
        <v>2</v>
      </c>
      <c r="F22" s="148">
        <f t="shared" si="3"/>
        <v>101</v>
      </c>
      <c r="G22" s="148">
        <f t="shared" si="3"/>
        <v>0</v>
      </c>
      <c r="H22" s="149">
        <f>SUM(B22:G22)</f>
        <v>103</v>
      </c>
    </row>
    <row r="23" spans="1:255" ht="15.75" thickBot="1" x14ac:dyDescent="0.3">
      <c r="A23" s="63" t="s">
        <v>31</v>
      </c>
      <c r="B23" s="150">
        <f t="shared" ref="B23:G23" si="4">B22+B18</f>
        <v>158</v>
      </c>
      <c r="C23" s="150">
        <f t="shared" si="4"/>
        <v>134</v>
      </c>
      <c r="D23" s="150">
        <f t="shared" si="4"/>
        <v>0</v>
      </c>
      <c r="E23" s="150">
        <f t="shared" si="4"/>
        <v>1235</v>
      </c>
      <c r="F23" s="150">
        <f t="shared" si="4"/>
        <v>1694</v>
      </c>
      <c r="G23" s="150">
        <f t="shared" si="4"/>
        <v>142</v>
      </c>
      <c r="H23" s="151">
        <f>SUM(B23:G23)</f>
        <v>3363</v>
      </c>
    </row>
    <row r="24" spans="1:25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3.5" thickBot="1" x14ac:dyDescent="0.25">
      <c r="B25" s="426"/>
      <c r="C25" s="426"/>
      <c r="D25" s="426"/>
      <c r="E25" s="426"/>
      <c r="F25" s="426"/>
      <c r="G25" s="426"/>
      <c r="H25" s="130"/>
    </row>
    <row r="26" spans="1:255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60"/>
    </row>
    <row r="27" spans="1:255" x14ac:dyDescent="0.2">
      <c r="A27" s="62" t="s">
        <v>39</v>
      </c>
      <c r="B27" s="161"/>
      <c r="C27" s="161"/>
      <c r="D27" s="161"/>
      <c r="E27" s="161"/>
      <c r="F27" s="161"/>
      <c r="G27" s="161"/>
      <c r="H27" s="153"/>
    </row>
    <row r="28" spans="1:255" x14ac:dyDescent="0.2">
      <c r="A28" s="62" t="s">
        <v>40</v>
      </c>
      <c r="B28" s="146">
        <f>[3]Frontier!$EM$47</f>
        <v>0</v>
      </c>
      <c r="C28" s="146">
        <f>'[3]Great Lakes'!$EM$47</f>
        <v>0</v>
      </c>
      <c r="D28" s="146">
        <f>[3]Icelandair!$EM$47</f>
        <v>0</v>
      </c>
      <c r="E28" s="118">
        <f>[3]Southwest!$EM$47</f>
        <v>159163</v>
      </c>
      <c r="F28" s="118">
        <f>'[3]Sun Country'!$EM$47</f>
        <v>90854</v>
      </c>
      <c r="G28" s="118">
        <f>[3]Alaska!$EM$47</f>
        <v>3249</v>
      </c>
      <c r="H28" s="147">
        <f>SUM(B28:G28)</f>
        <v>253266</v>
      </c>
    </row>
    <row r="29" spans="1:255" x14ac:dyDescent="0.2">
      <c r="A29" s="62" t="s">
        <v>41</v>
      </c>
      <c r="B29" s="146">
        <f>[3]Frontier!$EM$48</f>
        <v>0</v>
      </c>
      <c r="C29" s="146">
        <f>'[3]Great Lakes'!$EM$48</f>
        <v>0</v>
      </c>
      <c r="D29" s="146">
        <f>[3]Icelandair!$EM$48</f>
        <v>0</v>
      </c>
      <c r="E29" s="118">
        <f>[3]Southwest!$EM$48</f>
        <v>0</v>
      </c>
      <c r="F29" s="118">
        <f>'[3]Sun Country'!$EM$48</f>
        <v>165668</v>
      </c>
      <c r="G29" s="118">
        <f>[3]Alaska!$EM$48</f>
        <v>0</v>
      </c>
      <c r="H29" s="147">
        <f>SUM(B29:G29)</f>
        <v>165668</v>
      </c>
    </row>
    <row r="30" spans="1:255" x14ac:dyDescent="0.2">
      <c r="A30" s="66" t="s">
        <v>42</v>
      </c>
      <c r="B30" s="162">
        <f t="shared" ref="B30:G30" si="5">SUM(B28:B29)</f>
        <v>0</v>
      </c>
      <c r="C30" s="162">
        <f t="shared" si="5"/>
        <v>0</v>
      </c>
      <c r="D30" s="162">
        <f t="shared" si="5"/>
        <v>0</v>
      </c>
      <c r="E30" s="162">
        <f t="shared" si="5"/>
        <v>159163</v>
      </c>
      <c r="F30" s="162">
        <f t="shared" si="5"/>
        <v>256522</v>
      </c>
      <c r="G30" s="162">
        <f t="shared" si="5"/>
        <v>3249</v>
      </c>
      <c r="H30" s="165">
        <f>SUM(B30:G30)</f>
        <v>418934</v>
      </c>
    </row>
    <row r="31" spans="1:255" x14ac:dyDescent="0.2">
      <c r="A31" s="62"/>
      <c r="B31" s="154"/>
      <c r="C31" s="154"/>
      <c r="D31" s="154"/>
      <c r="E31" s="154"/>
      <c r="F31" s="154"/>
      <c r="G31" s="154"/>
      <c r="H31" s="147"/>
    </row>
    <row r="32" spans="1:255" x14ac:dyDescent="0.2">
      <c r="A32" s="62" t="s">
        <v>43</v>
      </c>
      <c r="B32" s="146"/>
      <c r="C32" s="146"/>
      <c r="D32" s="146"/>
      <c r="E32" s="118"/>
      <c r="F32" s="118"/>
      <c r="G32" s="118"/>
      <c r="H32" s="147"/>
    </row>
    <row r="33" spans="1:8" x14ac:dyDescent="0.2">
      <c r="A33" s="62" t="s">
        <v>40</v>
      </c>
      <c r="B33" s="146">
        <f>[3]Frontier!$EM$52</f>
        <v>0</v>
      </c>
      <c r="C33" s="146">
        <f>'[3]Great Lakes'!$EM$52</f>
        <v>0</v>
      </c>
      <c r="D33" s="146">
        <f>[3]Icelandair!$EM$52</f>
        <v>0</v>
      </c>
      <c r="E33" s="118">
        <f>[3]Southwest!$EM$52</f>
        <v>109885</v>
      </c>
      <c r="F33" s="118">
        <f>'[3]Sun Country'!$EM$52</f>
        <v>68802</v>
      </c>
      <c r="G33" s="118">
        <f>[3]Alaska!$EM$52</f>
        <v>7950</v>
      </c>
      <c r="H33" s="147">
        <f>SUM(B33:G33)</f>
        <v>186637</v>
      </c>
    </row>
    <row r="34" spans="1:8" x14ac:dyDescent="0.2">
      <c r="A34" s="62" t="s">
        <v>41</v>
      </c>
      <c r="B34" s="146">
        <f>[3]Frontier!$EM$53</f>
        <v>0</v>
      </c>
      <c r="C34" s="146">
        <f>'[3]Great Lakes'!$EM$53</f>
        <v>0</v>
      </c>
      <c r="D34" s="146">
        <f>[3]Icelandair!$EM$53</f>
        <v>0</v>
      </c>
      <c r="E34" s="118">
        <f>[3]Southwest!$EM$53</f>
        <v>0</v>
      </c>
      <c r="F34" s="118">
        <f>'[3]Sun Country'!$EM$53</f>
        <v>416171</v>
      </c>
      <c r="G34" s="118">
        <f>[3]Alaska!$EM$53</f>
        <v>0</v>
      </c>
      <c r="H34" s="163">
        <f>SUM(B34:G34)</f>
        <v>416171</v>
      </c>
    </row>
    <row r="35" spans="1:8" x14ac:dyDescent="0.2">
      <c r="A35" s="66" t="s">
        <v>44</v>
      </c>
      <c r="B35" s="164">
        <f t="shared" ref="B35:G35" si="6">SUM(B33:B34)</f>
        <v>0</v>
      </c>
      <c r="C35" s="164">
        <f t="shared" si="6"/>
        <v>0</v>
      </c>
      <c r="D35" s="164">
        <f t="shared" si="6"/>
        <v>0</v>
      </c>
      <c r="E35" s="164">
        <f t="shared" si="6"/>
        <v>109885</v>
      </c>
      <c r="F35" s="164">
        <f t="shared" si="6"/>
        <v>484973</v>
      </c>
      <c r="G35" s="164">
        <f t="shared" si="6"/>
        <v>7950</v>
      </c>
      <c r="H35" s="165">
        <f>SUM(B35:G35)</f>
        <v>602808</v>
      </c>
    </row>
    <row r="36" spans="1:8" hidden="1" x14ac:dyDescent="0.2">
      <c r="A36" s="62"/>
      <c r="B36" s="154"/>
      <c r="C36" s="154"/>
      <c r="D36" s="154"/>
      <c r="E36" s="154"/>
      <c r="F36" s="154"/>
      <c r="G36" s="154"/>
      <c r="H36" s="147"/>
    </row>
    <row r="37" spans="1:8" hidden="1" x14ac:dyDescent="0.2">
      <c r="A37" s="62" t="s">
        <v>45</v>
      </c>
      <c r="B37" s="154"/>
      <c r="C37" s="154"/>
      <c r="D37" s="154"/>
      <c r="E37" s="154"/>
      <c r="F37" s="154"/>
      <c r="G37" s="154"/>
      <c r="H37" s="147"/>
    </row>
    <row r="38" spans="1:8" hidden="1" x14ac:dyDescent="0.2">
      <c r="A38" s="62" t="s">
        <v>40</v>
      </c>
      <c r="B38" s="154">
        <f>[3]Frontier!$EM$57</f>
        <v>0</v>
      </c>
      <c r="C38" s="154">
        <f>'[3]Great Lakes'!$EM$57</f>
        <v>0</v>
      </c>
      <c r="D38" s="154">
        <f>[3]Icelandair!$EM$57</f>
        <v>0</v>
      </c>
      <c r="E38" s="154">
        <f>[3]Southwest!$EM$57</f>
        <v>0</v>
      </c>
      <c r="F38" s="154">
        <f>'[3]Sun Country'!$EM$57</f>
        <v>0</v>
      </c>
      <c r="G38" s="154">
        <f>[3]Alaska!$EM$57</f>
        <v>0</v>
      </c>
      <c r="H38" s="147">
        <f>SUM(B38:F38)</f>
        <v>0</v>
      </c>
    </row>
    <row r="39" spans="1:8" hidden="1" x14ac:dyDescent="0.2">
      <c r="A39" s="62" t="s">
        <v>41</v>
      </c>
      <c r="B39" s="157">
        <f>[3]Frontier!$EM$58</f>
        <v>0</v>
      </c>
      <c r="C39" s="157">
        <f>'[3]Great Lakes'!$EM$58</f>
        <v>0</v>
      </c>
      <c r="D39" s="157">
        <f>[3]Icelandair!$EM$58</f>
        <v>0</v>
      </c>
      <c r="E39" s="157">
        <f>[3]Southwest!$EM$58</f>
        <v>0</v>
      </c>
      <c r="F39" s="157">
        <f>'[3]Sun Country'!$EM$58</f>
        <v>0</v>
      </c>
      <c r="G39" s="157">
        <f>[3]Alaska!$EM$58</f>
        <v>0</v>
      </c>
      <c r="H39" s="163">
        <f>SUM(B39:F39)</f>
        <v>0</v>
      </c>
    </row>
    <row r="40" spans="1:8" hidden="1" x14ac:dyDescent="0.2">
      <c r="A40" s="66" t="s">
        <v>46</v>
      </c>
      <c r="B40" s="166">
        <f t="shared" ref="B40:G40" si="7">SUM(B38:B39)</f>
        <v>0</v>
      </c>
      <c r="C40" s="166">
        <f t="shared" si="7"/>
        <v>0</v>
      </c>
      <c r="D40" s="166">
        <f t="shared" si="7"/>
        <v>0</v>
      </c>
      <c r="E40" s="166">
        <f t="shared" si="7"/>
        <v>0</v>
      </c>
      <c r="F40" s="166">
        <f t="shared" si="7"/>
        <v>0</v>
      </c>
      <c r="G40" s="166">
        <f t="shared" si="7"/>
        <v>0</v>
      </c>
      <c r="H40" s="147">
        <f>SUM(B40:F40)</f>
        <v>0</v>
      </c>
    </row>
    <row r="41" spans="1:8" x14ac:dyDescent="0.2">
      <c r="A41" s="62"/>
      <c r="B41" s="154"/>
      <c r="C41" s="154"/>
      <c r="D41" s="154"/>
      <c r="E41" s="154"/>
      <c r="F41" s="154"/>
      <c r="G41" s="154"/>
      <c r="H41" s="147"/>
    </row>
    <row r="42" spans="1:8" x14ac:dyDescent="0.2">
      <c r="A42" s="62" t="s">
        <v>47</v>
      </c>
      <c r="B42" s="154"/>
      <c r="C42" s="154"/>
      <c r="D42" s="154"/>
      <c r="E42" s="154"/>
      <c r="F42" s="154"/>
      <c r="G42" s="154"/>
      <c r="H42" s="147"/>
    </row>
    <row r="43" spans="1:8" x14ac:dyDescent="0.2">
      <c r="A43" s="62" t="s">
        <v>48</v>
      </c>
      <c r="B43" s="154">
        <f t="shared" ref="B43:G43" si="8">B28+B33+B38</f>
        <v>0</v>
      </c>
      <c r="C43" s="154">
        <f>C28+C33+C38</f>
        <v>0</v>
      </c>
      <c r="D43" s="154">
        <f t="shared" si="8"/>
        <v>0</v>
      </c>
      <c r="E43" s="154">
        <f t="shared" si="8"/>
        <v>269048</v>
      </c>
      <c r="F43" s="154">
        <f t="shared" si="8"/>
        <v>159656</v>
      </c>
      <c r="G43" s="154">
        <f t="shared" si="8"/>
        <v>11199</v>
      </c>
      <c r="H43" s="147">
        <f>SUM(B43:G43)</f>
        <v>439903</v>
      </c>
    </row>
    <row r="44" spans="1:8" x14ac:dyDescent="0.2">
      <c r="A44" s="62" t="s">
        <v>41</v>
      </c>
      <c r="B44" s="157">
        <f t="shared" ref="B44:G44" si="9">+B39+B34+B29</f>
        <v>0</v>
      </c>
      <c r="C44" s="157">
        <f>+C39+C34+C29</f>
        <v>0</v>
      </c>
      <c r="D44" s="157">
        <f t="shared" si="9"/>
        <v>0</v>
      </c>
      <c r="E44" s="157">
        <f t="shared" si="9"/>
        <v>0</v>
      </c>
      <c r="F44" s="157">
        <f t="shared" si="9"/>
        <v>581839</v>
      </c>
      <c r="G44" s="157">
        <f t="shared" si="9"/>
        <v>0</v>
      </c>
      <c r="H44" s="147">
        <f>SUM(B44:G44)</f>
        <v>581839</v>
      </c>
    </row>
    <row r="45" spans="1:8" ht="15.75" thickBot="1" x14ac:dyDescent="0.3">
      <c r="A45" s="63" t="s">
        <v>49</v>
      </c>
      <c r="B45" s="167">
        <f t="shared" ref="B45:G45" si="10">B43+B44</f>
        <v>0</v>
      </c>
      <c r="C45" s="167">
        <f t="shared" si="10"/>
        <v>0</v>
      </c>
      <c r="D45" s="167">
        <f t="shared" si="10"/>
        <v>0</v>
      </c>
      <c r="E45" s="167">
        <f t="shared" si="10"/>
        <v>269048</v>
      </c>
      <c r="F45" s="167">
        <f t="shared" si="10"/>
        <v>741495</v>
      </c>
      <c r="G45" s="167">
        <f t="shared" si="10"/>
        <v>11199</v>
      </c>
      <c r="H45" s="168">
        <f>SUM(B45:G45)</f>
        <v>1021742</v>
      </c>
    </row>
    <row r="48" spans="1:8" x14ac:dyDescent="0.2">
      <c r="A48" s="386" t="s">
        <v>128</v>
      </c>
      <c r="B48" s="399"/>
      <c r="C48" s="399"/>
      <c r="E48" s="327">
        <f>[3]Southwest!$EM$70+[3]Southwest!$EM$73</f>
        <v>69635</v>
      </c>
      <c r="F48" s="327">
        <f>'[3]Sun Country'!$EM$70+'[3]Sun Country'!$EM$73</f>
        <v>95088</v>
      </c>
      <c r="G48" s="399"/>
      <c r="H48" s="315">
        <f>SUM(B48:G48)</f>
        <v>164723</v>
      </c>
    </row>
    <row r="49" spans="1:8" x14ac:dyDescent="0.2">
      <c r="A49" s="401" t="s">
        <v>129</v>
      </c>
      <c r="B49" s="399"/>
      <c r="C49" s="399"/>
      <c r="E49" s="327">
        <f>[3]Southwest!$EM$71+[3]Southwest!$EM$74</f>
        <v>193</v>
      </c>
      <c r="F49" s="327">
        <f>'[3]Sun Country'!$EM$71+'[3]Sun Country'!$EM$74</f>
        <v>4719</v>
      </c>
      <c r="G49" s="399"/>
      <c r="H49" s="315">
        <f>SUM(B49:G49)</f>
        <v>4912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February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topLeftCell="A13" zoomScaleNormal="100" workbookViewId="0">
      <selection activeCell="I23" sqref="I2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7"/>
    </row>
    <row r="2" spans="1:12" s="7" customFormat="1" ht="51.75" thickBot="1" x14ac:dyDescent="0.25">
      <c r="A2" s="390">
        <v>42401</v>
      </c>
      <c r="B2" s="455" t="s">
        <v>169</v>
      </c>
      <c r="C2" s="455" t="s">
        <v>172</v>
      </c>
      <c r="D2" s="455" t="s">
        <v>200</v>
      </c>
      <c r="E2" s="455" t="s">
        <v>199</v>
      </c>
      <c r="F2" s="455" t="s">
        <v>201</v>
      </c>
      <c r="G2" s="455" t="s">
        <v>206</v>
      </c>
      <c r="H2" s="455" t="s">
        <v>213</v>
      </c>
      <c r="I2" s="455" t="s">
        <v>216</v>
      </c>
      <c r="J2" s="455" t="s">
        <v>205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[3]Pinnacle!$EM$22+[3]Pinnacle!$EM$32</f>
        <v>99498</v>
      </c>
      <c r="C5" s="132">
        <f>[3]MESA_UA!$EM$22</f>
        <v>5519</v>
      </c>
      <c r="D5" s="130">
        <f>'[3]Sky West'!$EM$22+'[3]Sky West'!$EM$32</f>
        <v>113956</v>
      </c>
      <c r="E5" s="130">
        <f>'[3]Sky West_UA'!$EM$22</f>
        <v>11569</v>
      </c>
      <c r="F5" s="130">
        <f>'[3]Sky West_AS'!$EM$22</f>
        <v>0</v>
      </c>
      <c r="G5" s="130">
        <f>[3]Republic!$EM$22</f>
        <v>5058</v>
      </c>
      <c r="H5" s="130">
        <f>[3]Republic_UA!$EM$22</f>
        <v>3458</v>
      </c>
      <c r="I5" s="130">
        <f>'[3]Air Georgian'!$EM$32</f>
        <v>3042</v>
      </c>
      <c r="J5" s="130">
        <f>'[3]American Eagle'!$EM$22</f>
        <v>187</v>
      </c>
      <c r="K5" s="130">
        <f>'Other Regional'!L5</f>
        <v>57535</v>
      </c>
      <c r="L5" s="110">
        <f>SUM(B5:K5)</f>
        <v>299822</v>
      </c>
    </row>
    <row r="6" spans="1:12" s="10" customFormat="1" x14ac:dyDescent="0.2">
      <c r="A6" s="62" t="s">
        <v>34</v>
      </c>
      <c r="B6" s="131">
        <f>[3]Pinnacle!$EM$23+[3]Pinnacle!$EM$33</f>
        <v>98872</v>
      </c>
      <c r="C6" s="132">
        <f>[3]MESA_UA!$EM$23</f>
        <v>5789</v>
      </c>
      <c r="D6" s="130">
        <f>'[3]Sky West'!$EM$23+'[3]Sky West'!$EM$33</f>
        <v>112257</v>
      </c>
      <c r="E6" s="130">
        <f>'[3]Sky West_UA'!$EM$23</f>
        <v>11876</v>
      </c>
      <c r="F6" s="130">
        <f>'[3]Sky West_AS'!$EM$23</f>
        <v>0</v>
      </c>
      <c r="G6" s="130">
        <f>[3]Republic!$EM$23</f>
        <v>4680</v>
      </c>
      <c r="H6" s="130">
        <f>[3]Republic_UA!$EM$23</f>
        <v>3198</v>
      </c>
      <c r="I6" s="130">
        <f>'[3]Air Georgian'!$EM$33</f>
        <v>2845</v>
      </c>
      <c r="J6" s="130">
        <f>'[3]American Eagle'!$EM$23</f>
        <v>249</v>
      </c>
      <c r="K6" s="130">
        <f>'Other Regional'!L6</f>
        <v>59187</v>
      </c>
      <c r="L6" s="115">
        <f>SUM(B6:K6)</f>
        <v>298953</v>
      </c>
    </row>
    <row r="7" spans="1:12" ht="15" thickBot="1" x14ac:dyDescent="0.25">
      <c r="A7" s="73" t="s">
        <v>7</v>
      </c>
      <c r="B7" s="133">
        <f>SUM(B5:B6)</f>
        <v>198370</v>
      </c>
      <c r="C7" s="133">
        <f t="shared" ref="C7:K7" si="0">SUM(C5:C6)</f>
        <v>11308</v>
      </c>
      <c r="D7" s="133">
        <f t="shared" si="0"/>
        <v>226213</v>
      </c>
      <c r="E7" s="133">
        <f t="shared" si="0"/>
        <v>23445</v>
      </c>
      <c r="F7" s="133">
        <f t="shared" ref="F7" si="1">SUM(F5:F6)</f>
        <v>0</v>
      </c>
      <c r="G7" s="133">
        <f t="shared" si="0"/>
        <v>9738</v>
      </c>
      <c r="H7" s="133">
        <f t="shared" ref="H7:I7" si="2">SUM(H5:H6)</f>
        <v>6656</v>
      </c>
      <c r="I7" s="133">
        <f t="shared" si="2"/>
        <v>5887</v>
      </c>
      <c r="J7" s="133">
        <f t="shared" si="0"/>
        <v>436</v>
      </c>
      <c r="K7" s="133">
        <f t="shared" si="0"/>
        <v>116722</v>
      </c>
      <c r="L7" s="134">
        <f>SUM(B7:K7)</f>
        <v>598775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[3]Pinnacle!$EM$27+[3]Pinnacle!$EM$37</f>
        <v>3654</v>
      </c>
      <c r="C10" s="132">
        <f>[3]MESA_UA!$EM$27</f>
        <v>199</v>
      </c>
      <c r="D10" s="130">
        <f>'[3]Sky West'!$EM$27+'[3]Sky West'!$EM$37</f>
        <v>4420</v>
      </c>
      <c r="E10" s="130">
        <f>'[3]Sky West_UA'!$EM$27</f>
        <v>285</v>
      </c>
      <c r="F10" s="130">
        <f>'[3]Sky West_AS'!$EM$27</f>
        <v>0</v>
      </c>
      <c r="G10" s="130">
        <f>[3]Republic!$EM$27</f>
        <v>0</v>
      </c>
      <c r="H10" s="130">
        <f>[3]Republic_UA!$EM$27</f>
        <v>0</v>
      </c>
      <c r="I10" s="130">
        <f>'[3]Air Georgian'!$EM$37</f>
        <v>0</v>
      </c>
      <c r="J10" s="130">
        <f>'[3]American Eagle'!$EM$27</f>
        <v>25</v>
      </c>
      <c r="K10" s="130">
        <f>'Other Regional'!L10</f>
        <v>1880</v>
      </c>
      <c r="L10" s="110">
        <f>SUM(B10:K10)</f>
        <v>10463</v>
      </c>
    </row>
    <row r="11" spans="1:12" x14ac:dyDescent="0.2">
      <c r="A11" s="62" t="s">
        <v>36</v>
      </c>
      <c r="B11" s="131">
        <f>[3]Pinnacle!$EM$28+[3]Pinnacle!$EM$38</f>
        <v>3479</v>
      </c>
      <c r="C11" s="132">
        <f>[3]MESA_UA!$EM$28</f>
        <v>229</v>
      </c>
      <c r="D11" s="130">
        <f>'[3]Sky West'!$EM$28+'[3]Sky West'!$EM$38</f>
        <v>4565</v>
      </c>
      <c r="E11" s="130">
        <f>'[3]Sky West_UA'!$EM$28</f>
        <v>303</v>
      </c>
      <c r="F11" s="130">
        <f>'[3]Sky West_AS'!$EM$28</f>
        <v>0</v>
      </c>
      <c r="G11" s="130">
        <f>[3]Republic!$EM$28</f>
        <v>0</v>
      </c>
      <c r="H11" s="130">
        <f>[3]Republic_UA!$EM$28</f>
        <v>0</v>
      </c>
      <c r="I11" s="130">
        <f>'[3]Air Georgian'!$EM$38</f>
        <v>0</v>
      </c>
      <c r="J11" s="130">
        <f>'[3]American Eagle'!$EM$28</f>
        <v>7</v>
      </c>
      <c r="K11" s="130">
        <f>'Other Regional'!L11</f>
        <v>1867</v>
      </c>
      <c r="L11" s="115">
        <f>SUM(B11:K11)</f>
        <v>10450</v>
      </c>
    </row>
    <row r="12" spans="1:12" ht="15" thickBot="1" x14ac:dyDescent="0.25">
      <c r="A12" s="74" t="s">
        <v>37</v>
      </c>
      <c r="B12" s="136">
        <f t="shared" ref="B12:K12" si="3">SUM(B10:B11)</f>
        <v>7133</v>
      </c>
      <c r="C12" s="136">
        <f t="shared" si="3"/>
        <v>428</v>
      </c>
      <c r="D12" s="136">
        <f t="shared" si="3"/>
        <v>8985</v>
      </c>
      <c r="E12" s="136">
        <f t="shared" si="3"/>
        <v>588</v>
      </c>
      <c r="F12" s="136">
        <f t="shared" ref="F12" si="4">SUM(F10:F11)</f>
        <v>0</v>
      </c>
      <c r="G12" s="136">
        <f t="shared" si="3"/>
        <v>0</v>
      </c>
      <c r="H12" s="136">
        <f t="shared" ref="H12:I12" si="5">SUM(H10:H11)</f>
        <v>0</v>
      </c>
      <c r="I12" s="136">
        <f t="shared" si="5"/>
        <v>0</v>
      </c>
      <c r="J12" s="136">
        <f t="shared" si="3"/>
        <v>32</v>
      </c>
      <c r="K12" s="136">
        <f t="shared" si="3"/>
        <v>3747</v>
      </c>
      <c r="L12" s="137">
        <f>SUM(B12:K12)</f>
        <v>20913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[3]Pinnacle!$EM$4+[3]Pinnacle!$EM$15</f>
        <v>1781</v>
      </c>
      <c r="C15" s="108">
        <f>[3]MESA_UA!$EM$4</f>
        <v>101</v>
      </c>
      <c r="D15" s="106">
        <f>'[3]Sky West'!$EM$4+'[3]Sky West'!$EM$15</f>
        <v>2620</v>
      </c>
      <c r="E15" s="106">
        <f>'[3]Sky West_UA'!$EM$4</f>
        <v>181</v>
      </c>
      <c r="F15" s="106">
        <f>'[3]Sky West_AS'!$EM$4</f>
        <v>0</v>
      </c>
      <c r="G15" s="109">
        <f>[3]Republic!$EM$4</f>
        <v>101</v>
      </c>
      <c r="H15" s="109">
        <f>[3]Republic_UA!$EM$4</f>
        <v>64</v>
      </c>
      <c r="I15" s="109">
        <f>'[3]Air Georgian'!$EM$15</f>
        <v>79</v>
      </c>
      <c r="J15" s="109">
        <f>'[3]American Eagle'!$EM$4</f>
        <v>4</v>
      </c>
      <c r="K15" s="107">
        <f>'Other Regional'!L15</f>
        <v>1096</v>
      </c>
      <c r="L15" s="110">
        <f t="shared" si="6"/>
        <v>6027</v>
      </c>
    </row>
    <row r="16" spans="1:12" x14ac:dyDescent="0.2">
      <c r="A16" s="62" t="s">
        <v>58</v>
      </c>
      <c r="B16" s="14">
        <f>[3]Pinnacle!$EM$5+[3]Pinnacle!$EM$16</f>
        <v>1779</v>
      </c>
      <c r="C16" s="113">
        <f>[3]MESA_UA!$EM$5</f>
        <v>101</v>
      </c>
      <c r="D16" s="111">
        <f>'[3]Sky West'!$EM$5+'[3]Sky West'!$EM$16</f>
        <v>2619</v>
      </c>
      <c r="E16" s="111">
        <f>'[3]Sky West_UA'!$EM$5</f>
        <v>181</v>
      </c>
      <c r="F16" s="111">
        <f>'[3]Sky West_AS'!$EM$5</f>
        <v>0</v>
      </c>
      <c r="G16" s="114">
        <f>[3]Republic!$EM$5</f>
        <v>101</v>
      </c>
      <c r="H16" s="114">
        <f>[3]Republic_UA!$EM$5</f>
        <v>64</v>
      </c>
      <c r="I16" s="114">
        <f>'[3]Air Georgian'!$EM$16</f>
        <v>78</v>
      </c>
      <c r="J16" s="114">
        <f>'[3]American Eagle'!$EM$5</f>
        <v>4</v>
      </c>
      <c r="K16" s="112">
        <f>'Other Regional'!L16</f>
        <v>1093</v>
      </c>
      <c r="L16" s="115">
        <f t="shared" si="6"/>
        <v>6020</v>
      </c>
    </row>
    <row r="17" spans="1:12" x14ac:dyDescent="0.2">
      <c r="A17" s="71" t="s">
        <v>59</v>
      </c>
      <c r="B17" s="116">
        <f t="shared" ref="B17:J17" si="7">SUM(B15:B16)</f>
        <v>3560</v>
      </c>
      <c r="C17" s="116">
        <f t="shared" si="7"/>
        <v>202</v>
      </c>
      <c r="D17" s="116">
        <f t="shared" si="7"/>
        <v>5239</v>
      </c>
      <c r="E17" s="116">
        <f t="shared" si="7"/>
        <v>362</v>
      </c>
      <c r="F17" s="116">
        <f t="shared" ref="F17" si="8">SUM(F15:F16)</f>
        <v>0</v>
      </c>
      <c r="G17" s="116">
        <f t="shared" si="7"/>
        <v>202</v>
      </c>
      <c r="H17" s="116">
        <f t="shared" ref="H17:I17" si="9">SUM(H15:H16)</f>
        <v>128</v>
      </c>
      <c r="I17" s="116">
        <f t="shared" si="9"/>
        <v>157</v>
      </c>
      <c r="J17" s="116">
        <f t="shared" si="7"/>
        <v>8</v>
      </c>
      <c r="K17" s="116">
        <f>SUM(K15:K16)</f>
        <v>2189</v>
      </c>
      <c r="L17" s="117">
        <f t="shared" si="6"/>
        <v>12047</v>
      </c>
    </row>
    <row r="18" spans="1:12" x14ac:dyDescent="0.2">
      <c r="A18" s="62" t="s">
        <v>60</v>
      </c>
      <c r="B18" s="118">
        <f>[3]Pinnacle!$EM$8</f>
        <v>0</v>
      </c>
      <c r="C18" s="119">
        <f>[3]MESA_UA!$EM$8</f>
        <v>0</v>
      </c>
      <c r="D18" s="118">
        <f>'[3]Sky West'!$EM$8</f>
        <v>0</v>
      </c>
      <c r="E18" s="118">
        <f>'[3]Sky West_UA'!$EM$8</f>
        <v>0</v>
      </c>
      <c r="F18" s="118">
        <f>'[3]Sky West_AS'!$EM$8</f>
        <v>0</v>
      </c>
      <c r="G18" s="118">
        <f>[3]Republic!$EM$8</f>
        <v>0</v>
      </c>
      <c r="H18" s="118">
        <f>[3]Republic_UA!$EM$8</f>
        <v>0</v>
      </c>
      <c r="I18" s="118">
        <f>'[3]Air Georgian'!$EM$8</f>
        <v>0</v>
      </c>
      <c r="J18" s="118">
        <f>'[3]American Eagle'!$EM$8</f>
        <v>0</v>
      </c>
      <c r="K18" s="118">
        <f>'Other Regional'!L18</f>
        <v>1</v>
      </c>
      <c r="L18" s="110">
        <f t="shared" si="6"/>
        <v>1</v>
      </c>
    </row>
    <row r="19" spans="1:12" x14ac:dyDescent="0.2">
      <c r="A19" s="62" t="s">
        <v>61</v>
      </c>
      <c r="B19" s="120">
        <f>[3]Pinnacle!$EM$9</f>
        <v>2</v>
      </c>
      <c r="C19" s="121">
        <f>[3]MESA_UA!$EM$9</f>
        <v>0</v>
      </c>
      <c r="D19" s="120">
        <f>'[3]Sky West'!$EM$9</f>
        <v>3</v>
      </c>
      <c r="E19" s="120">
        <f>'[3]Sky West_UA'!$EM$9</f>
        <v>0</v>
      </c>
      <c r="F19" s="120">
        <f>'[3]Sky West_AS'!$EM$9</f>
        <v>0</v>
      </c>
      <c r="G19" s="120">
        <f>[3]Republic!$EM$9</f>
        <v>0</v>
      </c>
      <c r="H19" s="120">
        <f>[3]Republic_UA!$EM$9</f>
        <v>0</v>
      </c>
      <c r="I19" s="120">
        <f>'[3]Air Georgian'!$EM$9</f>
        <v>0</v>
      </c>
      <c r="J19" s="120">
        <f>'[3]American Eagle'!$EM$9</f>
        <v>0</v>
      </c>
      <c r="K19" s="120">
        <f>'Other Regional'!L19</f>
        <v>4</v>
      </c>
      <c r="L19" s="115">
        <f t="shared" si="6"/>
        <v>9</v>
      </c>
    </row>
    <row r="20" spans="1:12" x14ac:dyDescent="0.2">
      <c r="A20" s="71" t="s">
        <v>62</v>
      </c>
      <c r="B20" s="116">
        <f t="shared" ref="B20:K20" si="10">SUM(B18:B19)</f>
        <v>2</v>
      </c>
      <c r="C20" s="116">
        <f t="shared" si="10"/>
        <v>0</v>
      </c>
      <c r="D20" s="116">
        <f t="shared" si="10"/>
        <v>3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5</v>
      </c>
      <c r="L20" s="117">
        <f t="shared" si="6"/>
        <v>10</v>
      </c>
    </row>
    <row r="21" spans="1:12" ht="15.75" thickBot="1" x14ac:dyDescent="0.3">
      <c r="A21" s="72" t="s">
        <v>31</v>
      </c>
      <c r="B21" s="122">
        <f t="shared" ref="B21:J21" si="13">SUM(B20,B17)</f>
        <v>3562</v>
      </c>
      <c r="C21" s="122">
        <f t="shared" si="13"/>
        <v>202</v>
      </c>
      <c r="D21" s="122">
        <f t="shared" si="13"/>
        <v>5242</v>
      </c>
      <c r="E21" s="122">
        <f t="shared" si="13"/>
        <v>362</v>
      </c>
      <c r="F21" s="122">
        <f t="shared" ref="F21" si="14">SUM(F20,F17)</f>
        <v>0</v>
      </c>
      <c r="G21" s="122">
        <f t="shared" si="13"/>
        <v>202</v>
      </c>
      <c r="H21" s="122">
        <f t="shared" ref="H21:I21" si="15">SUM(H20,H17)</f>
        <v>128</v>
      </c>
      <c r="I21" s="122">
        <f t="shared" si="15"/>
        <v>157</v>
      </c>
      <c r="J21" s="122">
        <f t="shared" si="13"/>
        <v>8</v>
      </c>
      <c r="K21" s="122">
        <f>SUM(K20,K17)</f>
        <v>2194</v>
      </c>
      <c r="L21" s="123">
        <f t="shared" si="6"/>
        <v>12057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[3]Pinnacle!$EM$47</f>
        <v>0</v>
      </c>
      <c r="C25" s="132">
        <f>[3]MESA_UA!$EM$47</f>
        <v>0</v>
      </c>
      <c r="D25" s="130">
        <f>'[3]Sky West'!$EM$47</f>
        <v>0</v>
      </c>
      <c r="E25" s="130">
        <f>'[3]Sky West_UA'!$EM$47</f>
        <v>0</v>
      </c>
      <c r="F25" s="130">
        <f>'[3]Sky West_AS'!$EM$47</f>
        <v>0</v>
      </c>
      <c r="G25" s="130">
        <f>[3]Republic!$EM$47</f>
        <v>0</v>
      </c>
      <c r="H25" s="130">
        <f>[3]Republic_UA!$EM$47</f>
        <v>0</v>
      </c>
      <c r="I25" s="130">
        <f>'[3]Air Georgian'!$EM$47</f>
        <v>0</v>
      </c>
      <c r="J25" s="130">
        <f>'[3]American Eagle'!$EM$47</f>
        <v>0</v>
      </c>
      <c r="K25" s="130">
        <f>'Other Regional'!L25</f>
        <v>0</v>
      </c>
      <c r="L25" s="110">
        <f>SUM(B25:K25)</f>
        <v>0</v>
      </c>
    </row>
    <row r="26" spans="1:12" x14ac:dyDescent="0.2">
      <c r="A26" s="75" t="s">
        <v>41</v>
      </c>
      <c r="B26" s="130">
        <f>[3]Pinnacle!$EM$48</f>
        <v>0</v>
      </c>
      <c r="C26" s="132">
        <f>[3]MESA_UA!$EM$48</f>
        <v>0</v>
      </c>
      <c r="D26" s="130">
        <f>'[3]Sky West'!$EM$48</f>
        <v>0</v>
      </c>
      <c r="E26" s="130">
        <f>'[3]Sky West_UA'!$EM$48</f>
        <v>0</v>
      </c>
      <c r="F26" s="130">
        <f>'[3]Sky West_AS'!$EM$48</f>
        <v>0</v>
      </c>
      <c r="G26" s="130">
        <f>[3]Republic!$EM$48</f>
        <v>0</v>
      </c>
      <c r="H26" s="130">
        <f>[3]Republic_UA!$EM$48</f>
        <v>0</v>
      </c>
      <c r="I26" s="130">
        <f>'[3]Air Georgian'!$EM$48</f>
        <v>0</v>
      </c>
      <c r="J26" s="130">
        <f>'[3]American Eagle'!$EM$48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0</v>
      </c>
      <c r="G27" s="133">
        <f t="shared" si="16"/>
        <v>0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0</v>
      </c>
      <c r="L27" s="134">
        <f>SUM(B27:K27)</f>
        <v>0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[3]Pinnacle!$EM$52</f>
        <v>0</v>
      </c>
      <c r="C30" s="132">
        <f>[3]MESA_UA!$EM$52</f>
        <v>0</v>
      </c>
      <c r="D30" s="130">
        <f>'[3]Sky West'!$EM$52</f>
        <v>0</v>
      </c>
      <c r="E30" s="130">
        <f>'[3]Sky West_UA'!$EM$52</f>
        <v>0</v>
      </c>
      <c r="F30" s="130">
        <f>'[3]Sky West_AS'!$EM$52</f>
        <v>0</v>
      </c>
      <c r="G30" s="130">
        <f>[3]Republic!$EM$52</f>
        <v>0</v>
      </c>
      <c r="H30" s="130">
        <f>[3]Republic_UA!$EM$52</f>
        <v>0</v>
      </c>
      <c r="I30" s="130">
        <f>'[3]Air Georgian'!$EM$52</f>
        <v>0</v>
      </c>
      <c r="J30" s="130">
        <f>'[3]American Eagle'!$EM$52</f>
        <v>0</v>
      </c>
      <c r="K30" s="130">
        <f>'Other Regional'!L30</f>
        <v>0</v>
      </c>
      <c r="L30" s="110">
        <f t="shared" ref="L30:L37" si="19">SUM(B30:K30)</f>
        <v>0</v>
      </c>
    </row>
    <row r="31" spans="1:12" x14ac:dyDescent="0.2">
      <c r="A31" s="75" t="s">
        <v>64</v>
      </c>
      <c r="B31" s="130">
        <f>[3]Pinnacle!$EM$53</f>
        <v>0</v>
      </c>
      <c r="C31" s="132">
        <f>[3]MESA_UA!$EM$53</f>
        <v>0</v>
      </c>
      <c r="D31" s="130">
        <f>'[3]Sky West'!$EM$53</f>
        <v>0</v>
      </c>
      <c r="E31" s="130">
        <f>'[3]Sky West_UA'!$EM$53</f>
        <v>0</v>
      </c>
      <c r="F31" s="130">
        <f>'[3]Sky West_AS'!$EM$53</f>
        <v>0</v>
      </c>
      <c r="G31" s="130">
        <f>[3]Republic!$EM$53</f>
        <v>0</v>
      </c>
      <c r="H31" s="130">
        <f>[3]Republic_UA!$EM$53</f>
        <v>0</v>
      </c>
      <c r="I31" s="130">
        <f>'[3]Air Georgian'!$EM$53</f>
        <v>0</v>
      </c>
      <c r="J31" s="130">
        <f>'[3]American Eagle'!$EM$53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[3]Pinnacle!$EM$57</f>
        <v>0</v>
      </c>
      <c r="C35" s="132">
        <f>[3]MESA_UA!$EM$57</f>
        <v>0</v>
      </c>
      <c r="D35" s="130">
        <f>'[3]Sky West'!$EM$57</f>
        <v>0</v>
      </c>
      <c r="E35" s="130">
        <f>'[3]Sky West_UA'!$EM$57</f>
        <v>0</v>
      </c>
      <c r="F35" s="130">
        <f>'[3]Sky West_AS'!$EM$57</f>
        <v>0</v>
      </c>
      <c r="G35" s="130">
        <f>[3]Republic!$EM$57</f>
        <v>0</v>
      </c>
      <c r="H35" s="130">
        <f>[3]Republic!$EM$57</f>
        <v>0</v>
      </c>
      <c r="I35" s="130">
        <f>[3]Republic!$EM$57</f>
        <v>0</v>
      </c>
      <c r="J35" s="130">
        <f>'[3]American Eagle'!$EM$57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[3]Pinnacle!$EM$58</f>
        <v>0</v>
      </c>
      <c r="C36" s="132">
        <f>[3]MESA_UA!$EM$58</f>
        <v>0</v>
      </c>
      <c r="D36" s="130">
        <f>'[3]Sky West'!$EM$58</f>
        <v>0</v>
      </c>
      <c r="E36" s="130">
        <f>'[3]Sky West_UA'!$EM$58</f>
        <v>0</v>
      </c>
      <c r="F36" s="130">
        <f>'[3]Sky West_AS'!$EM$58</f>
        <v>0</v>
      </c>
      <c r="G36" s="130">
        <f>[3]Republic!$EM$58</f>
        <v>0</v>
      </c>
      <c r="H36" s="130">
        <f>[3]Republic!$EM$58</f>
        <v>0</v>
      </c>
      <c r="I36" s="130">
        <f>[3]Republic!$EM$58</f>
        <v>0</v>
      </c>
      <c r="J36" s="130">
        <f>'[3]American Eagle'!$EM$58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0</v>
      </c>
      <c r="G40" s="130">
        <f t="shared" si="26"/>
        <v>0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0</v>
      </c>
      <c r="L40" s="110">
        <f>SUM(B40:K40)</f>
        <v>0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0</v>
      </c>
      <c r="G42" s="136">
        <f t="shared" si="26"/>
        <v>0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0</v>
      </c>
      <c r="L42" s="137">
        <f>SUM(B42:K42)</f>
        <v>0</v>
      </c>
    </row>
    <row r="44" spans="1:12" x14ac:dyDescent="0.2">
      <c r="A44" s="386" t="s">
        <v>128</v>
      </c>
      <c r="B44" s="326">
        <f>[3]Pinnacle!$EM$70+[3]Pinnacle!$EM$73</f>
        <v>35099</v>
      </c>
      <c r="D44" s="327">
        <f>'[3]Sky West'!$EM$70+'[3]Sky West'!$EM$73</f>
        <v>25819</v>
      </c>
      <c r="E44" s="327">
        <f>'[3]Sky West_UA'!$EM$70+'[3]Sky West_UA'!$EM$73</f>
        <v>0</v>
      </c>
      <c r="F44" s="5"/>
      <c r="K44" s="327">
        <f>+'Other Regional'!L46</f>
        <v>22811</v>
      </c>
      <c r="L44" s="315">
        <f>SUM(B44:K44)</f>
        <v>83729</v>
      </c>
    </row>
    <row r="45" spans="1:12" x14ac:dyDescent="0.2">
      <c r="A45" s="401" t="s">
        <v>129</v>
      </c>
      <c r="B45" s="326">
        <f>[3]Pinnacle!$EM$71+[3]Pinnacle!$EM$74</f>
        <v>63773</v>
      </c>
      <c r="D45" s="327">
        <f>'[3]Sky West'!$EM$71+'[3]Sky West'!$EM$74</f>
        <v>86438</v>
      </c>
      <c r="E45" s="327">
        <f>'[3]Sky West_UA'!$EM$71+'[3]Sky West_UA'!$EM$74</f>
        <v>0</v>
      </c>
      <c r="F45" s="5"/>
      <c r="K45" s="327">
        <f>+'Other Regional'!L47</f>
        <v>28456</v>
      </c>
      <c r="L45" s="315">
        <f>SUM(B45:K45)</f>
        <v>178667</v>
      </c>
    </row>
    <row r="46" spans="1:12" x14ac:dyDescent="0.2">
      <c r="A46" s="317" t="s">
        <v>130</v>
      </c>
      <c r="B46" s="318">
        <f>SUM(B44:B45)</f>
        <v>98872</v>
      </c>
      <c r="K46" s="2"/>
      <c r="L46" s="316"/>
    </row>
    <row r="47" spans="1:12" x14ac:dyDescent="0.2">
      <c r="A47" s="319"/>
      <c r="B47" s="320" t="b">
        <f>IF(B46=B6,TRUE,FALSE)</f>
        <v>1</v>
      </c>
    </row>
  </sheetData>
  <phoneticPr fontId="6" type="noConversion"/>
  <pageMargins left="0.75" right="0.75" top="1" bottom="1" header="0.5" footer="0.5"/>
  <pageSetup scale="87" orientation="landscape" r:id="rId1"/>
  <headerFooter alignWithMargins="0">
    <oddHeader>&amp;L
Schedule 4
&amp;CMinneapolis-St. Paul International Airport
&amp;"Arial,Bold"Regional Major
February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topLeftCell="A7" zoomScaleNormal="100" zoomScaleSheetLayoutView="100" workbookViewId="0">
      <selection activeCell="I46" sqref="I46:I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6" customHeight="1" x14ac:dyDescent="0.2">
      <c r="A1" s="397"/>
    </row>
    <row r="2" spans="1:12" s="7" customFormat="1" ht="55.5" customHeight="1" thickBot="1" x14ac:dyDescent="0.25">
      <c r="A2" s="390">
        <v>42401</v>
      </c>
      <c r="B2" s="455" t="s">
        <v>203</v>
      </c>
      <c r="C2" s="455" t="s">
        <v>202</v>
      </c>
      <c r="D2" s="455" t="s">
        <v>204</v>
      </c>
      <c r="E2" s="455" t="s">
        <v>138</v>
      </c>
      <c r="F2" s="455" t="s">
        <v>209</v>
      </c>
      <c r="G2" s="455" t="s">
        <v>208</v>
      </c>
      <c r="H2" s="455" t="s">
        <v>171</v>
      </c>
      <c r="I2" s="455" t="s">
        <v>183</v>
      </c>
      <c r="J2" s="455" t="s">
        <v>210</v>
      </c>
      <c r="K2" s="455" t="s">
        <v>207</v>
      </c>
      <c r="L2" s="296" t="s">
        <v>24</v>
      </c>
    </row>
    <row r="3" spans="1:12" ht="15.75" thickTop="1" x14ac:dyDescent="0.25">
      <c r="A3" s="284" t="s">
        <v>3</v>
      </c>
      <c r="B3" s="413"/>
      <c r="C3" s="413"/>
      <c r="D3" s="413"/>
      <c r="E3" s="413"/>
      <c r="F3" s="414"/>
      <c r="G3" s="414"/>
      <c r="H3" s="414"/>
      <c r="I3" s="414"/>
      <c r="J3" s="414"/>
      <c r="K3" s="413"/>
      <c r="L3" s="127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America'!$EM$22</f>
        <v>4683</v>
      </c>
      <c r="C5" s="131">
        <f>'[3]Shuttle America_Delta'!$EM$22</f>
        <v>3159</v>
      </c>
      <c r="D5" s="131">
        <f>'[3]Jazz Air'!$EM$32</f>
        <v>147</v>
      </c>
      <c r="E5" s="21">
        <f>[3]Compass!$EM$22+[3]Compass!$EM$32</f>
        <v>32540</v>
      </c>
      <c r="F5" s="131">
        <f>'[3]Atlantic Southeast'!$EM$22+'[3]Atlantic Southeast'!$EM$32</f>
        <v>14178</v>
      </c>
      <c r="G5" s="131">
        <f>'[3]Continental Express'!$EM$22</f>
        <v>768</v>
      </c>
      <c r="H5" s="130">
        <f>'[3]Go Jet_UA'!$EM$22</f>
        <v>1680</v>
      </c>
      <c r="I5" s="130">
        <f>'[3]Go Jet'!$EM$22</f>
        <v>0</v>
      </c>
      <c r="J5" s="132">
        <f>'[3]Air Wisconsin'!$EM$22</f>
        <v>380</v>
      </c>
      <c r="K5" s="130">
        <f>[3]MESA!$EM$22</f>
        <v>0</v>
      </c>
      <c r="L5" s="110">
        <f>SUM(B5:K5)</f>
        <v>57535</v>
      </c>
    </row>
    <row r="6" spans="1:12" s="10" customFormat="1" x14ac:dyDescent="0.2">
      <c r="A6" s="62" t="s">
        <v>34</v>
      </c>
      <c r="B6" s="131">
        <f>'[3]Shuttle America'!$EM$23</f>
        <v>4857</v>
      </c>
      <c r="C6" s="131">
        <f>'[3]Shuttle America_Delta'!$EM$23</f>
        <v>3011</v>
      </c>
      <c r="D6" s="131">
        <f>'[3]Jazz Air'!$EM$33</f>
        <v>123</v>
      </c>
      <c r="E6" s="14">
        <f>[3]Compass!$EM$23+[3]Compass!$EM$33</f>
        <v>33170</v>
      </c>
      <c r="F6" s="131">
        <f>'[3]Atlantic Southeast'!$EM$23+'[3]Atlantic Southeast'!$EM$33</f>
        <v>15086</v>
      </c>
      <c r="G6" s="131">
        <f>'[3]Continental Express'!$EM$23</f>
        <v>836</v>
      </c>
      <c r="H6" s="130">
        <f>'[3]Go Jet_UA'!$EM$23</f>
        <v>1635</v>
      </c>
      <c r="I6" s="130">
        <f>'[3]Go Jet'!$EM$23</f>
        <v>0</v>
      </c>
      <c r="J6" s="132">
        <f>'[3]Air Wisconsin'!$EM$23</f>
        <v>469</v>
      </c>
      <c r="K6" s="130">
        <f>[3]MESA!$EM$23</f>
        <v>0</v>
      </c>
      <c r="L6" s="115">
        <f>SUM(B6:K6)</f>
        <v>59187</v>
      </c>
    </row>
    <row r="7" spans="1:12" ht="15" thickBot="1" x14ac:dyDescent="0.25">
      <c r="A7" s="73" t="s">
        <v>7</v>
      </c>
      <c r="B7" s="133">
        <f t="shared" ref="B7:K7" si="0">SUM(B5:B6)</f>
        <v>9540</v>
      </c>
      <c r="C7" s="133">
        <f t="shared" si="0"/>
        <v>6170</v>
      </c>
      <c r="D7" s="133">
        <f t="shared" si="0"/>
        <v>270</v>
      </c>
      <c r="E7" s="133">
        <f>SUM(E5:E6)</f>
        <v>65710</v>
      </c>
      <c r="F7" s="133">
        <f t="shared" si="0"/>
        <v>29264</v>
      </c>
      <c r="G7" s="133">
        <f t="shared" si="0"/>
        <v>1604</v>
      </c>
      <c r="H7" s="133">
        <f t="shared" si="0"/>
        <v>3315</v>
      </c>
      <c r="I7" s="133">
        <f t="shared" ref="I7" si="1">SUM(I5:I6)</f>
        <v>0</v>
      </c>
      <c r="J7" s="133">
        <f t="shared" si="0"/>
        <v>849</v>
      </c>
      <c r="K7" s="133">
        <f t="shared" si="0"/>
        <v>0</v>
      </c>
      <c r="L7" s="134">
        <f>SUM(L5:L6)</f>
        <v>116722</v>
      </c>
    </row>
    <row r="8" spans="1:12" ht="13.5" thickTop="1" x14ac:dyDescent="0.2">
      <c r="A8" s="62"/>
      <c r="B8" s="131"/>
      <c r="C8" s="131"/>
      <c r="D8" s="131"/>
      <c r="E8" s="347"/>
      <c r="F8" s="131"/>
      <c r="G8" s="131"/>
      <c r="H8" s="130"/>
      <c r="I8" s="130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130"/>
      <c r="J9" s="132"/>
      <c r="K9" s="130"/>
      <c r="L9" s="110"/>
    </row>
    <row r="10" spans="1:12" x14ac:dyDescent="0.2">
      <c r="A10" s="62" t="s">
        <v>33</v>
      </c>
      <c r="B10" s="131">
        <f>'[3]Shuttle America'!$EM$27</f>
        <v>0</v>
      </c>
      <c r="C10" s="131">
        <f>'[3]Shuttle America_Delta'!$EM$27</f>
        <v>99</v>
      </c>
      <c r="D10" s="131">
        <f>'[3]Jazz Air'!$EM$37</f>
        <v>1</v>
      </c>
      <c r="E10" s="21">
        <f>[3]Compass!$EM$27+[3]Compass!$EM$37</f>
        <v>1222</v>
      </c>
      <c r="F10" s="21">
        <f>'[3]Atlantic Southeast'!$EM$27+'[3]Atlantic Southeast'!$EM$37</f>
        <v>451</v>
      </c>
      <c r="G10" s="131">
        <f>'[3]Continental Express'!$EM$27</f>
        <v>40</v>
      </c>
      <c r="H10" s="130">
        <f>'[3]Go Jet_UA'!$EM$27</f>
        <v>41</v>
      </c>
      <c r="I10" s="130">
        <f>'[3]Go Jet'!$EM$27</f>
        <v>0</v>
      </c>
      <c r="J10" s="132">
        <f>'[3]Air Wisconsin'!$EM$27</f>
        <v>26</v>
      </c>
      <c r="K10" s="130">
        <f>[3]MESA!$EM$27</f>
        <v>0</v>
      </c>
      <c r="L10" s="110">
        <f>SUM(B10:K10)</f>
        <v>1880</v>
      </c>
    </row>
    <row r="11" spans="1:12" x14ac:dyDescent="0.2">
      <c r="A11" s="62" t="s">
        <v>36</v>
      </c>
      <c r="B11" s="131">
        <f>'[3]Shuttle America'!$EM$28</f>
        <v>0</v>
      </c>
      <c r="C11" s="131">
        <f>'[3]Shuttle America_Delta'!$EM$28</f>
        <v>136</v>
      </c>
      <c r="D11" s="131">
        <f>'[3]Jazz Air'!$EM$38</f>
        <v>4</v>
      </c>
      <c r="E11" s="14">
        <f>[3]Compass!$EM$28+[3]Compass!$EM$38</f>
        <v>1152</v>
      </c>
      <c r="F11" s="14">
        <f>'[3]Atlantic Southeast'!$EM$28+'[3]Atlantic Southeast'!$EM$38</f>
        <v>505</v>
      </c>
      <c r="G11" s="131">
        <f>'[3]Continental Express'!$EM$28</f>
        <v>24</v>
      </c>
      <c r="H11" s="130">
        <f>'[3]Go Jet_UA'!$EM$28</f>
        <v>29</v>
      </c>
      <c r="I11" s="130">
        <f>'[3]Go Jet'!$EM$28</f>
        <v>0</v>
      </c>
      <c r="J11" s="132">
        <f>'[3]Air Wisconsin'!$EM$28</f>
        <v>17</v>
      </c>
      <c r="K11" s="130">
        <f>[3]MESA!$EM$28</f>
        <v>0</v>
      </c>
      <c r="L11" s="115">
        <f>SUM(B11:K11)</f>
        <v>1867</v>
      </c>
    </row>
    <row r="12" spans="1:12" ht="15" thickBot="1" x14ac:dyDescent="0.25">
      <c r="A12" s="74" t="s">
        <v>37</v>
      </c>
      <c r="B12" s="136">
        <f>SUM(B10:B11)</f>
        <v>0</v>
      </c>
      <c r="C12" s="136">
        <f>SUM(C10:C11)</f>
        <v>235</v>
      </c>
      <c r="D12" s="136">
        <f t="shared" ref="D12:K12" si="2">SUM(D10:D11)</f>
        <v>5</v>
      </c>
      <c r="E12" s="136">
        <f t="shared" si="2"/>
        <v>2374</v>
      </c>
      <c r="F12" s="136">
        <f t="shared" si="2"/>
        <v>956</v>
      </c>
      <c r="G12" s="136">
        <f t="shared" si="2"/>
        <v>64</v>
      </c>
      <c r="H12" s="136">
        <f t="shared" si="2"/>
        <v>70</v>
      </c>
      <c r="I12" s="136">
        <f t="shared" ref="I12" si="3">SUM(I10:I11)</f>
        <v>0</v>
      </c>
      <c r="J12" s="136">
        <f t="shared" si="2"/>
        <v>43</v>
      </c>
      <c r="K12" s="136">
        <f t="shared" si="2"/>
        <v>0</v>
      </c>
      <c r="L12" s="137">
        <f>SUM(B12:K12)</f>
        <v>3747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America'!$EM$4</f>
        <v>88</v>
      </c>
      <c r="C15" s="106">
        <f>'[3]Shuttle America_Delta'!$EM$4</f>
        <v>69</v>
      </c>
      <c r="D15" s="107">
        <f>'[3]Jazz Air'!$EM$15</f>
        <v>3</v>
      </c>
      <c r="E15" s="21">
        <f>[3]Compass!$EM$4+[3]Compass!$EM$15</f>
        <v>573</v>
      </c>
      <c r="F15" s="107">
        <f>'[3]Atlantic Southeast'!$EM$4+'[3]Atlantic Southeast'!$EM$15</f>
        <v>302</v>
      </c>
      <c r="G15" s="107">
        <f>'[3]Continental Express'!$EM$4</f>
        <v>23</v>
      </c>
      <c r="H15" s="106">
        <f>'[3]Go Jet_UA'!$EM$4</f>
        <v>26</v>
      </c>
      <c r="I15" s="106">
        <f>'[3]Go Jet'!$EM$4</f>
        <v>0</v>
      </c>
      <c r="J15" s="108">
        <f>'[3]Air Wisconsin'!$EM$4</f>
        <v>12</v>
      </c>
      <c r="K15" s="106">
        <f>[3]MESA!$EM$4</f>
        <v>0</v>
      </c>
      <c r="L15" s="110">
        <f t="shared" ref="L15:L21" si="4">SUM(B15:K15)</f>
        <v>1096</v>
      </c>
    </row>
    <row r="16" spans="1:12" x14ac:dyDescent="0.2">
      <c r="A16" s="62" t="s">
        <v>58</v>
      </c>
      <c r="B16" s="111">
        <f>'[3]Shuttle America'!$EM$5</f>
        <v>88</v>
      </c>
      <c r="C16" s="111">
        <f>'[3]Shuttle America_Delta'!$EM$5</f>
        <v>69</v>
      </c>
      <c r="D16" s="112">
        <f>'[3]Jazz Air'!$EM$16</f>
        <v>4</v>
      </c>
      <c r="E16" s="14">
        <f>[3]Compass!$EM$5+[3]Compass!$EM$16</f>
        <v>570</v>
      </c>
      <c r="F16" s="112">
        <f>'[3]Atlantic Southeast'!$EM$5+'[3]Atlantic Southeast'!$EM$16</f>
        <v>301</v>
      </c>
      <c r="G16" s="112">
        <f>'[3]Continental Express'!$EM$5</f>
        <v>23</v>
      </c>
      <c r="H16" s="111">
        <f>'[3]Go Jet_UA'!$EM$5</f>
        <v>26</v>
      </c>
      <c r="I16" s="111">
        <f>'[3]Go Jet'!$EM$5</f>
        <v>0</v>
      </c>
      <c r="J16" s="113">
        <f>'[3]Air Wisconsin'!$EM$5</f>
        <v>12</v>
      </c>
      <c r="K16" s="111">
        <f>[3]MESA!$EM$5</f>
        <v>0</v>
      </c>
      <c r="L16" s="115">
        <f t="shared" si="4"/>
        <v>1093</v>
      </c>
    </row>
    <row r="17" spans="1:12" x14ac:dyDescent="0.2">
      <c r="A17" s="71" t="s">
        <v>59</v>
      </c>
      <c r="B17" s="116">
        <f>SUM(B15:B16)</f>
        <v>176</v>
      </c>
      <c r="C17" s="116">
        <f>SUM(C15:C16)</f>
        <v>138</v>
      </c>
      <c r="D17" s="116">
        <f t="shared" ref="D17:K17" si="5">SUM(D15:D16)</f>
        <v>7</v>
      </c>
      <c r="E17" s="291">
        <f>SUM(E15:E16)</f>
        <v>1143</v>
      </c>
      <c r="F17" s="116">
        <f t="shared" si="5"/>
        <v>603</v>
      </c>
      <c r="G17" s="116">
        <f t="shared" si="5"/>
        <v>46</v>
      </c>
      <c r="H17" s="116">
        <f t="shared" si="5"/>
        <v>52</v>
      </c>
      <c r="I17" s="116">
        <f t="shared" ref="I17" si="6">SUM(I15:I16)</f>
        <v>0</v>
      </c>
      <c r="J17" s="116">
        <f t="shared" si="5"/>
        <v>24</v>
      </c>
      <c r="K17" s="116">
        <f t="shared" si="5"/>
        <v>0</v>
      </c>
      <c r="L17" s="117">
        <f t="shared" si="4"/>
        <v>2189</v>
      </c>
    </row>
    <row r="18" spans="1:12" x14ac:dyDescent="0.2">
      <c r="A18" s="62" t="s">
        <v>60</v>
      </c>
      <c r="B18" s="118">
        <f>'[3]Shuttle America'!$EM$8</f>
        <v>0</v>
      </c>
      <c r="C18" s="118">
        <f>'[3]Shuttle America_Delta'!$EM$8</f>
        <v>0</v>
      </c>
      <c r="D18" s="118">
        <f>'[3]Jazz Air'!$EM$8</f>
        <v>0</v>
      </c>
      <c r="E18" s="21">
        <f>[3]Compass!$EM$8</f>
        <v>0</v>
      </c>
      <c r="F18" s="109">
        <f>'[3]Atlantic Southeast'!$EM$8</f>
        <v>1</v>
      </c>
      <c r="G18" s="109">
        <f>'[3]Continental Express'!$EM$8</f>
        <v>0</v>
      </c>
      <c r="H18" s="118">
        <f>'[3]Go Jet_UA'!$EM$8</f>
        <v>0</v>
      </c>
      <c r="I18" s="118">
        <f>'[3]Go Jet'!$EM$8</f>
        <v>0</v>
      </c>
      <c r="J18" s="119">
        <f>'[3]Air Wisconsin'!$EM$8</f>
        <v>0</v>
      </c>
      <c r="K18" s="118">
        <f>[3]MESA!$EM$8</f>
        <v>0</v>
      </c>
      <c r="L18" s="110">
        <f t="shared" si="4"/>
        <v>1</v>
      </c>
    </row>
    <row r="19" spans="1:12" x14ac:dyDescent="0.2">
      <c r="A19" s="62" t="s">
        <v>61</v>
      </c>
      <c r="B19" s="120">
        <f>'[3]Shuttle America'!$EM$9</f>
        <v>0</v>
      </c>
      <c r="C19" s="120">
        <f>'[3]Shuttle America_Delta'!$EM$9</f>
        <v>0</v>
      </c>
      <c r="D19" s="120">
        <f>'[3]Jazz Air'!$EM$9</f>
        <v>0</v>
      </c>
      <c r="E19" s="14">
        <f>[3]Compass!$EM$9</f>
        <v>2</v>
      </c>
      <c r="F19" s="114">
        <f>'[3]Atlantic Southeast'!$EM$9</f>
        <v>2</v>
      </c>
      <c r="G19" s="114">
        <f>'[3]Continental Express'!$EM$9</f>
        <v>0</v>
      </c>
      <c r="H19" s="120">
        <f>'[3]Go Jet_UA'!$EM$9</f>
        <v>0</v>
      </c>
      <c r="I19" s="120">
        <f>'[3]Go Jet'!$EM$9</f>
        <v>0</v>
      </c>
      <c r="J19" s="121">
        <f>'[3]Air Wisconsin'!$EM$9</f>
        <v>0</v>
      </c>
      <c r="K19" s="120">
        <f>[3]MESA!$EM$9</f>
        <v>0</v>
      </c>
      <c r="L19" s="115">
        <f t="shared" si="4"/>
        <v>4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7">SUM(D18:D19)</f>
        <v>0</v>
      </c>
      <c r="E20" s="291">
        <f>SUM(E18:E19)</f>
        <v>2</v>
      </c>
      <c r="F20" s="116">
        <f t="shared" si="7"/>
        <v>3</v>
      </c>
      <c r="G20" s="116">
        <f t="shared" si="7"/>
        <v>0</v>
      </c>
      <c r="H20" s="116">
        <f t="shared" si="7"/>
        <v>0</v>
      </c>
      <c r="I20" s="116">
        <f t="shared" ref="I20" si="8">SUM(I18:I19)</f>
        <v>0</v>
      </c>
      <c r="J20" s="116">
        <f t="shared" si="7"/>
        <v>0</v>
      </c>
      <c r="K20" s="116">
        <f t="shared" si="7"/>
        <v>0</v>
      </c>
      <c r="L20" s="117">
        <f t="shared" si="4"/>
        <v>5</v>
      </c>
    </row>
    <row r="21" spans="1:12" ht="15.75" thickBot="1" x14ac:dyDescent="0.3">
      <c r="A21" s="72" t="s">
        <v>31</v>
      </c>
      <c r="B21" s="122">
        <f>SUM(B20,B17)</f>
        <v>176</v>
      </c>
      <c r="C21" s="122">
        <f>SUM(C20,C17)</f>
        <v>138</v>
      </c>
      <c r="D21" s="122">
        <f t="shared" ref="D21:K21" si="9">SUM(D20,D17)</f>
        <v>7</v>
      </c>
      <c r="E21" s="122">
        <f t="shared" si="9"/>
        <v>1145</v>
      </c>
      <c r="F21" s="122">
        <f t="shared" si="9"/>
        <v>606</v>
      </c>
      <c r="G21" s="122">
        <f t="shared" si="9"/>
        <v>46</v>
      </c>
      <c r="H21" s="122">
        <f t="shared" si="9"/>
        <v>52</v>
      </c>
      <c r="I21" s="122">
        <f t="shared" ref="I21" si="10">SUM(I20,I17)</f>
        <v>0</v>
      </c>
      <c r="J21" s="122">
        <f t="shared" si="9"/>
        <v>24</v>
      </c>
      <c r="K21" s="122">
        <f t="shared" si="9"/>
        <v>0</v>
      </c>
      <c r="L21" s="123">
        <f t="shared" si="4"/>
        <v>2194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America'!$EM$47</f>
        <v>0</v>
      </c>
      <c r="C25" s="130">
        <f>'[3]Shuttle America_Delta'!$EM$47</f>
        <v>0</v>
      </c>
      <c r="D25" s="130">
        <f>'[3]Jazz Air'!$EM$47</f>
        <v>0</v>
      </c>
      <c r="E25" s="130">
        <f>[3]Compass!$EM$47</f>
        <v>0</v>
      </c>
      <c r="F25" s="131">
        <f>'[3]Atlantic Southeast'!$EM$47</f>
        <v>0</v>
      </c>
      <c r="G25" s="131">
        <f>'[3]Continental Express'!$EM$47</f>
        <v>0</v>
      </c>
      <c r="H25" s="130">
        <f>'[3]Go Jet_UA'!$EM$47</f>
        <v>0</v>
      </c>
      <c r="I25" s="130">
        <f>'[3]Go Jet'!$EM$47</f>
        <v>0</v>
      </c>
      <c r="J25" s="132">
        <f>'[3]Air Wisconsin'!$EM$47</f>
        <v>0</v>
      </c>
      <c r="K25" s="130">
        <f>[3]MESA!$EM$47</f>
        <v>0</v>
      </c>
      <c r="L25" s="110">
        <f>SUM(B25:K25)</f>
        <v>0</v>
      </c>
    </row>
    <row r="26" spans="1:12" x14ac:dyDescent="0.2">
      <c r="A26" s="75" t="s">
        <v>41</v>
      </c>
      <c r="B26" s="130">
        <f>'[3]Shuttle America'!$EM$48</f>
        <v>0</v>
      </c>
      <c r="C26" s="130">
        <f>'[3]Shuttle America_Delta'!$EM$48</f>
        <v>0</v>
      </c>
      <c r="D26" s="130">
        <f>'[3]Jazz Air'!$EM$48</f>
        <v>0</v>
      </c>
      <c r="E26" s="130">
        <f>[3]Compass!$EM$48</f>
        <v>0</v>
      </c>
      <c r="F26" s="131">
        <f>'[3]Atlantic Southeast'!$EM$48</f>
        <v>0</v>
      </c>
      <c r="G26" s="131">
        <f>'[3]Continental Express'!$EM$48</f>
        <v>0</v>
      </c>
      <c r="H26" s="130">
        <f>'[3]Go Jet_UA'!$EM$48</f>
        <v>0</v>
      </c>
      <c r="I26" s="130">
        <f>'[3]Go Jet'!$EM$48</f>
        <v>0</v>
      </c>
      <c r="J26" s="132">
        <f>'[3]Air Wisconsin'!$EM$48</f>
        <v>0</v>
      </c>
      <c r="K26" s="130">
        <f>[3]MESA!$EM$48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0</v>
      </c>
      <c r="D27" s="133">
        <f t="shared" ref="D27:K27" si="11">SUM(D25:D26)</f>
        <v>0</v>
      </c>
      <c r="E27" s="133">
        <f>SUM(E25:E26)</f>
        <v>0</v>
      </c>
      <c r="F27" s="133">
        <f t="shared" si="11"/>
        <v>0</v>
      </c>
      <c r="G27" s="133">
        <f t="shared" si="11"/>
        <v>0</v>
      </c>
      <c r="H27" s="133">
        <f t="shared" si="11"/>
        <v>0</v>
      </c>
      <c r="I27" s="133">
        <f t="shared" ref="I27" si="12">SUM(I25:I26)</f>
        <v>0</v>
      </c>
      <c r="J27" s="133">
        <f t="shared" si="11"/>
        <v>0</v>
      </c>
      <c r="K27" s="133">
        <f t="shared" si="11"/>
        <v>0</v>
      </c>
      <c r="L27" s="134">
        <f>SUM(B27:K27)</f>
        <v>0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America'!$EM$52</f>
        <v>0</v>
      </c>
      <c r="C30" s="130">
        <f>'[3]Shuttle America_Delta'!$EM$52</f>
        <v>0</v>
      </c>
      <c r="D30" s="130">
        <f>'[3]Jazz Air'!$EM$52</f>
        <v>0</v>
      </c>
      <c r="E30" s="130">
        <f>[3]Compass!$EM$52</f>
        <v>0</v>
      </c>
      <c r="F30" s="131">
        <f>'[3]Atlantic Southeast'!$EM$52</f>
        <v>0</v>
      </c>
      <c r="G30" s="131">
        <f>'[3]Continental Express'!$EM$52</f>
        <v>0</v>
      </c>
      <c r="H30" s="130">
        <f>'[3]Go Jet_UA'!$EM$52</f>
        <v>0</v>
      </c>
      <c r="I30" s="130">
        <f>'[3]Go Jet'!$EM$52</f>
        <v>0</v>
      </c>
      <c r="J30" s="132">
        <f>'[3]Air Wisconsin'!BH$52</f>
        <v>0</v>
      </c>
      <c r="K30" s="130">
        <f>[3]MESA!$EM$52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America'!$EM$53</f>
        <v>0</v>
      </c>
      <c r="C31" s="130">
        <f>'[3]Shuttle America_Delta'!$EM$53</f>
        <v>0</v>
      </c>
      <c r="D31" s="130">
        <f>'[3]Jazz Air'!$EM$53</f>
        <v>0</v>
      </c>
      <c r="E31" s="130">
        <f>[3]Compass!$EM$53</f>
        <v>0</v>
      </c>
      <c r="F31" s="131">
        <f>'[3]Atlantic Southeast'!$EM$53</f>
        <v>0</v>
      </c>
      <c r="G31" s="131">
        <f>'[3]Continental Express'!$EM$53</f>
        <v>0</v>
      </c>
      <c r="H31" s="130">
        <f>'[3]Go Jet_UA'!$EM$53</f>
        <v>0</v>
      </c>
      <c r="I31" s="130">
        <f>'[3]Go Jet'!$EM$53</f>
        <v>0</v>
      </c>
      <c r="J31" s="132">
        <f>'[3]Air Wisconsin'!$EM$53</f>
        <v>0</v>
      </c>
      <c r="K31" s="130">
        <f>[3]MESA!$EM$53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3">SUM(B30:B31)</f>
        <v>0</v>
      </c>
      <c r="C32" s="133">
        <f t="shared" si="13"/>
        <v>0</v>
      </c>
      <c r="D32" s="133">
        <f t="shared" si="13"/>
        <v>0</v>
      </c>
      <c r="E32" s="133">
        <f t="shared" si="13"/>
        <v>0</v>
      </c>
      <c r="F32" s="133">
        <f t="shared" si="13"/>
        <v>0</v>
      </c>
      <c r="G32" s="133">
        <f t="shared" si="13"/>
        <v>0</v>
      </c>
      <c r="H32" s="133">
        <f t="shared" si="13"/>
        <v>0</v>
      </c>
      <c r="I32" s="133">
        <f t="shared" ref="I32" si="14">SUM(I30:I31)</f>
        <v>0</v>
      </c>
      <c r="J32" s="133">
        <f t="shared" si="13"/>
        <v>0</v>
      </c>
      <c r="K32" s="133">
        <f t="shared" si="13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America'!$EM$57</f>
        <v>0</v>
      </c>
      <c r="C35" s="130">
        <f>'[3]Shuttle America_Delta'!$EM$57</f>
        <v>0</v>
      </c>
      <c r="D35" s="130">
        <f>'[3]Jazz Air'!$EM$57</f>
        <v>0</v>
      </c>
      <c r="E35" s="130">
        <f>[3]Compass!$EM$57</f>
        <v>0</v>
      </c>
      <c r="F35" s="131">
        <f>'[3]Atlantic Southeast'!$EM$57</f>
        <v>0</v>
      </c>
      <c r="G35" s="131">
        <f>'[3]Continental Express'!$EM$57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'[3]Jazz Air'!BG$58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5">SUM(D35:D36)</f>
        <v>0</v>
      </c>
      <c r="E37" s="141">
        <f>SUM(E35:E36)</f>
        <v>0</v>
      </c>
      <c r="F37" s="142">
        <f t="shared" si="15"/>
        <v>0</v>
      </c>
      <c r="G37" s="142">
        <f t="shared" si="15"/>
        <v>0</v>
      </c>
      <c r="H37" s="141">
        <f t="shared" si="15"/>
        <v>0</v>
      </c>
      <c r="I37" s="141">
        <f t="shared" ref="I37" si="16">SUM(I35:I36)</f>
        <v>0</v>
      </c>
      <c r="J37" s="141">
        <f t="shared" si="15"/>
        <v>0</v>
      </c>
      <c r="K37" s="141">
        <f t="shared" si="15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7">SUM(B35,B30,B25)</f>
        <v>0</v>
      </c>
      <c r="C40" s="130">
        <f>SUM(C35,C30,C25)</f>
        <v>0</v>
      </c>
      <c r="D40" s="130">
        <f t="shared" si="17"/>
        <v>0</v>
      </c>
      <c r="E40" s="130">
        <f t="shared" si="17"/>
        <v>0</v>
      </c>
      <c r="F40" s="130">
        <f t="shared" si="17"/>
        <v>0</v>
      </c>
      <c r="G40" s="130">
        <f t="shared" si="17"/>
        <v>0</v>
      </c>
      <c r="H40" s="130">
        <f>SUM(H35,H30,H25)</f>
        <v>0</v>
      </c>
      <c r="I40" s="130">
        <f>SUM(I35,I30,I25)</f>
        <v>0</v>
      </c>
      <c r="J40" s="130">
        <f t="shared" si="17"/>
        <v>0</v>
      </c>
      <c r="K40" s="130">
        <f t="shared" si="17"/>
        <v>0</v>
      </c>
      <c r="L40" s="110">
        <f>SUM(B40:K40)</f>
        <v>0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8">SUM(D36,D31,D26)</f>
        <v>0</v>
      </c>
      <c r="E41" s="130">
        <f t="shared" si="18"/>
        <v>0</v>
      </c>
      <c r="F41" s="130">
        <f t="shared" si="18"/>
        <v>0</v>
      </c>
      <c r="G41" s="130">
        <f t="shared" si="18"/>
        <v>0</v>
      </c>
      <c r="H41" s="130">
        <f>SUM(H36,H31,H26)</f>
        <v>0</v>
      </c>
      <c r="I41" s="130">
        <f>SUM(I36,I31,I26)</f>
        <v>0</v>
      </c>
      <c r="J41" s="130">
        <f t="shared" si="18"/>
        <v>0</v>
      </c>
      <c r="K41" s="130">
        <f t="shared" si="18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0</v>
      </c>
      <c r="D42" s="136">
        <f t="shared" ref="D42:K42" si="19">SUM(D40:D41)</f>
        <v>0</v>
      </c>
      <c r="E42" s="136">
        <f t="shared" si="19"/>
        <v>0</v>
      </c>
      <c r="F42" s="136">
        <f t="shared" si="19"/>
        <v>0</v>
      </c>
      <c r="G42" s="136">
        <f t="shared" si="19"/>
        <v>0</v>
      </c>
      <c r="H42" s="136">
        <f t="shared" si="19"/>
        <v>0</v>
      </c>
      <c r="I42" s="136">
        <f t="shared" ref="I42" si="20">SUM(I40:I41)</f>
        <v>0</v>
      </c>
      <c r="J42" s="136">
        <f t="shared" si="19"/>
        <v>0</v>
      </c>
      <c r="K42" s="136">
        <f t="shared" si="19"/>
        <v>0</v>
      </c>
      <c r="L42" s="137">
        <f>SUM(B42:K42)</f>
        <v>0</v>
      </c>
    </row>
    <row r="43" spans="1:12" ht="4.5" customHeight="1" x14ac:dyDescent="0.2"/>
    <row r="44" spans="1:12" hidden="1" x14ac:dyDescent="0.2">
      <c r="A44" s="328" t="s">
        <v>131</v>
      </c>
      <c r="E44" s="327">
        <f>[3]Compass!BG$70+[3]Compass!BG$73</f>
        <v>27782</v>
      </c>
      <c r="F44" s="313"/>
      <c r="L44" s="315">
        <f>SUM(E44:E44)</f>
        <v>27782</v>
      </c>
    </row>
    <row r="45" spans="1:12" hidden="1" x14ac:dyDescent="0.2">
      <c r="A45" s="328" t="s">
        <v>132</v>
      </c>
      <c r="E45" s="327">
        <f>[3]Compass!BG$71+[3]Compass!BG$74</f>
        <v>47176</v>
      </c>
      <c r="F45" s="331"/>
      <c r="L45" s="315">
        <f>SUM(E45:E45)</f>
        <v>47176</v>
      </c>
    </row>
    <row r="46" spans="1:12" x14ac:dyDescent="0.2">
      <c r="A46" s="386" t="s">
        <v>128</v>
      </c>
      <c r="C46" s="327">
        <f>'[3]Shuttle America_Delta'!$EM$70+'[3]Shuttle America_Delta'!$EM$73</f>
        <v>1024</v>
      </c>
      <c r="E46" s="327">
        <f>[3]Compass!$EM$70+[3]Compass!$EM$73</f>
        <v>16054</v>
      </c>
      <c r="F46" s="327">
        <f>'[3]Atlantic Southeast'!$EM$70+'[3]Atlantic Southeast'!$EM$73</f>
        <v>5733</v>
      </c>
      <c r="I46" s="327">
        <f>'[3]Go Jet'!$EM$70+'[3]Go Jet'!$EM$73</f>
        <v>0</v>
      </c>
      <c r="L46" s="400">
        <f>SUM(B46:K46)</f>
        <v>22811</v>
      </c>
    </row>
    <row r="47" spans="1:12" x14ac:dyDescent="0.2">
      <c r="A47" s="401" t="s">
        <v>129</v>
      </c>
      <c r="C47" s="327">
        <f>'[3]Shuttle America_Delta'!$EM$71+'[3]Shuttle America_Delta'!$EM$74</f>
        <v>1987</v>
      </c>
      <c r="E47" s="327">
        <f>[3]Compass!$EM$71+[3]Compass!$EM$74</f>
        <v>17116</v>
      </c>
      <c r="F47" s="327">
        <f>'[3]Atlantic Southeast'!$EM$71+'[3]Atlantic Southeast'!$EM$74</f>
        <v>9353</v>
      </c>
      <c r="I47" s="327">
        <f>'[3]Go Jet'!$EM$71+'[3]Go Jet'!$EM$74</f>
        <v>0</v>
      </c>
      <c r="L47" s="400">
        <f>SUM(B47:K47)</f>
        <v>28456</v>
      </c>
    </row>
  </sheetData>
  <phoneticPr fontId="6" type="noConversion"/>
  <printOptions horizontalCentered="1"/>
  <pageMargins left="0.75" right="0.75" top="0.92" bottom="1" header="0.5" footer="0.5"/>
  <pageSetup scale="90" orientation="landscape" r:id="rId1"/>
  <headerFooter alignWithMargins="0">
    <oddHeader>&amp;L
Schedule 5
&amp;CMinneapolis-St. Paul International Airport
&amp;"Arial,Bold"Other Regional
February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I14" sqref="I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0">
        <v>42401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31"/>
      <c r="C4" s="184"/>
      <c r="D4" s="184"/>
      <c r="E4" s="184"/>
      <c r="F4" s="184"/>
      <c r="G4" s="254"/>
    </row>
    <row r="5" spans="1:17" x14ac:dyDescent="0.2">
      <c r="A5" s="62" t="s">
        <v>33</v>
      </c>
      <c r="B5" s="431">
        <f>'[3]Charter Misc'!$EM$22</f>
        <v>92</v>
      </c>
      <c r="C5" s="184">
        <f>[3]Ryan!$EM$22</f>
        <v>0</v>
      </c>
      <c r="D5" s="184">
        <f>'[3]Charter Misc'!$EM$32</f>
        <v>0</v>
      </c>
      <c r="E5" s="184">
        <f>[3]Omni!$EM$32</f>
        <v>0</v>
      </c>
      <c r="F5" s="184">
        <f>[3]Xtra!$EM$32+[3]Xtra!$EM$22</f>
        <v>0</v>
      </c>
      <c r="G5" s="346">
        <f>SUM(B5:F5)</f>
        <v>92</v>
      </c>
    </row>
    <row r="6" spans="1:17" x14ac:dyDescent="0.2">
      <c r="A6" s="62" t="s">
        <v>34</v>
      </c>
      <c r="B6" s="432">
        <f>'[3]Charter Misc'!$EM$23</f>
        <v>50</v>
      </c>
      <c r="C6" s="187">
        <f>[3]Ryan!$EM$23</f>
        <v>0</v>
      </c>
      <c r="D6" s="187">
        <f>'[3]Charter Misc'!$EM$33</f>
        <v>0</v>
      </c>
      <c r="E6" s="187">
        <f>[3]Omni!$EM$33</f>
        <v>0</v>
      </c>
      <c r="F6" s="187">
        <f>[3]Xtra!$EM$33+[3]Xtra!$EM$23</f>
        <v>0</v>
      </c>
      <c r="G6" s="345">
        <f>SUM(B6:F6)</f>
        <v>50</v>
      </c>
    </row>
    <row r="7" spans="1:17" ht="15.75" thickBot="1" x14ac:dyDescent="0.3">
      <c r="A7" s="183" t="s">
        <v>7</v>
      </c>
      <c r="B7" s="433">
        <f>SUM(B5:B6)</f>
        <v>142</v>
      </c>
      <c r="C7" s="303">
        <f>SUM(C5:C6)</f>
        <v>0</v>
      </c>
      <c r="D7" s="303">
        <f>SUM(D5:D6)</f>
        <v>0</v>
      </c>
      <c r="E7" s="303">
        <f>SUM(E5:E6)</f>
        <v>0</v>
      </c>
      <c r="F7" s="303">
        <f>SUM(F5:F6)</f>
        <v>0</v>
      </c>
      <c r="G7" s="304">
        <f>SUM(B7:F7)</f>
        <v>142</v>
      </c>
    </row>
    <row r="8" spans="1:17" ht="13.5" thickBot="1" x14ac:dyDescent="0.25"/>
    <row r="9" spans="1:17" x14ac:dyDescent="0.2">
      <c r="A9" s="181" t="s">
        <v>9</v>
      </c>
      <c r="B9" s="434"/>
      <c r="C9" s="45"/>
      <c r="D9" s="45"/>
      <c r="E9" s="45"/>
      <c r="F9" s="45"/>
      <c r="G9" s="57"/>
    </row>
    <row r="10" spans="1:17" x14ac:dyDescent="0.2">
      <c r="A10" s="182" t="s">
        <v>84</v>
      </c>
      <c r="B10" s="431">
        <f>'[3]Charter Misc'!$EM$4</f>
        <v>1</v>
      </c>
      <c r="C10" s="184">
        <f>[3]Ryan!$EM$4</f>
        <v>0</v>
      </c>
      <c r="D10" s="184">
        <f>'[3]Charter Misc'!$EM$15</f>
        <v>0</v>
      </c>
      <c r="E10" s="184">
        <f>[3]Omni!$EM$15</f>
        <v>0</v>
      </c>
      <c r="F10" s="184">
        <f>[3]Xtra!$EM$15+[3]Xtra!$EM$4</f>
        <v>0</v>
      </c>
      <c r="G10" s="345">
        <f>SUM(B10:F10)</f>
        <v>1</v>
      </c>
    </row>
    <row r="11" spans="1:17" x14ac:dyDescent="0.2">
      <c r="A11" s="182" t="s">
        <v>85</v>
      </c>
      <c r="B11" s="431">
        <f>'[3]Charter Misc'!$EM$5</f>
        <v>1</v>
      </c>
      <c r="C11" s="184">
        <f>[3]Ryan!$EM$5</f>
        <v>0</v>
      </c>
      <c r="D11" s="184">
        <f>'[3]Charter Misc'!$EM$16</f>
        <v>0</v>
      </c>
      <c r="E11" s="184">
        <f>[3]Omni!$EM$16</f>
        <v>0</v>
      </c>
      <c r="F11" s="184">
        <f>[3]Xtra!$EM$16+[3]Xtra!$EM$5</f>
        <v>0</v>
      </c>
      <c r="G11" s="345">
        <f>SUM(B11:F11)</f>
        <v>1</v>
      </c>
    </row>
    <row r="12" spans="1:17" ht="15.75" thickBot="1" x14ac:dyDescent="0.3">
      <c r="A12" s="282" t="s">
        <v>31</v>
      </c>
      <c r="B12" s="435">
        <f>SUM(B10:B11)</f>
        <v>2</v>
      </c>
      <c r="C12" s="305">
        <f>SUM(C10:C11)</f>
        <v>0</v>
      </c>
      <c r="D12" s="305">
        <f>SUM(D10:D11)</f>
        <v>0</v>
      </c>
      <c r="E12" s="305">
        <f>SUM(E10:E11)</f>
        <v>0</v>
      </c>
      <c r="F12" s="305">
        <f>SUM(F10:F11)</f>
        <v>0</v>
      </c>
      <c r="G12" s="306">
        <f>SUM(B12:F12)</f>
        <v>2</v>
      </c>
      <c r="Q12" s="130"/>
    </row>
    <row r="17" spans="1:16" x14ac:dyDescent="0.2">
      <c r="B17" s="487" t="s">
        <v>161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2"/>
      <c r="E18" s="226"/>
      <c r="G18" s="226"/>
      <c r="H18" s="226"/>
      <c r="L18" s="233"/>
      <c r="N18" s="234"/>
    </row>
    <row r="19" spans="1:16" ht="13.5" customHeight="1" thickBot="1" x14ac:dyDescent="0.25">
      <c r="A19" s="415"/>
      <c r="B19" s="490" t="s">
        <v>125</v>
      </c>
      <c r="C19" s="491"/>
      <c r="D19" s="491"/>
      <c r="E19" s="492"/>
      <c r="G19" s="490" t="s">
        <v>126</v>
      </c>
      <c r="H19" s="493"/>
      <c r="I19" s="493"/>
      <c r="J19" s="494"/>
      <c r="L19" s="495" t="s">
        <v>127</v>
      </c>
      <c r="M19" s="496"/>
      <c r="N19" s="496"/>
      <c r="O19" s="497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3" t="s">
        <v>189</v>
      </c>
      <c r="J20" s="443" t="s">
        <v>180</v>
      </c>
      <c r="K20" s="243" t="s">
        <v>103</v>
      </c>
      <c r="L20" s="242" t="s">
        <v>107</v>
      </c>
      <c r="M20" s="236" t="s">
        <v>108</v>
      </c>
      <c r="N20" s="443" t="s">
        <v>189</v>
      </c>
      <c r="O20" s="443" t="s">
        <v>180</v>
      </c>
      <c r="P20" s="243" t="s">
        <v>103</v>
      </c>
    </row>
    <row r="21" spans="1:16" ht="14.1" customHeight="1" x14ac:dyDescent="0.2">
      <c r="A21" s="246" t="s">
        <v>109</v>
      </c>
      <c r="B21" s="476">
        <f>+[2]Charter!$B$21</f>
        <v>135014</v>
      </c>
      <c r="C21" s="477">
        <f>+[2]Charter!$C$21</f>
        <v>133261</v>
      </c>
      <c r="D21" s="341">
        <f t="shared" ref="D21:D32" si="0">SUM(B21:C21)</f>
        <v>268275</v>
      </c>
      <c r="E21" s="478">
        <f>[4]Charter!$D$21</f>
        <v>236565</v>
      </c>
      <c r="F21" s="344">
        <f t="shared" ref="F21:F32" si="1">(D21-E21)/E21</f>
        <v>0.13404349755881048</v>
      </c>
      <c r="G21" s="476">
        <f>L21-B21</f>
        <v>1203116</v>
      </c>
      <c r="H21" s="477">
        <f>M21-C21</f>
        <v>1225993</v>
      </c>
      <c r="I21" s="341">
        <f>SUM(G21:H21)</f>
        <v>2429109</v>
      </c>
      <c r="J21" s="478">
        <f>[4]Charter!$I$21</f>
        <v>2357435</v>
      </c>
      <c r="K21" s="247">
        <f t="shared" ref="K21:K32" si="2">(I21-J21)/J21</f>
        <v>3.0403383338246867E-2</v>
      </c>
      <c r="L21" s="476">
        <f>+[2]Charter!$L$21</f>
        <v>1338130</v>
      </c>
      <c r="M21" s="477">
        <f>+[2]Charter!$M$21</f>
        <v>1359254</v>
      </c>
      <c r="N21" s="341">
        <f t="shared" ref="N21:N32" si="3">SUM(L21:M21)</f>
        <v>2697384</v>
      </c>
      <c r="O21" s="478">
        <f>[4]Charter!$N$21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7">
        <f>'Intl Detail'!$N$4+'Intl Detail'!$N$9</f>
        <v>140758</v>
      </c>
      <c r="C22" s="339">
        <f>'Intl Detail'!$N$5+'Intl Detail'!$N$10</f>
        <v>141113</v>
      </c>
      <c r="D22" s="338">
        <f t="shared" si="0"/>
        <v>281871</v>
      </c>
      <c r="E22" s="343">
        <f>[1]Charter!$D$22</f>
        <v>251730</v>
      </c>
      <c r="F22" s="340">
        <f t="shared" si="1"/>
        <v>0.11973543081873436</v>
      </c>
      <c r="G22" s="337">
        <f>L22-B22</f>
        <v>1175038</v>
      </c>
      <c r="H22" s="339">
        <f>M22-C22</f>
        <v>1184918</v>
      </c>
      <c r="I22" s="338">
        <f>SUM(G22:H22)</f>
        <v>2359956</v>
      </c>
      <c r="J22" s="343">
        <f>[1]Charter!$I$22</f>
        <v>2278585</v>
      </c>
      <c r="K22" s="250">
        <f t="shared" si="2"/>
        <v>3.5711197958382068E-2</v>
      </c>
      <c r="L22" s="337">
        <f>'Monthly Summary'!$B$11</f>
        <v>1315796</v>
      </c>
      <c r="M22" s="339">
        <f>'Monthly Summary'!$C$11</f>
        <v>1326031</v>
      </c>
      <c r="N22" s="338">
        <f t="shared" si="3"/>
        <v>2641827</v>
      </c>
      <c r="O22" s="343">
        <f>[1]Charter!$N$22</f>
        <v>2530315</v>
      </c>
      <c r="P22" s="249">
        <f t="shared" ref="P22:P32" si="4">(N22-O22)/O22</f>
        <v>4.407040230168971E-2</v>
      </c>
    </row>
    <row r="23" spans="1:16" ht="14.1" customHeight="1" x14ac:dyDescent="0.2">
      <c r="A23" s="248" t="s">
        <v>111</v>
      </c>
      <c r="B23" s="337"/>
      <c r="C23" s="339"/>
      <c r="D23" s="338">
        <f t="shared" si="0"/>
        <v>0</v>
      </c>
      <c r="E23" s="342"/>
      <c r="F23" s="249" t="e">
        <f t="shared" si="1"/>
        <v>#DIV/0!</v>
      </c>
      <c r="G23" s="337"/>
      <c r="H23" s="339"/>
      <c r="I23" s="338">
        <f>SUM(G23:H23)</f>
        <v>0</v>
      </c>
      <c r="J23" s="342"/>
      <c r="K23" s="250" t="e">
        <f t="shared" si="2"/>
        <v>#DIV/0!</v>
      </c>
      <c r="L23" s="337"/>
      <c r="M23" s="339"/>
      <c r="N23" s="338">
        <f t="shared" si="3"/>
        <v>0</v>
      </c>
      <c r="O23" s="342"/>
      <c r="P23" s="249" t="e">
        <f t="shared" si="4"/>
        <v>#DIV/0!</v>
      </c>
    </row>
    <row r="24" spans="1:16" ht="14.1" customHeight="1" x14ac:dyDescent="0.2">
      <c r="A24" s="248" t="s">
        <v>112</v>
      </c>
      <c r="B24" s="337"/>
      <c r="C24" s="339"/>
      <c r="D24" s="338">
        <f t="shared" si="0"/>
        <v>0</v>
      </c>
      <c r="E24" s="342"/>
      <c r="F24" s="249" t="e">
        <f t="shared" si="1"/>
        <v>#DIV/0!</v>
      </c>
      <c r="G24" s="337"/>
      <c r="H24" s="339"/>
      <c r="I24" s="338">
        <f>SUM(G24:H24)</f>
        <v>0</v>
      </c>
      <c r="J24" s="342"/>
      <c r="K24" s="250" t="e">
        <f t="shared" si="2"/>
        <v>#DIV/0!</v>
      </c>
      <c r="L24" s="337"/>
      <c r="M24" s="339"/>
      <c r="N24" s="338">
        <f t="shared" si="3"/>
        <v>0</v>
      </c>
      <c r="O24" s="342"/>
      <c r="P24" s="249" t="e">
        <f t="shared" si="4"/>
        <v>#DIV/0!</v>
      </c>
    </row>
    <row r="25" spans="1:16" ht="14.1" customHeight="1" x14ac:dyDescent="0.2">
      <c r="A25" s="235" t="s">
        <v>80</v>
      </c>
      <c r="B25" s="337"/>
      <c r="C25" s="339"/>
      <c r="D25" s="338">
        <f t="shared" si="0"/>
        <v>0</v>
      </c>
      <c r="E25" s="342"/>
      <c r="F25" s="238" t="e">
        <f t="shared" si="1"/>
        <v>#DIV/0!</v>
      </c>
      <c r="G25" s="337"/>
      <c r="H25" s="339"/>
      <c r="I25" s="338">
        <f t="shared" ref="I25:I32" si="5">SUM(G25:H25)</f>
        <v>0</v>
      </c>
      <c r="J25" s="342"/>
      <c r="K25" s="244" t="e">
        <f t="shared" si="2"/>
        <v>#DIV/0!</v>
      </c>
      <c r="L25" s="337"/>
      <c r="M25" s="339"/>
      <c r="N25" s="338">
        <f t="shared" si="3"/>
        <v>0</v>
      </c>
      <c r="O25" s="342"/>
      <c r="P25" s="238" t="e">
        <f t="shared" si="4"/>
        <v>#DIV/0!</v>
      </c>
    </row>
    <row r="26" spans="1:16" ht="14.1" customHeight="1" x14ac:dyDescent="0.2">
      <c r="A26" s="248" t="s">
        <v>113</v>
      </c>
      <c r="B26" s="337"/>
      <c r="C26" s="339"/>
      <c r="D26" s="338">
        <f t="shared" si="0"/>
        <v>0</v>
      </c>
      <c r="E26" s="342"/>
      <c r="F26" s="249" t="e">
        <f t="shared" si="1"/>
        <v>#DIV/0!</v>
      </c>
      <c r="G26" s="337"/>
      <c r="H26" s="339"/>
      <c r="I26" s="338">
        <f t="shared" si="5"/>
        <v>0</v>
      </c>
      <c r="J26" s="342"/>
      <c r="K26" s="250" t="e">
        <f t="shared" si="2"/>
        <v>#DIV/0!</v>
      </c>
      <c r="L26" s="337"/>
      <c r="M26" s="339"/>
      <c r="N26" s="338">
        <f t="shared" si="3"/>
        <v>0</v>
      </c>
      <c r="O26" s="342"/>
      <c r="P26" s="249" t="e">
        <f t="shared" si="4"/>
        <v>#DIV/0!</v>
      </c>
    </row>
    <row r="27" spans="1:16" ht="14.1" customHeight="1" x14ac:dyDescent="0.2">
      <c r="A27" s="235" t="s">
        <v>114</v>
      </c>
      <c r="B27" s="337"/>
      <c r="C27" s="339"/>
      <c r="D27" s="338">
        <f t="shared" si="0"/>
        <v>0</v>
      </c>
      <c r="E27" s="342"/>
      <c r="F27" s="238" t="e">
        <f t="shared" si="1"/>
        <v>#DIV/0!</v>
      </c>
      <c r="G27" s="337"/>
      <c r="H27" s="339"/>
      <c r="I27" s="338">
        <f t="shared" si="5"/>
        <v>0</v>
      </c>
      <c r="J27" s="342"/>
      <c r="K27" s="244" t="e">
        <f t="shared" si="2"/>
        <v>#DIV/0!</v>
      </c>
      <c r="L27" s="337"/>
      <c r="M27" s="339"/>
      <c r="N27" s="338">
        <f t="shared" si="3"/>
        <v>0</v>
      </c>
      <c r="O27" s="342"/>
      <c r="P27" s="238" t="e">
        <f t="shared" si="4"/>
        <v>#DIV/0!</v>
      </c>
    </row>
    <row r="28" spans="1:16" ht="14.1" customHeight="1" x14ac:dyDescent="0.2">
      <c r="A28" s="248" t="s">
        <v>115</v>
      </c>
      <c r="B28" s="337"/>
      <c r="C28" s="339"/>
      <c r="D28" s="338">
        <f t="shared" si="0"/>
        <v>0</v>
      </c>
      <c r="E28" s="342"/>
      <c r="F28" s="249" t="e">
        <f t="shared" si="1"/>
        <v>#DIV/0!</v>
      </c>
      <c r="G28" s="337"/>
      <c r="H28" s="339"/>
      <c r="I28" s="338">
        <f t="shared" si="5"/>
        <v>0</v>
      </c>
      <c r="J28" s="342"/>
      <c r="K28" s="250" t="e">
        <f t="shared" si="2"/>
        <v>#DIV/0!</v>
      </c>
      <c r="L28" s="337"/>
      <c r="M28" s="339"/>
      <c r="N28" s="338">
        <f t="shared" si="3"/>
        <v>0</v>
      </c>
      <c r="O28" s="342"/>
      <c r="P28" s="249" t="e">
        <f t="shared" si="4"/>
        <v>#DIV/0!</v>
      </c>
    </row>
    <row r="29" spans="1:16" ht="14.1" customHeight="1" x14ac:dyDescent="0.2">
      <c r="A29" s="235" t="s">
        <v>116</v>
      </c>
      <c r="B29" s="337"/>
      <c r="C29" s="339"/>
      <c r="D29" s="338">
        <f t="shared" si="0"/>
        <v>0</v>
      </c>
      <c r="E29" s="342"/>
      <c r="F29" s="238" t="e">
        <f t="shared" si="1"/>
        <v>#DIV/0!</v>
      </c>
      <c r="G29" s="337"/>
      <c r="H29" s="339"/>
      <c r="I29" s="338">
        <f t="shared" si="5"/>
        <v>0</v>
      </c>
      <c r="J29" s="342"/>
      <c r="K29" s="244" t="e">
        <f t="shared" si="2"/>
        <v>#DIV/0!</v>
      </c>
      <c r="L29" s="337"/>
      <c r="M29" s="339"/>
      <c r="N29" s="338">
        <f t="shared" si="3"/>
        <v>0</v>
      </c>
      <c r="O29" s="342"/>
      <c r="P29" s="238" t="e">
        <f t="shared" si="4"/>
        <v>#DIV/0!</v>
      </c>
    </row>
    <row r="30" spans="1:16" ht="14.1" customHeight="1" x14ac:dyDescent="0.2">
      <c r="A30" s="248" t="s">
        <v>117</v>
      </c>
      <c r="B30" s="337"/>
      <c r="C30" s="339"/>
      <c r="D30" s="338">
        <f>SUM(B30:C30)</f>
        <v>0</v>
      </c>
      <c r="E30" s="342"/>
      <c r="F30" s="249" t="e">
        <f t="shared" si="1"/>
        <v>#DIV/0!</v>
      </c>
      <c r="G30" s="337"/>
      <c r="H30" s="339"/>
      <c r="I30" s="338">
        <f>SUM(G30:H30)</f>
        <v>0</v>
      </c>
      <c r="J30" s="342"/>
      <c r="K30" s="250" t="e">
        <f t="shared" si="2"/>
        <v>#DIV/0!</v>
      </c>
      <c r="L30" s="337"/>
      <c r="M30" s="339"/>
      <c r="N30" s="338">
        <f>SUM(L30:M30)</f>
        <v>0</v>
      </c>
      <c r="O30" s="342"/>
      <c r="P30" s="249" t="e">
        <f t="shared" si="4"/>
        <v>#DIV/0!</v>
      </c>
    </row>
    <row r="31" spans="1:16" ht="14.1" customHeight="1" x14ac:dyDescent="0.2">
      <c r="A31" s="235" t="s">
        <v>118</v>
      </c>
      <c r="B31" s="337"/>
      <c r="C31" s="339"/>
      <c r="D31" s="338">
        <f>SUM(B31:C31)</f>
        <v>0</v>
      </c>
      <c r="E31" s="342"/>
      <c r="F31" s="238" t="e">
        <f t="shared" si="1"/>
        <v>#DIV/0!</v>
      </c>
      <c r="G31" s="337"/>
      <c r="H31" s="339"/>
      <c r="I31" s="338">
        <f t="shared" si="5"/>
        <v>0</v>
      </c>
      <c r="J31" s="342"/>
      <c r="K31" s="244" t="e">
        <f t="shared" si="2"/>
        <v>#DIV/0!</v>
      </c>
      <c r="L31" s="337"/>
      <c r="M31" s="339"/>
      <c r="N31" s="338">
        <f>SUM(L31:M31)</f>
        <v>0</v>
      </c>
      <c r="O31" s="342"/>
      <c r="P31" s="238" t="e">
        <f t="shared" si="4"/>
        <v>#DIV/0!</v>
      </c>
    </row>
    <row r="32" spans="1:16" ht="14.1" customHeight="1" x14ac:dyDescent="0.2">
      <c r="A32" s="251" t="s">
        <v>119</v>
      </c>
      <c r="B32" s="337"/>
      <c r="C32" s="339"/>
      <c r="D32" s="161">
        <f t="shared" si="0"/>
        <v>0</v>
      </c>
      <c r="E32" s="342"/>
      <c r="F32" s="252" t="e">
        <f t="shared" si="1"/>
        <v>#DIV/0!</v>
      </c>
      <c r="G32" s="253"/>
      <c r="H32" s="161"/>
      <c r="I32" s="161">
        <f t="shared" si="5"/>
        <v>0</v>
      </c>
      <c r="J32" s="342"/>
      <c r="K32" s="252" t="e">
        <f t="shared" si="2"/>
        <v>#DIV/0!</v>
      </c>
      <c r="L32" s="337"/>
      <c r="M32" s="339"/>
      <c r="N32" s="161">
        <f t="shared" si="3"/>
        <v>0</v>
      </c>
      <c r="O32" s="342"/>
      <c r="P32" s="252" t="e">
        <f t="shared" si="4"/>
        <v>#DIV/0!</v>
      </c>
    </row>
    <row r="33" spans="1:16" ht="13.5" thickBot="1" x14ac:dyDescent="0.25">
      <c r="A33" s="245" t="s">
        <v>81</v>
      </c>
      <c r="B33" s="255">
        <f>SUM(B21:B32)</f>
        <v>275772</v>
      </c>
      <c r="C33" s="256">
        <f>SUM(C21:C32)</f>
        <v>274374</v>
      </c>
      <c r="D33" s="256">
        <f>SUM(D21:D32)</f>
        <v>550146</v>
      </c>
      <c r="E33" s="257">
        <f>SUM(E21:E32)</f>
        <v>488295</v>
      </c>
      <c r="F33" s="240">
        <f>(D33-E33)/E33</f>
        <v>0.12666728104936564</v>
      </c>
      <c r="G33" s="258">
        <f>SUM(G21:G32)</f>
        <v>2378154</v>
      </c>
      <c r="H33" s="256">
        <f>SUM(H21:H32)</f>
        <v>2410911</v>
      </c>
      <c r="I33" s="256">
        <f>SUM(I21:I32)</f>
        <v>4789065</v>
      </c>
      <c r="J33" s="259">
        <f>SUM(J21:J32)</f>
        <v>4636020</v>
      </c>
      <c r="K33" s="241">
        <f>(I33-J33)/J33</f>
        <v>3.3012152665432851E-2</v>
      </c>
      <c r="L33" s="258">
        <f>SUM(L21:L32)</f>
        <v>2653926</v>
      </c>
      <c r="M33" s="256">
        <f>SUM(M21:M32)</f>
        <v>2685285</v>
      </c>
      <c r="N33" s="256">
        <f>SUM(N21:N32)</f>
        <v>5339211</v>
      </c>
      <c r="O33" s="257">
        <f>SUM(O21:O32)</f>
        <v>5124315</v>
      </c>
      <c r="P33" s="239">
        <f>(N33-O33)/O33</f>
        <v>4.1936532004765513E-2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February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G4" sqref="G4:G3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1"/>
      <c r="C1" s="501"/>
      <c r="D1" s="501"/>
      <c r="E1" s="475"/>
      <c r="F1" s="502" t="s">
        <v>98</v>
      </c>
      <c r="G1" s="503"/>
      <c r="H1" s="503"/>
      <c r="I1" s="503"/>
      <c r="J1" s="503"/>
      <c r="K1" s="503"/>
      <c r="L1" s="504"/>
    </row>
    <row r="2" spans="1:20" s="191" customFormat="1" ht="30.75" customHeight="1" thickBot="1" x14ac:dyDescent="0.25">
      <c r="A2" s="390">
        <v>42401</v>
      </c>
      <c r="B2" s="460" t="s">
        <v>212</v>
      </c>
      <c r="C2" s="8" t="s">
        <v>86</v>
      </c>
      <c r="D2" s="8" t="s">
        <v>87</v>
      </c>
      <c r="E2" s="199"/>
      <c r="F2" s="180" t="s">
        <v>88</v>
      </c>
      <c r="G2" s="180" t="s">
        <v>217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[3]DHL!$EM$4</f>
        <v>21</v>
      </c>
      <c r="C4" s="161">
        <f>[3]FedEx!$EM$4+[3]FedEx!$EM$15</f>
        <v>79</v>
      </c>
      <c r="D4" s="161">
        <f>[3]UPS!$EM$4+[3]UPS!$EM$15</f>
        <v>94</v>
      </c>
      <c r="E4" s="192"/>
      <c r="F4" s="118">
        <f>[3]ATI_BAX!$EM$4</f>
        <v>0</v>
      </c>
      <c r="G4" s="161">
        <f>[3]IFL!$EM$4+[3]IFL!$EM$15</f>
        <v>30</v>
      </c>
      <c r="H4" s="118">
        <f>'[3]Suburban Air Freight'!$EM$15</f>
        <v>21</v>
      </c>
      <c r="I4" s="118">
        <f>[3]Bemidji!$EM$4</f>
        <v>219</v>
      </c>
      <c r="J4" s="118">
        <f>'[3]CSA Air'!$EM$4</f>
        <v>20</v>
      </c>
      <c r="K4" s="118">
        <f>'[3]Mountain Cargo'!$EM$4</f>
        <v>19</v>
      </c>
      <c r="L4" s="118">
        <f>'[3]Misc Cargo'!$EM$4</f>
        <v>21</v>
      </c>
      <c r="M4" s="204">
        <f>SUM(B4:L4)</f>
        <v>524</v>
      </c>
    </row>
    <row r="5" spans="1:20" x14ac:dyDescent="0.2">
      <c r="A5" s="53" t="s">
        <v>58</v>
      </c>
      <c r="B5" s="198">
        <f>[3]DHL!$EM$5</f>
        <v>21</v>
      </c>
      <c r="C5" s="198">
        <f>[3]FedEx!$EM$5</f>
        <v>79</v>
      </c>
      <c r="D5" s="198">
        <f>[3]UPS!$EM$5+[3]UPS!$EM$16</f>
        <v>94</v>
      </c>
      <c r="E5" s="192"/>
      <c r="F5" s="120">
        <f>[3]ATI_BAX!$EM$5</f>
        <v>0</v>
      </c>
      <c r="G5" s="198">
        <f>[3]IFL!$EM$5</f>
        <v>30</v>
      </c>
      <c r="H5" s="120">
        <f>'[3]Suburban Air Freight'!$EM$16</f>
        <v>21</v>
      </c>
      <c r="I5" s="120">
        <f>[3]Bemidji!$EM$5</f>
        <v>219</v>
      </c>
      <c r="J5" s="120">
        <f>'[3]CSA Air'!$EM$5</f>
        <v>20</v>
      </c>
      <c r="K5" s="120">
        <f>'[3]Mountain Cargo'!$EM$5</f>
        <v>19</v>
      </c>
      <c r="L5" s="120">
        <f>'[3]Misc Cargo'!$EM$5</f>
        <v>21</v>
      </c>
      <c r="M5" s="208">
        <f>SUM(B5:L5)</f>
        <v>524</v>
      </c>
    </row>
    <row r="6" spans="1:20" s="189" customFormat="1" x14ac:dyDescent="0.2">
      <c r="A6" s="205" t="s">
        <v>59</v>
      </c>
      <c r="B6" s="206">
        <f>SUM(B4:B5)</f>
        <v>42</v>
      </c>
      <c r="C6" s="206">
        <f>SUM(C4:C5)</f>
        <v>158</v>
      </c>
      <c r="D6" s="206">
        <f>SUM(D4:D5)</f>
        <v>188</v>
      </c>
      <c r="E6" s="193"/>
      <c r="F6" s="188">
        <f t="shared" ref="F6:L6" si="0">SUM(F4:F5)</f>
        <v>0</v>
      </c>
      <c r="G6" s="206">
        <f>SUM(G4:G5)</f>
        <v>60</v>
      </c>
      <c r="H6" s="188">
        <f t="shared" si="0"/>
        <v>42</v>
      </c>
      <c r="I6" s="188">
        <f t="shared" si="0"/>
        <v>438</v>
      </c>
      <c r="J6" s="188">
        <f t="shared" si="0"/>
        <v>40</v>
      </c>
      <c r="K6" s="188">
        <f t="shared" si="0"/>
        <v>38</v>
      </c>
      <c r="L6" s="188">
        <f t="shared" si="0"/>
        <v>42</v>
      </c>
      <c r="M6" s="207">
        <f>SUM(B6:L6)</f>
        <v>1048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Cargo'!$EM$8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Cargo'!$EM$9</f>
        <v>0</v>
      </c>
      <c r="M9" s="208">
        <f>SUM(B9:L9)</f>
        <v>0</v>
      </c>
      <c r="P9" s="15"/>
      <c r="Q9" s="332"/>
      <c r="R9" s="332"/>
      <c r="S9" s="332"/>
      <c r="T9" s="332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42</v>
      </c>
      <c r="C12" s="210">
        <f>C6+C10</f>
        <v>158</v>
      </c>
      <c r="D12" s="210">
        <f>D6+D10</f>
        <v>188</v>
      </c>
      <c r="E12" s="211"/>
      <c r="F12" s="212">
        <f t="shared" ref="F12:L12" si="2">F6+F10</f>
        <v>0</v>
      </c>
      <c r="G12" s="210">
        <f>G6+G10</f>
        <v>60</v>
      </c>
      <c r="H12" s="212">
        <f t="shared" si="2"/>
        <v>42</v>
      </c>
      <c r="I12" s="212">
        <f t="shared" si="2"/>
        <v>438</v>
      </c>
      <c r="J12" s="212">
        <f t="shared" si="2"/>
        <v>40</v>
      </c>
      <c r="K12" s="212">
        <f t="shared" si="2"/>
        <v>38</v>
      </c>
      <c r="L12" s="212">
        <f t="shared" si="2"/>
        <v>42</v>
      </c>
      <c r="M12" s="213">
        <f>SUM(B12:L12)</f>
        <v>1048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[3]DHL!$EM$47</f>
        <v>562810</v>
      </c>
      <c r="C16" s="161">
        <f>[3]FedEx!$EM$47</f>
        <v>5631632</v>
      </c>
      <c r="D16" s="161">
        <f>[3]UPS!$EM$47</f>
        <v>4326340</v>
      </c>
      <c r="E16" s="192"/>
      <c r="F16" s="118">
        <f>[3]ATI_BAX!$EM$47</f>
        <v>0</v>
      </c>
      <c r="G16" s="161">
        <f>[3]IFL!$EM$47</f>
        <v>38897</v>
      </c>
      <c r="H16" s="118">
        <f>'[3]Suburban Air Freight'!$EM$47</f>
        <v>18010</v>
      </c>
      <c r="I16" s="498" t="s">
        <v>92</v>
      </c>
      <c r="J16" s="118">
        <f>'[3]CSA Air'!$EM$47</f>
        <v>23898</v>
      </c>
      <c r="K16" s="118">
        <f>'[3]Mountain Cargo'!$EM$47</f>
        <v>34283</v>
      </c>
      <c r="L16" s="118">
        <f>'[3]Misc Cargo'!$EM$47</f>
        <v>36242</v>
      </c>
      <c r="M16" s="204">
        <f>SUM(B16:H16)+SUM(J16:L16)</f>
        <v>10672112</v>
      </c>
    </row>
    <row r="17" spans="1:14" x14ac:dyDescent="0.2">
      <c r="A17" s="53" t="s">
        <v>41</v>
      </c>
      <c r="B17" s="161">
        <f>[3]DHL!$EM$48</f>
        <v>0</v>
      </c>
      <c r="C17" s="161">
        <f>[3]FedEx!$EM$48</f>
        <v>0</v>
      </c>
      <c r="D17" s="161">
        <f>[3]UPS!$EM$48</f>
        <v>4095</v>
      </c>
      <c r="E17" s="192"/>
      <c r="F17" s="118">
        <f>[3]ATI_BAX!$EM$48</f>
        <v>0</v>
      </c>
      <c r="G17" s="161">
        <f>[3]IFL!$EM$48</f>
        <v>0</v>
      </c>
      <c r="H17" s="118">
        <f>'[3]Suburban Air Freight'!$EM$48</f>
        <v>0</v>
      </c>
      <c r="I17" s="499"/>
      <c r="J17" s="118">
        <f>'[3]CSA Air'!$EM$48</f>
        <v>0</v>
      </c>
      <c r="K17" s="118">
        <f>'[3]Mountain Cargo'!$EM$48</f>
        <v>0</v>
      </c>
      <c r="L17" s="118">
        <f>'[3]Misc Cargo'!$EM$48</f>
        <v>0</v>
      </c>
      <c r="M17" s="204">
        <f>SUM(B17:H17)+SUM(J17:L17)</f>
        <v>4095</v>
      </c>
    </row>
    <row r="18" spans="1:14" ht="18" customHeight="1" x14ac:dyDescent="0.2">
      <c r="A18" s="219" t="s">
        <v>42</v>
      </c>
      <c r="B18" s="307">
        <f>SUM(B16:B17)</f>
        <v>562810</v>
      </c>
      <c r="C18" s="307">
        <f>SUM(C16:C17)</f>
        <v>5631632</v>
      </c>
      <c r="D18" s="307">
        <f>SUM(D16:D17)</f>
        <v>4330435</v>
      </c>
      <c r="E18" s="197"/>
      <c r="F18" s="308">
        <f>SUM(F16:F17)</f>
        <v>0</v>
      </c>
      <c r="G18" s="307">
        <f>SUM(G16:G17)</f>
        <v>38897</v>
      </c>
      <c r="H18" s="308">
        <f>SUM(H16:H17)</f>
        <v>18010</v>
      </c>
      <c r="I18" s="499"/>
      <c r="J18" s="308">
        <f>SUM(J16:J17)</f>
        <v>23898</v>
      </c>
      <c r="K18" s="308">
        <f>SUM(K16:K17)</f>
        <v>34283</v>
      </c>
      <c r="L18" s="308">
        <f>SUM(L16:L17)</f>
        <v>36242</v>
      </c>
      <c r="M18" s="220">
        <f>SUM(B18:H18)+SUM(J18:L18)</f>
        <v>10676207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499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61"/>
      <c r="H20" s="118"/>
      <c r="I20" s="499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[3]DHL!$EM$52</f>
        <v>441255</v>
      </c>
      <c r="C21" s="161">
        <f>[3]FedEx!$EM$52</f>
        <v>8059928</v>
      </c>
      <c r="D21" s="161">
        <f>[3]UPS!$EM$52</f>
        <v>3754099</v>
      </c>
      <c r="E21" s="192"/>
      <c r="F21" s="118">
        <f>[3]ATI_BAX!$EM$52</f>
        <v>0</v>
      </c>
      <c r="G21" s="161">
        <f>[3]IFL!$EM$52</f>
        <v>33877</v>
      </c>
      <c r="H21" s="118">
        <f>'[3]Suburban Air Freight'!$EM$52</f>
        <v>59632</v>
      </c>
      <c r="I21" s="499"/>
      <c r="J21" s="118">
        <f>'[3]CSA Air'!$EM$52</f>
        <v>32064</v>
      </c>
      <c r="K21" s="118">
        <f>'[3]Mountain Cargo'!$EM$52</f>
        <v>104675</v>
      </c>
      <c r="L21" s="118">
        <f>'[3]Misc Cargo'!$EM$52</f>
        <v>28474</v>
      </c>
      <c r="M21" s="204">
        <f>SUM(B21:H21)+SUM(J21:L21)</f>
        <v>12514004</v>
      </c>
    </row>
    <row r="22" spans="1:14" x14ac:dyDescent="0.2">
      <c r="A22" s="53" t="s">
        <v>64</v>
      </c>
      <c r="B22" s="161">
        <f>[3]DHL!$EM$53</f>
        <v>0</v>
      </c>
      <c r="C22" s="161">
        <f>[3]FedEx!$EM$53</f>
        <v>0</v>
      </c>
      <c r="D22" s="161">
        <f>[3]UPS!$EM$53</f>
        <v>291692</v>
      </c>
      <c r="E22" s="192"/>
      <c r="F22" s="118">
        <f>[3]ATI_BAX!$EM$53</f>
        <v>0</v>
      </c>
      <c r="G22" s="161">
        <f>[3]IFL!$EM$53</f>
        <v>0</v>
      </c>
      <c r="H22" s="118">
        <f>'[3]Suburban Air Freight'!$EM$53</f>
        <v>0</v>
      </c>
      <c r="I22" s="499"/>
      <c r="J22" s="118">
        <f>'[3]CSA Air'!$EM$53</f>
        <v>0</v>
      </c>
      <c r="K22" s="118">
        <f>'[3]Mountain Cargo'!$EM$53</f>
        <v>0</v>
      </c>
      <c r="L22" s="118">
        <f>'[3]Misc Cargo'!$EM$53</f>
        <v>0</v>
      </c>
      <c r="M22" s="204">
        <f>SUM(B22:H22)+SUM(J22:L22)</f>
        <v>291692</v>
      </c>
    </row>
    <row r="23" spans="1:14" ht="18" customHeight="1" x14ac:dyDescent="0.2">
      <c r="A23" s="219" t="s">
        <v>44</v>
      </c>
      <c r="B23" s="307">
        <f>SUM(B21:B22)</f>
        <v>441255</v>
      </c>
      <c r="C23" s="307">
        <f>SUM(C21:C22)</f>
        <v>8059928</v>
      </c>
      <c r="D23" s="307">
        <f>SUM(D21:D22)</f>
        <v>4045791</v>
      </c>
      <c r="E23" s="197"/>
      <c r="F23" s="308">
        <f>SUM(F21:F22)</f>
        <v>0</v>
      </c>
      <c r="G23" s="307">
        <f>SUM(G21:G22)</f>
        <v>33877</v>
      </c>
      <c r="H23" s="308">
        <f>SUM(H21:H22)</f>
        <v>59632</v>
      </c>
      <c r="I23" s="499"/>
      <c r="J23" s="308">
        <f>SUM(J21:J22)</f>
        <v>32064</v>
      </c>
      <c r="K23" s="308">
        <f>SUM(K21:K22)</f>
        <v>104675</v>
      </c>
      <c r="L23" s="308">
        <f>SUM(L21:L22)</f>
        <v>28474</v>
      </c>
      <c r="M23" s="220">
        <f>SUM(B23:H23)+SUM(J23:L23)</f>
        <v>12805696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499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61"/>
      <c r="H25" s="118"/>
      <c r="I25" s="499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[3]DHL!$EM$57</f>
        <v>0</v>
      </c>
      <c r="C26" s="161">
        <f>[3]FedEx!$EM$57</f>
        <v>0</v>
      </c>
      <c r="D26" s="161">
        <f>[3]UPS!$EM$57</f>
        <v>0</v>
      </c>
      <c r="E26" s="192"/>
      <c r="F26" s="118">
        <f>[3]ATI_BAX!$EM$57</f>
        <v>0</v>
      </c>
      <c r="G26" s="161">
        <f>[3]IFL!$EM$57</f>
        <v>0</v>
      </c>
      <c r="H26" s="118">
        <f>'[3]Suburban Air Freight'!$EM$57</f>
        <v>0</v>
      </c>
      <c r="I26" s="499"/>
      <c r="J26" s="118">
        <f>'[3]CSA Air'!$EM$57</f>
        <v>0</v>
      </c>
      <c r="K26" s="118">
        <f>'[3]Mountain Cargo'!$EM$57</f>
        <v>0</v>
      </c>
      <c r="L26" s="118">
        <f>'[3]Misc Cargo'!$EM$57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[3]DHL!$EM$58</f>
        <v>0</v>
      </c>
      <c r="C27" s="161">
        <f>[3]FedEx!$EM$58</f>
        <v>0</v>
      </c>
      <c r="D27" s="161">
        <f>[3]UPS!$EM$58</f>
        <v>0</v>
      </c>
      <c r="E27" s="192"/>
      <c r="F27" s="118">
        <f>[3]ATI_BAX!$EM$58</f>
        <v>0</v>
      </c>
      <c r="G27" s="161">
        <f>[3]IFL!$EM$58</f>
        <v>0</v>
      </c>
      <c r="H27" s="118">
        <f>'[3]Suburban Air Freight'!$EM$58</f>
        <v>0</v>
      </c>
      <c r="I27" s="499"/>
      <c r="J27" s="118">
        <f>'[3]CSA Air'!$EM$58</f>
        <v>0</v>
      </c>
      <c r="K27" s="118">
        <f>'[3]Mountain Cargo'!$EM$58</f>
        <v>0</v>
      </c>
      <c r="L27" s="118">
        <f>'[3]Misc Cargo'!$EM$58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7">
        <f>SUM(B26:B27)</f>
        <v>0</v>
      </c>
      <c r="C28" s="307">
        <f>SUM(C26:C27)</f>
        <v>0</v>
      </c>
      <c r="D28" s="307">
        <f>SUM(D26:D27)</f>
        <v>0</v>
      </c>
      <c r="E28" s="197"/>
      <c r="F28" s="308">
        <f>SUM(F26:F27)</f>
        <v>0</v>
      </c>
      <c r="G28" s="307">
        <f>SUM(G26:G27)</f>
        <v>0</v>
      </c>
      <c r="H28" s="308">
        <f>SUM(H26:H27)</f>
        <v>0</v>
      </c>
      <c r="I28" s="499"/>
      <c r="J28" s="308">
        <f>SUM(J26:J27)</f>
        <v>0</v>
      </c>
      <c r="K28" s="308">
        <f>SUM(K26:K27)</f>
        <v>0</v>
      </c>
      <c r="L28" s="308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499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61"/>
      <c r="H30" s="118"/>
      <c r="I30" s="499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3">B26+B21+B16</f>
        <v>1004065</v>
      </c>
      <c r="C31" s="161">
        <f t="shared" si="3"/>
        <v>13691560</v>
      </c>
      <c r="D31" s="161">
        <f t="shared" si="3"/>
        <v>8080439</v>
      </c>
      <c r="E31" s="192"/>
      <c r="F31" s="118">
        <f t="shared" ref="F31:H33" si="4">F26+F21+F16</f>
        <v>0</v>
      </c>
      <c r="G31" s="161">
        <f t="shared" si="4"/>
        <v>72774</v>
      </c>
      <c r="H31" s="118">
        <f t="shared" si="4"/>
        <v>77642</v>
      </c>
      <c r="I31" s="499"/>
      <c r="J31" s="118">
        <f t="shared" ref="J31:L33" si="5">J26+J21+J16</f>
        <v>55962</v>
      </c>
      <c r="K31" s="118">
        <f t="shared" si="5"/>
        <v>138958</v>
      </c>
      <c r="L31" s="118">
        <f>L26+L21+L16</f>
        <v>64716</v>
      </c>
      <c r="M31" s="204">
        <f>SUM(B31:H31)+SUM(J31:L31)</f>
        <v>23186116</v>
      </c>
    </row>
    <row r="32" spans="1:14" x14ac:dyDescent="0.2">
      <c r="A32" s="53" t="s">
        <v>64</v>
      </c>
      <c r="B32" s="161">
        <f t="shared" si="3"/>
        <v>0</v>
      </c>
      <c r="C32" s="161">
        <f t="shared" si="3"/>
        <v>0</v>
      </c>
      <c r="D32" s="161">
        <f t="shared" si="3"/>
        <v>295787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00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295787</v>
      </c>
    </row>
    <row r="33" spans="1:13" ht="18" customHeight="1" thickBot="1" x14ac:dyDescent="0.25">
      <c r="A33" s="209" t="s">
        <v>49</v>
      </c>
      <c r="B33" s="210">
        <f t="shared" si="3"/>
        <v>1004065</v>
      </c>
      <c r="C33" s="210">
        <f t="shared" si="3"/>
        <v>13691560</v>
      </c>
      <c r="D33" s="210">
        <f t="shared" si="3"/>
        <v>8376226</v>
      </c>
      <c r="E33" s="223"/>
      <c r="F33" s="212">
        <f t="shared" si="4"/>
        <v>0</v>
      </c>
      <c r="G33" s="210">
        <f t="shared" si="4"/>
        <v>72774</v>
      </c>
      <c r="H33" s="212">
        <f t="shared" si="4"/>
        <v>77642</v>
      </c>
      <c r="I33" s="309">
        <f>I28+I23+I18</f>
        <v>0</v>
      </c>
      <c r="J33" s="212">
        <f t="shared" si="5"/>
        <v>55962</v>
      </c>
      <c r="K33" s="212">
        <f t="shared" si="5"/>
        <v>138958</v>
      </c>
      <c r="L33" s="212">
        <f t="shared" si="5"/>
        <v>64716</v>
      </c>
      <c r="M33" s="213">
        <f>SUM(B33:H33)+SUM(J33:L33)</f>
        <v>23481903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February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14" sqref="E1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90">
        <v>42401</v>
      </c>
      <c r="B2" s="77" t="s">
        <v>67</v>
      </c>
      <c r="C2" s="77" t="s">
        <v>68</v>
      </c>
      <c r="D2" s="77" t="s">
        <v>69</v>
      </c>
      <c r="E2" s="321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4114106</v>
      </c>
      <c r="C5" s="118">
        <f>'Regional Major'!L25</f>
        <v>0</v>
      </c>
      <c r="D5" s="118">
        <f>Cargo!M16</f>
        <v>10672112</v>
      </c>
      <c r="E5" s="118">
        <f>SUM(B5:D5)</f>
        <v>14786218</v>
      </c>
      <c r="F5" s="118">
        <f>E5*0.00045359237</f>
        <v>6706.9156659566597</v>
      </c>
      <c r="G5" s="146">
        <f>'[1]Cargo Summary'!F5</f>
        <v>7054.59467115403</v>
      </c>
      <c r="H5" s="98">
        <f>(F5-G5)/G5</f>
        <v>-4.928405123245657E-2</v>
      </c>
      <c r="I5" s="146">
        <f>+F5+'[2]Cargo Summary'!I5</f>
        <v>11453.397397703029</v>
      </c>
      <c r="J5" s="146">
        <f>'[1]Cargo Summary'!I5</f>
        <v>14216.65943612453</v>
      </c>
      <c r="K5" s="85">
        <f>(I5-J5)/J5</f>
        <v>-0.19436788584806725</v>
      </c>
      <c r="M5" s="35"/>
    </row>
    <row r="6" spans="1:18" x14ac:dyDescent="0.2">
      <c r="A6" s="62" t="s">
        <v>18</v>
      </c>
      <c r="B6" s="169">
        <f>'Major Airline Stats'!I29</f>
        <v>1101840</v>
      </c>
      <c r="C6" s="118">
        <f>'Regional Major'!L26</f>
        <v>0</v>
      </c>
      <c r="D6" s="118">
        <f>Cargo!M17</f>
        <v>4095</v>
      </c>
      <c r="E6" s="118">
        <f>SUM(B6:D6)</f>
        <v>1105935</v>
      </c>
      <c r="F6" s="118">
        <f>E6*0.00045359237</f>
        <v>501.64367771594999</v>
      </c>
      <c r="G6" s="146">
        <f>'[1]Cargo Summary'!F6</f>
        <v>509.42913715462998</v>
      </c>
      <c r="H6" s="37">
        <f>(F6-G6)/G6</f>
        <v>-1.5282713278170478E-2</v>
      </c>
      <c r="I6" s="146">
        <f>+F6+'[2]Cargo Summary'!I6</f>
        <v>1150.5978278825801</v>
      </c>
      <c r="J6" s="146">
        <f>'[1]Cargo Summary'!I6</f>
        <v>1126.79965059816</v>
      </c>
      <c r="K6" s="85">
        <f>(I6-J6)/J6</f>
        <v>2.1120149683918347E-2</v>
      </c>
      <c r="M6" s="35"/>
    </row>
    <row r="7" spans="1:18" ht="18" customHeight="1" thickBot="1" x14ac:dyDescent="0.25">
      <c r="A7" s="73" t="s">
        <v>76</v>
      </c>
      <c r="B7" s="171">
        <f>SUM(B5:B6)</f>
        <v>5215946</v>
      </c>
      <c r="C7" s="133">
        <f t="shared" ref="C7:J7" si="0">SUM(C5:C6)</f>
        <v>0</v>
      </c>
      <c r="D7" s="133">
        <f t="shared" si="0"/>
        <v>10676207</v>
      </c>
      <c r="E7" s="133">
        <f t="shared" si="0"/>
        <v>15892153</v>
      </c>
      <c r="F7" s="133">
        <f t="shared" si="0"/>
        <v>7208.5593436726094</v>
      </c>
      <c r="G7" s="133">
        <f t="shared" si="0"/>
        <v>7564.0238083086597</v>
      </c>
      <c r="H7" s="44">
        <f>(F7-G7)/G7</f>
        <v>-4.6994096481503968E-2</v>
      </c>
      <c r="I7" s="133">
        <f t="shared" si="0"/>
        <v>12603.99522558561</v>
      </c>
      <c r="J7" s="133">
        <f t="shared" si="0"/>
        <v>15343.459086722691</v>
      </c>
      <c r="K7" s="323">
        <f>(I7-J7)/J7</f>
        <v>-0.17854278136718524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3346168</v>
      </c>
      <c r="C10" s="118">
        <f>'Regional Major'!L30</f>
        <v>0</v>
      </c>
      <c r="D10" s="118">
        <f>Cargo!M21</f>
        <v>12514004</v>
      </c>
      <c r="E10" s="118">
        <f>SUM(B10:D10)</f>
        <v>15860172</v>
      </c>
      <c r="F10" s="118">
        <f>E10*0.00045359237</f>
        <v>7194.0530060876399</v>
      </c>
      <c r="G10" s="146">
        <f>'[1]Cargo Summary'!F10</f>
        <v>7568.9103589106699</v>
      </c>
      <c r="H10" s="37">
        <f>(F10-G10)/G10</f>
        <v>-4.9525933727266394E-2</v>
      </c>
      <c r="I10" s="146">
        <f>+F10+'[2]Cargo Summary'!I10</f>
        <v>14431.278933951879</v>
      </c>
      <c r="J10" s="146">
        <f>'[1]Cargo Summary'!I10</f>
        <v>15692.603648867531</v>
      </c>
      <c r="K10" s="85">
        <f>(I10-J10)/J10</f>
        <v>-8.0377019845695064E-2</v>
      </c>
      <c r="M10" s="35"/>
    </row>
    <row r="11" spans="1:18" x14ac:dyDescent="0.2">
      <c r="A11" s="62" t="s">
        <v>18</v>
      </c>
      <c r="B11" s="169">
        <f>'Major Airline Stats'!I34</f>
        <v>709249</v>
      </c>
      <c r="C11" s="118">
        <f>'Regional Major'!L31</f>
        <v>0</v>
      </c>
      <c r="D11" s="118">
        <f>Cargo!M22</f>
        <v>291692</v>
      </c>
      <c r="E11" s="118">
        <f>SUM(B11:D11)</f>
        <v>1000941</v>
      </c>
      <c r="F11" s="118">
        <f>E11*0.00045359237</f>
        <v>454.01920042016997</v>
      </c>
      <c r="G11" s="146">
        <f>'[1]Cargo Summary'!F11</f>
        <v>362.73146799581997</v>
      </c>
      <c r="H11" s="35">
        <f>(F11-G11)/G11</f>
        <v>0.25166752950533083</v>
      </c>
      <c r="I11" s="146">
        <f>+F11+'[2]Cargo Summary'!I11</f>
        <v>941.59017485686991</v>
      </c>
      <c r="J11" s="146">
        <f>'[1]Cargo Summary'!I11</f>
        <v>796.64155787677998</v>
      </c>
      <c r="K11" s="85">
        <f>(I11-J11)/J11</f>
        <v>0.18194960524832393</v>
      </c>
      <c r="M11" s="35"/>
    </row>
    <row r="12" spans="1:18" ht="18" customHeight="1" thickBot="1" x14ac:dyDescent="0.25">
      <c r="A12" s="73" t="s">
        <v>77</v>
      </c>
      <c r="B12" s="171">
        <f>SUM(B10:B11)</f>
        <v>4055417</v>
      </c>
      <c r="C12" s="133">
        <f t="shared" ref="C12:J12" si="1">SUM(C10:C11)</f>
        <v>0</v>
      </c>
      <c r="D12" s="133">
        <f t="shared" si="1"/>
        <v>12805696</v>
      </c>
      <c r="E12" s="133">
        <f t="shared" si="1"/>
        <v>16861113</v>
      </c>
      <c r="F12" s="133">
        <f t="shared" si="1"/>
        <v>7648.0722065078098</v>
      </c>
      <c r="G12" s="133">
        <f t="shared" si="1"/>
        <v>7931.6418269064898</v>
      </c>
      <c r="H12" s="44">
        <f>(F12-G12)/G12</f>
        <v>-3.575169259871612E-2</v>
      </c>
      <c r="I12" s="133">
        <f t="shared" si="1"/>
        <v>15372.869108808749</v>
      </c>
      <c r="J12" s="133">
        <f t="shared" si="1"/>
        <v>16489.245206744312</v>
      </c>
      <c r="K12" s="323">
        <f>(I12-J12)/J12</f>
        <v>-6.7703286835649149E-2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6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3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7460274</v>
      </c>
      <c r="C20" s="118">
        <f t="shared" si="3"/>
        <v>0</v>
      </c>
      <c r="D20" s="118">
        <f t="shared" si="3"/>
        <v>23186116</v>
      </c>
      <c r="E20" s="118">
        <f>SUM(B20:D20)</f>
        <v>30646390</v>
      </c>
      <c r="F20" s="118">
        <f>E20*0.00045359237</f>
        <v>13900.968672044301</v>
      </c>
      <c r="G20" s="146">
        <f>'[1]Cargo Summary'!F20</f>
        <v>14623.5050300647</v>
      </c>
      <c r="H20" s="37">
        <f>(F20-G20)/G20</f>
        <v>-4.9409246041556054E-2</v>
      </c>
      <c r="I20" s="146">
        <f>+I5+I10+I15</f>
        <v>25884.676331654908</v>
      </c>
      <c r="J20" s="146">
        <f>+J5+J10+J15</f>
        <v>29909.263084992061</v>
      </c>
      <c r="K20" s="85">
        <f>(I20-J20)/J20</f>
        <v>-0.13455987671446909</v>
      </c>
      <c r="M20" s="35"/>
    </row>
    <row r="21" spans="1:13" x14ac:dyDescent="0.2">
      <c r="A21" s="62" t="s">
        <v>18</v>
      </c>
      <c r="B21" s="169">
        <f t="shared" si="3"/>
        <v>1811089</v>
      </c>
      <c r="C21" s="120">
        <f t="shared" si="3"/>
        <v>0</v>
      </c>
      <c r="D21" s="120">
        <f t="shared" si="3"/>
        <v>295787</v>
      </c>
      <c r="E21" s="118">
        <f>SUM(B21:D21)</f>
        <v>2106876</v>
      </c>
      <c r="F21" s="118">
        <f>E21*0.00045359237</f>
        <v>955.66287813611996</v>
      </c>
      <c r="G21" s="146">
        <f>'[1]Cargo Summary'!F21</f>
        <v>872.16060515045001</v>
      </c>
      <c r="H21" s="37">
        <f>(F21-G21)/G21</f>
        <v>9.5741853613378447E-2</v>
      </c>
      <c r="I21" s="146">
        <f>+I6+I11+I16</f>
        <v>2092.18800273945</v>
      </c>
      <c r="J21" s="146">
        <f>+J6+J11+J16</f>
        <v>1923.4412084749401</v>
      </c>
      <c r="K21" s="85">
        <f>(I21-J21)/J21</f>
        <v>8.7731714138695183E-2</v>
      </c>
      <c r="M21" s="35"/>
    </row>
    <row r="22" spans="1:13" ht="18" customHeight="1" thickBot="1" x14ac:dyDescent="0.25">
      <c r="A22" s="88" t="s">
        <v>66</v>
      </c>
      <c r="B22" s="172">
        <f>SUM(B20:B21)</f>
        <v>9271363</v>
      </c>
      <c r="C22" s="173">
        <f t="shared" ref="C22:J22" si="4">SUM(C20:C21)</f>
        <v>0</v>
      </c>
      <c r="D22" s="173">
        <f t="shared" si="4"/>
        <v>23481903</v>
      </c>
      <c r="E22" s="173">
        <f t="shared" si="4"/>
        <v>32753266</v>
      </c>
      <c r="F22" s="173">
        <f t="shared" si="4"/>
        <v>14856.63155018042</v>
      </c>
      <c r="G22" s="173">
        <f t="shared" si="4"/>
        <v>15495.665635215149</v>
      </c>
      <c r="H22" s="329">
        <f>(F22-G22)/G22</f>
        <v>-4.1239537563489546E-2</v>
      </c>
      <c r="I22" s="173">
        <f t="shared" si="4"/>
        <v>27976.864334394359</v>
      </c>
      <c r="J22" s="173">
        <f t="shared" si="4"/>
        <v>31832.704293467003</v>
      </c>
      <c r="K22" s="330">
        <f>(I22-J22)/J22</f>
        <v>-0.12112825613323637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February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F25" sqref="F2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0">
        <v>42401</v>
      </c>
      <c r="B1" s="12" t="s">
        <v>20</v>
      </c>
      <c r="C1" s="277" t="s">
        <v>209</v>
      </c>
      <c r="D1" s="441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211</v>
      </c>
      <c r="J1" s="480" t="s">
        <v>216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5" t="s">
        <v>150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7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[3]Delta!$EM$32</f>
        <v>73861</v>
      </c>
      <c r="C4" s="21">
        <f>'[3]Atlantic Southeast'!$EM$32</f>
        <v>506</v>
      </c>
      <c r="D4" s="21">
        <f>[3]Pinnacle!$EM$32</f>
        <v>12347</v>
      </c>
      <c r="E4" s="21">
        <f>[3]Compass!$EM$32</f>
        <v>6048</v>
      </c>
      <c r="F4" s="21">
        <f>'[3]Sky West'!$EM$32</f>
        <v>9168</v>
      </c>
      <c r="G4" s="21">
        <f>'[3]Sun Country'!$EM$32</f>
        <v>32926</v>
      </c>
      <c r="H4" s="21">
        <f>[3]Icelandair!$EM$32</f>
        <v>0</v>
      </c>
      <c r="I4" s="21">
        <f>'[3]Jazz Air'!$EM$32</f>
        <v>147</v>
      </c>
      <c r="J4" s="21">
        <f>'[3]Air Georgian'!$EM$32</f>
        <v>3042</v>
      </c>
      <c r="K4" s="21">
        <f>[3]Condor!$EM$32</f>
        <v>0</v>
      </c>
      <c r="L4" s="21">
        <f>'[3]Air France'!$EM$32</f>
        <v>0</v>
      </c>
      <c r="M4" s="21">
        <f>'[3]Charter Misc'!$EM$32+[3]Ryan!$EM$32+[3]Omni!$EM$32</f>
        <v>0</v>
      </c>
      <c r="N4" s="286">
        <f>SUM(B4:M4)</f>
        <v>138045</v>
      </c>
    </row>
    <row r="5" spans="1:14" x14ac:dyDescent="0.2">
      <c r="A5" s="62" t="s">
        <v>34</v>
      </c>
      <c r="B5" s="14">
        <f>[3]Delta!$EM$33</f>
        <v>73306</v>
      </c>
      <c r="C5" s="14">
        <f>'[3]Atlantic Southeast'!$EM$33</f>
        <v>652</v>
      </c>
      <c r="D5" s="14">
        <f>[3]Pinnacle!$EM$33</f>
        <v>12595</v>
      </c>
      <c r="E5" s="14">
        <f>[3]Compass!$EM$33</f>
        <v>5471</v>
      </c>
      <c r="F5" s="14">
        <f>'[3]Sky West'!$EM$33</f>
        <v>8600</v>
      </c>
      <c r="G5" s="14">
        <f>'[3]Sun Country'!$EM$33</f>
        <v>34855</v>
      </c>
      <c r="H5" s="14">
        <f>[3]Icelandair!$EM$33</f>
        <v>0</v>
      </c>
      <c r="I5" s="14">
        <f>'[3]Jazz Air'!$EM$33</f>
        <v>123</v>
      </c>
      <c r="J5" s="14">
        <f>'[3]Air Georgian'!$EM$33</f>
        <v>2845</v>
      </c>
      <c r="K5" s="14">
        <f>[3]Condor!$EM$33</f>
        <v>0</v>
      </c>
      <c r="L5" s="14">
        <f>'[3]Air France'!$EM$33</f>
        <v>0</v>
      </c>
      <c r="M5" s="14">
        <f>'[3]Charter Misc'!$EM$33++[3]Ryan!$EM$33+[3]Omni!$EM$33</f>
        <v>0</v>
      </c>
      <c r="N5" s="287">
        <f>SUM(B5:M5)</f>
        <v>138447</v>
      </c>
    </row>
    <row r="6" spans="1:14" ht="15" x14ac:dyDescent="0.25">
      <c r="A6" s="60" t="s">
        <v>7</v>
      </c>
      <c r="B6" s="34">
        <f t="shared" ref="B6:M6" si="0">SUM(B4:B5)</f>
        <v>147167</v>
      </c>
      <c r="C6" s="34">
        <f t="shared" si="0"/>
        <v>1158</v>
      </c>
      <c r="D6" s="34">
        <f t="shared" si="0"/>
        <v>24942</v>
      </c>
      <c r="E6" s="34">
        <f t="shared" si="0"/>
        <v>11519</v>
      </c>
      <c r="F6" s="34">
        <f t="shared" si="0"/>
        <v>17768</v>
      </c>
      <c r="G6" s="34">
        <f t="shared" si="0"/>
        <v>67781</v>
      </c>
      <c r="H6" s="34">
        <f t="shared" si="0"/>
        <v>0</v>
      </c>
      <c r="I6" s="34">
        <f t="shared" si="0"/>
        <v>270</v>
      </c>
      <c r="J6" s="34">
        <f t="shared" ref="J6" si="1">SUM(J4:J5)</f>
        <v>5887</v>
      </c>
      <c r="K6" s="34">
        <f t="shared" ref="K6" si="2">SUM(K4:K5)</f>
        <v>0</v>
      </c>
      <c r="L6" s="34">
        <f t="shared" si="0"/>
        <v>0</v>
      </c>
      <c r="M6" s="34">
        <f t="shared" si="0"/>
        <v>0</v>
      </c>
      <c r="N6" s="288">
        <f>SUM(B6:M6)</f>
        <v>276492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[3]Delta!$EM$37</f>
        <v>2258</v>
      </c>
      <c r="C9" s="21">
        <f>'[3]Atlantic Southeast'!$EM$37</f>
        <v>2</v>
      </c>
      <c r="D9" s="21">
        <f>[3]Pinnacle!$EM$37</f>
        <v>91</v>
      </c>
      <c r="E9" s="21">
        <f>[3]Compass!$EM$37</f>
        <v>91</v>
      </c>
      <c r="F9" s="21">
        <f>'[3]Sky West'!$EM$37</f>
        <v>145</v>
      </c>
      <c r="G9" s="21">
        <f>'[3]Sun Country'!$EM$37</f>
        <v>125</v>
      </c>
      <c r="H9" s="21">
        <f>[3]Icelandair!$EM$37</f>
        <v>0</v>
      </c>
      <c r="I9" s="21">
        <f>'[3]Jazz Air'!$EM$37</f>
        <v>1</v>
      </c>
      <c r="J9" s="21">
        <f>'[3]Air Georgian'!$EM$37</f>
        <v>0</v>
      </c>
      <c r="K9" s="21">
        <f>[3]Condor!$EM$37</f>
        <v>0</v>
      </c>
      <c r="L9" s="21">
        <f>'[3]Air France'!$EM$37</f>
        <v>0</v>
      </c>
      <c r="M9" s="21">
        <f>'[3]Charter Misc'!$EM$37+[3]Ryan!$EM$37+[3]Omni!$EM$37</f>
        <v>0</v>
      </c>
      <c r="N9" s="286">
        <f>SUM(B9:M9)</f>
        <v>2713</v>
      </c>
    </row>
    <row r="10" spans="1:14" x14ac:dyDescent="0.2">
      <c r="A10" s="62" t="s">
        <v>36</v>
      </c>
      <c r="B10" s="14">
        <f>[3]Delta!$EM$38</f>
        <v>2180</v>
      </c>
      <c r="C10" s="14">
        <f>'[3]Atlantic Southeast'!$EM$38</f>
        <v>2</v>
      </c>
      <c r="D10" s="14">
        <f>[3]Pinnacle!$EM$38</f>
        <v>106</v>
      </c>
      <c r="E10" s="14">
        <f>[3]Compass!$EM$38</f>
        <v>68</v>
      </c>
      <c r="F10" s="14">
        <f>'[3]Sky West'!$EM$38</f>
        <v>147</v>
      </c>
      <c r="G10" s="14">
        <f>'[3]Sun Country'!$EM$38</f>
        <v>159</v>
      </c>
      <c r="H10" s="14">
        <f>[3]Icelandair!$EM$38</f>
        <v>0</v>
      </c>
      <c r="I10" s="14">
        <f>'[3]Jazz Air'!$EM$38</f>
        <v>4</v>
      </c>
      <c r="J10" s="14">
        <f>'[3]Air Georgian'!$EM$38</f>
        <v>0</v>
      </c>
      <c r="K10" s="14">
        <f>[3]Condor!$EM$38</f>
        <v>0</v>
      </c>
      <c r="L10" s="14">
        <f>'[3]Air France'!$EM$38</f>
        <v>0</v>
      </c>
      <c r="M10" s="14">
        <f>'[3]Charter Misc'!$EM$38+[3]Ryan!$EM$38+[3]Omni!$EM$38</f>
        <v>0</v>
      </c>
      <c r="N10" s="287">
        <f>SUM(B10:M10)</f>
        <v>2666</v>
      </c>
    </row>
    <row r="11" spans="1:14" ht="15.75" thickBot="1" x14ac:dyDescent="0.3">
      <c r="A11" s="63" t="s">
        <v>37</v>
      </c>
      <c r="B11" s="289">
        <f t="shared" ref="B11:G11" si="3">SUM(B9:B10)</f>
        <v>4438</v>
      </c>
      <c r="C11" s="289">
        <f t="shared" si="3"/>
        <v>4</v>
      </c>
      <c r="D11" s="289">
        <f t="shared" si="3"/>
        <v>197</v>
      </c>
      <c r="E11" s="289">
        <f t="shared" si="3"/>
        <v>159</v>
      </c>
      <c r="F11" s="289">
        <f t="shared" si="3"/>
        <v>292</v>
      </c>
      <c r="G11" s="289">
        <f t="shared" si="3"/>
        <v>284</v>
      </c>
      <c r="H11" s="289">
        <f t="shared" ref="H11:M11" si="4">SUM(H9:H10)</f>
        <v>0</v>
      </c>
      <c r="I11" s="289">
        <f t="shared" si="4"/>
        <v>5</v>
      </c>
      <c r="J11" s="289">
        <f t="shared" si="4"/>
        <v>0</v>
      </c>
      <c r="K11" s="289">
        <f t="shared" si="4"/>
        <v>0</v>
      </c>
      <c r="L11" s="289">
        <f t="shared" si="4"/>
        <v>0</v>
      </c>
      <c r="M11" s="289">
        <f t="shared" si="4"/>
        <v>0</v>
      </c>
      <c r="N11" s="290">
        <f>SUM(B11:M11)</f>
        <v>5379</v>
      </c>
    </row>
    <row r="12" spans="1:14" ht="15" x14ac:dyDescent="0.25">
      <c r="A12" s="395"/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2"/>
    </row>
    <row r="13" spans="1:14" ht="39" thickBot="1" x14ac:dyDescent="0.25">
      <c r="B13" s="12" t="s">
        <v>20</v>
      </c>
      <c r="C13" s="277" t="s">
        <v>54</v>
      </c>
      <c r="D13" s="441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12" t="s">
        <v>105</v>
      </c>
      <c r="J13" s="480" t="s">
        <v>216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8" t="s">
        <v>152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10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SUM([3]Delta!$EL$32:$EM$32)</f>
        <v>151521</v>
      </c>
      <c r="C16" s="21">
        <f>SUM('[3]Atlantic Southeast'!$EL$32:$EM$32)</f>
        <v>2575</v>
      </c>
      <c r="D16" s="21">
        <f>SUM([3]Pinnacle!$EL$32:$EM$32)</f>
        <v>22652</v>
      </c>
      <c r="E16" s="21">
        <f>SUM([3]Compass!$EL$32:$EM$32)</f>
        <v>12983</v>
      </c>
      <c r="F16" s="21">
        <f>SUM('[3]Sky West'!$EL$32:$EM$32)</f>
        <v>17879</v>
      </c>
      <c r="G16" s="21">
        <f>SUM('[3]Sun Country'!$EL$32:$EM$32)</f>
        <v>55316</v>
      </c>
      <c r="H16" s="21">
        <f>SUM([3]Icelandair!$EL$32:$EM$32)</f>
        <v>888</v>
      </c>
      <c r="I16" s="21">
        <f>SUM('[3]Jazz Air'!$EL$32:$EM$32)</f>
        <v>3553</v>
      </c>
      <c r="J16" s="21">
        <f>SUM('[3]Air Georgian'!$EL$32:$EM$32)</f>
        <v>3042</v>
      </c>
      <c r="K16" s="21">
        <f>SUM([3]Condor!$EL$32:$EM$32)</f>
        <v>0</v>
      </c>
      <c r="L16" s="21">
        <f>SUM('[3]Air France'!$EL$32:$EM$32)</f>
        <v>0</v>
      </c>
      <c r="M16" s="21">
        <f>SUM('[3]Charter Misc'!$EL$32:$EM$32)+SUM([3]Ryan!$EL$32:$EM$32)+SUM([3]Omni!$EL$32:$EM$32)</f>
        <v>0</v>
      </c>
      <c r="N16" s="286">
        <f>SUM(B16:M16)</f>
        <v>270409</v>
      </c>
    </row>
    <row r="17" spans="1:14" x14ac:dyDescent="0.2">
      <c r="A17" s="62" t="s">
        <v>34</v>
      </c>
      <c r="B17" s="14">
        <f>SUM([3]Delta!$EL$33:$EM$33)</f>
        <v>149725</v>
      </c>
      <c r="C17" s="14">
        <f>SUM('[3]Atlantic Southeast'!$EL$33:$EM$33)</f>
        <v>2956</v>
      </c>
      <c r="D17" s="14">
        <f>SUM([3]Pinnacle!$EL$33:$EM$33)</f>
        <v>23075</v>
      </c>
      <c r="E17" s="14">
        <f>SUM([3]Compass!$EL$33:$EM$33)</f>
        <v>11906</v>
      </c>
      <c r="F17" s="14">
        <f>SUM('[3]Sky West'!$EL$33:$EM$33)</f>
        <v>17213</v>
      </c>
      <c r="G17" s="14">
        <f>SUM('[3]Sun Country'!$EL$33:$EM$33)</f>
        <v>57683</v>
      </c>
      <c r="H17" s="14">
        <f>SUM([3]Icelandair!$EL$33:$EM$33)</f>
        <v>585</v>
      </c>
      <c r="I17" s="14">
        <f>SUM('[3]Jazz Air'!$EL$33:$EM$33)</f>
        <v>3206</v>
      </c>
      <c r="J17" s="14">
        <f>SUM('[3]Air Georgian'!$EL$33:$EM$33)</f>
        <v>2845</v>
      </c>
      <c r="K17" s="14">
        <f>SUM([3]Condor!$EL$33:$EM$33)</f>
        <v>0</v>
      </c>
      <c r="L17" s="14">
        <f>SUM('[3]Air France'!$EL$33:$EM$33)</f>
        <v>0</v>
      </c>
      <c r="M17" s="14">
        <f>SUM('[3]Charter Misc'!$EL$33:$EM$33)++SUM([3]Ryan!$EL$33:$EM$33)+SUM([3]Omni!$EL$33:$EM$33)</f>
        <v>0</v>
      </c>
      <c r="N17" s="287">
        <f>SUM(B17:M17)</f>
        <v>269194</v>
      </c>
    </row>
    <row r="18" spans="1:14" ht="15" x14ac:dyDescent="0.25">
      <c r="A18" s="60" t="s">
        <v>7</v>
      </c>
      <c r="B18" s="34">
        <f t="shared" ref="B18:M18" si="5">SUM(B16:B17)</f>
        <v>301246</v>
      </c>
      <c r="C18" s="34">
        <f t="shared" si="5"/>
        <v>5531</v>
      </c>
      <c r="D18" s="34">
        <f t="shared" si="5"/>
        <v>45727</v>
      </c>
      <c r="E18" s="34">
        <f t="shared" si="5"/>
        <v>24889</v>
      </c>
      <c r="F18" s="34">
        <f t="shared" si="5"/>
        <v>35092</v>
      </c>
      <c r="G18" s="34">
        <f t="shared" si="5"/>
        <v>112999</v>
      </c>
      <c r="H18" s="34">
        <f t="shared" si="5"/>
        <v>1473</v>
      </c>
      <c r="I18" s="34">
        <f t="shared" si="5"/>
        <v>6759</v>
      </c>
      <c r="J18" s="34">
        <f t="shared" ref="J18" si="6">SUM(J16:J17)</f>
        <v>5887</v>
      </c>
      <c r="K18" s="34">
        <f t="shared" ref="K18" si="7">SUM(K16:K17)</f>
        <v>0</v>
      </c>
      <c r="L18" s="34">
        <f t="shared" si="5"/>
        <v>0</v>
      </c>
      <c r="M18" s="34">
        <f t="shared" si="5"/>
        <v>0</v>
      </c>
      <c r="N18" s="288">
        <f>SUM(B18:M18)</f>
        <v>539603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SUM([3]Delta!$EL$37:$EM$37)</f>
        <v>4420</v>
      </c>
      <c r="C21" s="21">
        <f>SUM('[3]Atlantic Southeast'!$EL$37:$EM$37)</f>
        <v>36</v>
      </c>
      <c r="D21" s="21">
        <f>SUM([3]Pinnacle!$EL$37:$EM$37)</f>
        <v>167</v>
      </c>
      <c r="E21" s="21">
        <f>SUM([3]Compass!$EL$37:$EM$37)</f>
        <v>177</v>
      </c>
      <c r="F21" s="21">
        <f>SUM('[3]Sky West'!$EL$37:$EM$37)</f>
        <v>240</v>
      </c>
      <c r="G21" s="21">
        <f>SUM('[3]Sun Country'!$EL$37:$EM$37)</f>
        <v>273</v>
      </c>
      <c r="H21" s="21">
        <f>SUM([3]Icelandair!$EL$37:$EM$37)</f>
        <v>26</v>
      </c>
      <c r="I21" s="21">
        <f>SUM('[3]Jazz Air'!$EL$37:$EM$37)</f>
        <v>24</v>
      </c>
      <c r="J21" s="21">
        <f>SUM('[3]Air Georgian'!$EL$37:$EM$37)</f>
        <v>0</v>
      </c>
      <c r="K21" s="21">
        <f>SUM([3]Condor!$EL$37:$EM$37)</f>
        <v>0</v>
      </c>
      <c r="L21" s="21">
        <f>SUM('[3]Air France'!$EL$37:$EM$37)</f>
        <v>0</v>
      </c>
      <c r="M21" s="21">
        <f>SUM('[3]Charter Misc'!$EL$37:$EM$37)++SUM([3]Ryan!$EL$37:$EM$37)+SUM([3]Omni!$EL$37:$EM$37)</f>
        <v>0</v>
      </c>
      <c r="N21" s="286">
        <f>SUM(B21:M21)</f>
        <v>5363</v>
      </c>
    </row>
    <row r="22" spans="1:14" x14ac:dyDescent="0.2">
      <c r="A22" s="62" t="s">
        <v>36</v>
      </c>
      <c r="B22" s="14">
        <f>SUM([3]Delta!$EL$38:$EM$38)</f>
        <v>4189</v>
      </c>
      <c r="C22" s="14">
        <f>SUM('[3]Atlantic Southeast'!$EL$38:$EM$38)</f>
        <v>22</v>
      </c>
      <c r="D22" s="14">
        <f>SUM([3]Pinnacle!$EL$38:$EM$38)</f>
        <v>153</v>
      </c>
      <c r="E22" s="14">
        <f>SUM([3]Compass!$EL$38:$EM$38)</f>
        <v>178</v>
      </c>
      <c r="F22" s="14">
        <f>SUM('[3]Sky West'!$EL$38:$EM$38)</f>
        <v>241</v>
      </c>
      <c r="G22" s="14">
        <f>SUM('[3]Sun Country'!$EL$38:$EM$38)</f>
        <v>334</v>
      </c>
      <c r="H22" s="14">
        <f>SUM([3]Icelandair!$EL$38:$EM$38)</f>
        <v>24</v>
      </c>
      <c r="I22" s="14">
        <f>SUM('[3]Jazz Air'!$EL$38:$EM$38)</f>
        <v>39</v>
      </c>
      <c r="J22" s="14">
        <f>SUM('[3]Air Georgian'!$EL$38:$EM$38)</f>
        <v>0</v>
      </c>
      <c r="K22" s="14">
        <f>SUM([3]Condor!$EL$38:$EM$38)</f>
        <v>0</v>
      </c>
      <c r="L22" s="14">
        <f>SUM('[3]Air France'!$EL$38:$EM$38)</f>
        <v>0</v>
      </c>
      <c r="M22" s="14">
        <f>SUM('[3]Charter Misc'!$EL$38:$EM$38)++SUM([3]Ryan!$EL$38:$EM$38)+SUM([3]Omni!$EL$38:$EM$38)</f>
        <v>0</v>
      </c>
      <c r="N22" s="287">
        <f>SUM(B22:M22)</f>
        <v>5180</v>
      </c>
    </row>
    <row r="23" spans="1:14" ht="15.75" thickBot="1" x14ac:dyDescent="0.3">
      <c r="A23" s="63" t="s">
        <v>37</v>
      </c>
      <c r="B23" s="289">
        <f t="shared" ref="B23:M23" si="8">SUM(B21:B22)</f>
        <v>8609</v>
      </c>
      <c r="C23" s="289">
        <f t="shared" si="8"/>
        <v>58</v>
      </c>
      <c r="D23" s="289">
        <f t="shared" si="8"/>
        <v>320</v>
      </c>
      <c r="E23" s="289">
        <f t="shared" si="8"/>
        <v>355</v>
      </c>
      <c r="F23" s="289">
        <f t="shared" si="8"/>
        <v>481</v>
      </c>
      <c r="G23" s="289">
        <f t="shared" si="8"/>
        <v>607</v>
      </c>
      <c r="H23" s="289">
        <f t="shared" si="8"/>
        <v>50</v>
      </c>
      <c r="I23" s="289">
        <f t="shared" si="8"/>
        <v>63</v>
      </c>
      <c r="J23" s="289">
        <f t="shared" ref="J23" si="9">SUM(J21:J22)</f>
        <v>0</v>
      </c>
      <c r="K23" s="289">
        <f t="shared" ref="K23" si="10">SUM(K21:K22)</f>
        <v>0</v>
      </c>
      <c r="L23" s="289">
        <f t="shared" si="8"/>
        <v>0</v>
      </c>
      <c r="M23" s="289">
        <f t="shared" si="8"/>
        <v>0</v>
      </c>
      <c r="N23" s="290">
        <f>SUM(B23:M23)</f>
        <v>10543</v>
      </c>
    </row>
    <row r="25" spans="1:14" ht="39" thickBot="1" x14ac:dyDescent="0.25">
      <c r="B25" s="12" t="s">
        <v>20</v>
      </c>
      <c r="C25" s="277" t="s">
        <v>54</v>
      </c>
      <c r="D25" s="441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12" t="s">
        <v>105</v>
      </c>
      <c r="J25" s="480" t="s">
        <v>216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11" t="s">
        <v>153</v>
      </c>
      <c r="B26" s="512"/>
      <c r="C26" s="512"/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3"/>
    </row>
    <row r="27" spans="1:14" x14ac:dyDescent="0.2">
      <c r="A27" s="62" t="s">
        <v>25</v>
      </c>
      <c r="B27" s="21">
        <f>[3]Delta!$EM$15</f>
        <v>497</v>
      </c>
      <c r="C27" s="21">
        <f>'[3]Atlantic Southeast'!$EM$15</f>
        <v>8</v>
      </c>
      <c r="D27" s="21">
        <f>[3]Pinnacle!$EM$15</f>
        <v>201</v>
      </c>
      <c r="E27" s="21">
        <f>[3]Compass!$EM$15</f>
        <v>90</v>
      </c>
      <c r="F27" s="21">
        <f>'[3]Sky West'!$EM$15</f>
        <v>150</v>
      </c>
      <c r="G27" s="21">
        <f>'[3]Sun Country'!$EM$15</f>
        <v>294</v>
      </c>
      <c r="H27" s="21">
        <f>[3]Icelandair!$EM$15</f>
        <v>0</v>
      </c>
      <c r="I27" s="21">
        <f>'[3]Jazz Air'!$EM$15</f>
        <v>3</v>
      </c>
      <c r="J27" s="21">
        <f>'[3]Air Georgian'!$EM$15</f>
        <v>79</v>
      </c>
      <c r="K27" s="21">
        <f>[3]Condor!$EM$15</f>
        <v>0</v>
      </c>
      <c r="L27" s="21">
        <f>'[3]Air France'!$EM$15</f>
        <v>0</v>
      </c>
      <c r="M27" s="21">
        <f>'[3]Charter Misc'!$EM$15+[3]Ryan!$EM$15+[3]Omni!$EM$15</f>
        <v>0</v>
      </c>
      <c r="N27" s="286">
        <f>SUM(B27:M27)</f>
        <v>1322</v>
      </c>
    </row>
    <row r="28" spans="1:14" x14ac:dyDescent="0.2">
      <c r="A28" s="62" t="s">
        <v>26</v>
      </c>
      <c r="B28" s="21">
        <f>[3]Delta!$EM$16</f>
        <v>500</v>
      </c>
      <c r="C28" s="21">
        <f>'[3]Atlantic Southeast'!$EM$16</f>
        <v>11</v>
      </c>
      <c r="D28" s="21">
        <f>[3]Pinnacle!$EM$16</f>
        <v>200</v>
      </c>
      <c r="E28" s="21">
        <f>[3]Compass!$EM$16</f>
        <v>89</v>
      </c>
      <c r="F28" s="21">
        <f>'[3]Sky West'!$EM$16</f>
        <v>148</v>
      </c>
      <c r="G28" s="21">
        <f>'[3]Sun Country'!$EM$16</f>
        <v>290</v>
      </c>
      <c r="H28" s="21">
        <f>[3]Icelandair!$EM$16</f>
        <v>0</v>
      </c>
      <c r="I28" s="21">
        <f>'[3]Jazz Air'!$EM$16</f>
        <v>4</v>
      </c>
      <c r="J28" s="21">
        <f>'[3]Air Georgian'!$EM$16</f>
        <v>78</v>
      </c>
      <c r="K28" s="21">
        <f>[3]Condor!$EM$16</f>
        <v>0</v>
      </c>
      <c r="L28" s="21">
        <f>'[3]Air France'!$EM$16</f>
        <v>0</v>
      </c>
      <c r="M28" s="21">
        <f>'[3]Charter Misc'!$EM$16+[3]Ryan!$EM$16+[3]Omni!$EM$16</f>
        <v>0</v>
      </c>
      <c r="N28" s="286">
        <f>SUM(B28:M28)</f>
        <v>1320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3">
        <f t="shared" ref="B30:I30" si="11">SUM(B27:B28)</f>
        <v>997</v>
      </c>
      <c r="C30" s="393">
        <f t="shared" si="11"/>
        <v>19</v>
      </c>
      <c r="D30" s="393">
        <f t="shared" si="11"/>
        <v>401</v>
      </c>
      <c r="E30" s="393">
        <f t="shared" si="11"/>
        <v>179</v>
      </c>
      <c r="F30" s="393">
        <f>SUM(F27:F28)</f>
        <v>298</v>
      </c>
      <c r="G30" s="393">
        <f t="shared" si="11"/>
        <v>584</v>
      </c>
      <c r="H30" s="393">
        <f t="shared" si="11"/>
        <v>0</v>
      </c>
      <c r="I30" s="393">
        <f t="shared" si="11"/>
        <v>7</v>
      </c>
      <c r="J30" s="393">
        <f t="shared" ref="J30" si="12">SUM(J27:J28)</f>
        <v>157</v>
      </c>
      <c r="K30" s="393">
        <f>SUM(K27:K28)</f>
        <v>0</v>
      </c>
      <c r="L30" s="393">
        <f>SUM(L27:L28)</f>
        <v>0</v>
      </c>
      <c r="M30" s="393">
        <f>SUM(M27:M28)</f>
        <v>0</v>
      </c>
      <c r="N30" s="394">
        <f>SUM(B30:M30)</f>
        <v>2642</v>
      </c>
    </row>
    <row r="31" spans="1:14" ht="15" x14ac:dyDescent="0.25">
      <c r="A31" s="395"/>
    </row>
    <row r="32" spans="1:14" ht="39" thickBot="1" x14ac:dyDescent="0.25">
      <c r="B32" s="12" t="s">
        <v>20</v>
      </c>
      <c r="C32" s="277" t="s">
        <v>54</v>
      </c>
      <c r="D32" s="441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12" t="s">
        <v>105</v>
      </c>
      <c r="J32" s="480" t="s">
        <v>216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4" t="s">
        <v>154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6"/>
    </row>
    <row r="34" spans="1:14" x14ac:dyDescent="0.2">
      <c r="A34" s="62" t="s">
        <v>25</v>
      </c>
      <c r="B34" s="21">
        <f>SUM([3]Delta!$EL$15:$EM$15)</f>
        <v>1007</v>
      </c>
      <c r="C34" s="21">
        <f>SUM('[3]Atlantic Southeast'!$EL$15:$EM$15)</f>
        <v>44</v>
      </c>
      <c r="D34" s="21">
        <f>SUM([3]Pinnacle!$EL$15:$EM$15)</f>
        <v>382</v>
      </c>
      <c r="E34" s="21">
        <f>SUM([3]Compass!$EL$15:$EM$15)</f>
        <v>199</v>
      </c>
      <c r="F34" s="21">
        <f>SUM('[3]Sky West'!$EL$15:$EM$15)</f>
        <v>303</v>
      </c>
      <c r="G34" s="21">
        <f>SUM('[3]Sun Country'!$EL$15:$EM$15)</f>
        <v>521</v>
      </c>
      <c r="H34" s="21">
        <f>SUM([3]Icelandair!$EL$15:$EM$15)</f>
        <v>6</v>
      </c>
      <c r="I34" s="21">
        <f>SUM('[3]Jazz Air'!$EL$15:$EM$15)</f>
        <v>92</v>
      </c>
      <c r="J34" s="21">
        <f>SUM('[3]Air Georgian'!$EL$15:$EM$15)</f>
        <v>79</v>
      </c>
      <c r="K34" s="21">
        <f>SUM([3]Condor!$EL$15:$EM$15)</f>
        <v>0</v>
      </c>
      <c r="L34" s="21">
        <f>SUM('[3]Air France'!$EL$15:$EM$15)</f>
        <v>0</v>
      </c>
      <c r="M34" s="21">
        <f>SUM('[3]Charter Misc'!$EL$15:$EM$15)+SUM([3]Ryan!$EL$15:$EM$15)+SUM([3]Omni!$EL$15:$EM$15)</f>
        <v>0</v>
      </c>
      <c r="N34" s="286">
        <f>SUM(B34:M34)</f>
        <v>2633</v>
      </c>
    </row>
    <row r="35" spans="1:14" x14ac:dyDescent="0.2">
      <c r="A35" s="62" t="s">
        <v>26</v>
      </c>
      <c r="B35" s="21">
        <f>SUM([3]Delta!$EL$16:$EM$16)</f>
        <v>1012</v>
      </c>
      <c r="C35" s="21">
        <f>SUM('[3]Atlantic Southeast'!$EL$16:$EM$16)</f>
        <v>50</v>
      </c>
      <c r="D35" s="21">
        <f>SUM([3]Pinnacle!$EL$16:$EM$16)</f>
        <v>375</v>
      </c>
      <c r="E35" s="21">
        <f>SUM([3]Compass!$EL$16:$EM$16)</f>
        <v>197</v>
      </c>
      <c r="F35" s="21">
        <f>SUM('[3]Sky West'!$EL$16:$EM$16)</f>
        <v>303</v>
      </c>
      <c r="G35" s="21">
        <f>SUM('[3]Sun Country'!$EL$16:$EM$16)</f>
        <v>519</v>
      </c>
      <c r="H35" s="21">
        <f>SUM([3]Icelandair!$EL$16:$EM$16)</f>
        <v>6</v>
      </c>
      <c r="I35" s="21">
        <f>SUM('[3]Jazz Air'!$EL$16:$EM$16)</f>
        <v>93</v>
      </c>
      <c r="J35" s="21">
        <f>SUM('[3]Air Georgian'!$EL$16:$EM$16)</f>
        <v>78</v>
      </c>
      <c r="K35" s="21">
        <f>SUM([3]Condor!$EL$16:$EM$16)</f>
        <v>0</v>
      </c>
      <c r="L35" s="21">
        <f>SUM('[3]Air France'!$EL$16:$EM$16)</f>
        <v>0</v>
      </c>
      <c r="M35" s="21">
        <f>SUM('[3]Charter Misc'!$EL$16:$EM$16)+SUM([3]Ryan!$EL$16:$EM$16)+SUM([3]Omni!$EL$16:$EM$16)</f>
        <v>0</v>
      </c>
      <c r="N35" s="286">
        <f>SUM(B35:M35)</f>
        <v>2633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3">
        <f t="shared" ref="B37:I37" si="13">+SUM(B34:B35)</f>
        <v>2019</v>
      </c>
      <c r="C37" s="393">
        <f t="shared" si="13"/>
        <v>94</v>
      </c>
      <c r="D37" s="393">
        <f t="shared" si="13"/>
        <v>757</v>
      </c>
      <c r="E37" s="393">
        <f t="shared" si="13"/>
        <v>396</v>
      </c>
      <c r="F37" s="393">
        <f>+SUM(F34:F35)</f>
        <v>606</v>
      </c>
      <c r="G37" s="393">
        <f t="shared" si="13"/>
        <v>1040</v>
      </c>
      <c r="H37" s="393">
        <f t="shared" si="13"/>
        <v>12</v>
      </c>
      <c r="I37" s="393">
        <f t="shared" si="13"/>
        <v>185</v>
      </c>
      <c r="J37" s="393">
        <f t="shared" ref="J37" si="14">+SUM(J34:J35)</f>
        <v>157</v>
      </c>
      <c r="K37" s="393">
        <f>+SUM(K34:K35)</f>
        <v>0</v>
      </c>
      <c r="L37" s="393">
        <f>+SUM(L34:L35)</f>
        <v>0</v>
      </c>
      <c r="M37" s="393">
        <f>+SUM(M34:M35)</f>
        <v>0</v>
      </c>
      <c r="N37" s="394">
        <f>SUM(B37:M37)</f>
        <v>5266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&amp;"Arial,Bold"February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2017-04-11T13:33:14Z</cp:lastPrinted>
  <dcterms:created xsi:type="dcterms:W3CDTF">2007-09-24T12:26:24Z</dcterms:created>
  <dcterms:modified xsi:type="dcterms:W3CDTF">2020-01-29T19:47:06Z</dcterms:modified>
</cp:coreProperties>
</file>