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10">'Ops+Rev Pax Activity'!$A$1:$Q$64</definedName>
    <definedName name="_xlnm.Print_Area" localSheetId="2">'Other Major Airline Stats'!$A$2:$J$49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H49" i="3" l="1"/>
  <c r="G49" i="3"/>
  <c r="H48" i="3"/>
  <c r="G48" i="3"/>
  <c r="E11" i="7" l="1"/>
  <c r="E10" i="7"/>
  <c r="K35" i="16" l="1"/>
  <c r="K34" i="16"/>
  <c r="K28" i="16"/>
  <c r="K27" i="16"/>
  <c r="K22" i="16"/>
  <c r="K21" i="16"/>
  <c r="K17" i="16"/>
  <c r="K16" i="16"/>
  <c r="K10" i="16"/>
  <c r="K9" i="16"/>
  <c r="K5" i="16"/>
  <c r="K4" i="16"/>
  <c r="K23" i="16" l="1"/>
  <c r="K37" i="16"/>
  <c r="K18" i="16"/>
  <c r="K30" i="16"/>
  <c r="K11" i="16"/>
  <c r="K6" i="16"/>
  <c r="P54" i="9" l="1"/>
  <c r="P22" i="9" l="1"/>
  <c r="O22" i="9"/>
  <c r="M22" i="9"/>
  <c r="L22" i="9"/>
  <c r="G22" i="9"/>
  <c r="F22" i="9"/>
  <c r="D22" i="9"/>
  <c r="C22" i="9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G37" i="4" l="1"/>
  <c r="N22" i="9"/>
  <c r="G7" i="4"/>
  <c r="G17" i="4"/>
  <c r="G27" i="4"/>
  <c r="G12" i="4"/>
  <c r="G32" i="4"/>
  <c r="E22" i="9"/>
  <c r="G41" i="4"/>
  <c r="G20" i="4"/>
  <c r="Q22" i="9"/>
  <c r="H22" i="9"/>
  <c r="G40" i="4"/>
  <c r="P59" i="9"/>
  <c r="P58" i="9"/>
  <c r="P57" i="9"/>
  <c r="P56" i="9"/>
  <c r="P55" i="9"/>
  <c r="P53" i="9"/>
  <c r="P50" i="9"/>
  <c r="P48" i="9"/>
  <c r="P46" i="9"/>
  <c r="P43" i="9"/>
  <c r="P41" i="9"/>
  <c r="P39" i="9"/>
  <c r="P37" i="9"/>
  <c r="P36" i="9"/>
  <c r="P35" i="9"/>
  <c r="P34" i="9"/>
  <c r="P33" i="9"/>
  <c r="P32" i="9"/>
  <c r="P31" i="9"/>
  <c r="P28" i="9"/>
  <c r="P26" i="9"/>
  <c r="P24" i="9"/>
  <c r="P23" i="9"/>
  <c r="P21" i="9"/>
  <c r="P20" i="9"/>
  <c r="P19" i="9"/>
  <c r="P18" i="9"/>
  <c r="P15" i="9"/>
  <c r="P14" i="9"/>
  <c r="P11" i="9"/>
  <c r="P9" i="9"/>
  <c r="P7" i="9"/>
  <c r="P6" i="9"/>
  <c r="L59" i="9"/>
  <c r="L58" i="9"/>
  <c r="L57" i="9"/>
  <c r="L56" i="9"/>
  <c r="L55" i="9"/>
  <c r="L54" i="9"/>
  <c r="L53" i="9"/>
  <c r="L50" i="9"/>
  <c r="L48" i="9"/>
  <c r="L46" i="9"/>
  <c r="L43" i="9"/>
  <c r="L41" i="9"/>
  <c r="L39" i="9"/>
  <c r="L37" i="9"/>
  <c r="L36" i="9"/>
  <c r="L35" i="9"/>
  <c r="L34" i="9"/>
  <c r="L33" i="9"/>
  <c r="L32" i="9"/>
  <c r="L31" i="9"/>
  <c r="L28" i="9"/>
  <c r="L26" i="9"/>
  <c r="L24" i="9"/>
  <c r="L23" i="9"/>
  <c r="L21" i="9"/>
  <c r="L20" i="9"/>
  <c r="L19" i="9"/>
  <c r="L18" i="9"/>
  <c r="L15" i="9"/>
  <c r="L14" i="9"/>
  <c r="L11" i="9"/>
  <c r="L9" i="9"/>
  <c r="L7" i="9"/>
  <c r="L6" i="9"/>
  <c r="C59" i="9"/>
  <c r="C58" i="9"/>
  <c r="C57" i="9"/>
  <c r="C56" i="9"/>
  <c r="C55" i="9"/>
  <c r="C54" i="9"/>
  <c r="C53" i="9"/>
  <c r="C50" i="9"/>
  <c r="C48" i="9"/>
  <c r="C46" i="9"/>
  <c r="C43" i="9"/>
  <c r="C41" i="9"/>
  <c r="C39" i="9"/>
  <c r="C37" i="9"/>
  <c r="C36" i="9"/>
  <c r="C35" i="9"/>
  <c r="C34" i="9"/>
  <c r="C33" i="9"/>
  <c r="C32" i="9"/>
  <c r="C31" i="9"/>
  <c r="C28" i="9"/>
  <c r="C26" i="9"/>
  <c r="C24" i="9"/>
  <c r="C23" i="9"/>
  <c r="C21" i="9"/>
  <c r="C20" i="9"/>
  <c r="C19" i="9"/>
  <c r="C18" i="9"/>
  <c r="C15" i="9"/>
  <c r="C14" i="9"/>
  <c r="C11" i="9"/>
  <c r="C9" i="9"/>
  <c r="C7" i="9"/>
  <c r="C6" i="9"/>
  <c r="G59" i="9"/>
  <c r="G58" i="9"/>
  <c r="G57" i="9"/>
  <c r="G56" i="9"/>
  <c r="G55" i="9"/>
  <c r="G54" i="9"/>
  <c r="G53" i="9"/>
  <c r="G50" i="9"/>
  <c r="G48" i="9"/>
  <c r="G46" i="9"/>
  <c r="G43" i="9"/>
  <c r="G41" i="9"/>
  <c r="G39" i="9"/>
  <c r="G37" i="9"/>
  <c r="G36" i="9"/>
  <c r="G35" i="9"/>
  <c r="G34" i="9"/>
  <c r="G33" i="9"/>
  <c r="G32" i="9"/>
  <c r="G31" i="9"/>
  <c r="G28" i="9"/>
  <c r="G26" i="9"/>
  <c r="G24" i="9"/>
  <c r="G23" i="9"/>
  <c r="G21" i="9"/>
  <c r="G20" i="9"/>
  <c r="G19" i="9"/>
  <c r="G18" i="9"/>
  <c r="G15" i="9"/>
  <c r="G14" i="9"/>
  <c r="G11" i="9"/>
  <c r="G9" i="9"/>
  <c r="G7" i="9"/>
  <c r="G6" i="9"/>
  <c r="M59" i="9"/>
  <c r="D59" i="9"/>
  <c r="M58" i="9"/>
  <c r="D58" i="9"/>
  <c r="M57" i="9"/>
  <c r="D57" i="9"/>
  <c r="M56" i="9"/>
  <c r="D56" i="9"/>
  <c r="M55" i="9"/>
  <c r="D55" i="9"/>
  <c r="M54" i="9"/>
  <c r="D54" i="9"/>
  <c r="M53" i="9"/>
  <c r="D53" i="9"/>
  <c r="M50" i="9"/>
  <c r="D50" i="9"/>
  <c r="M48" i="9"/>
  <c r="D48" i="9"/>
  <c r="M46" i="9"/>
  <c r="D46" i="9"/>
  <c r="M43" i="9"/>
  <c r="D43" i="9"/>
  <c r="M41" i="9"/>
  <c r="D41" i="9"/>
  <c r="M39" i="9"/>
  <c r="D39" i="9"/>
  <c r="M37" i="9"/>
  <c r="D37" i="9"/>
  <c r="M36" i="9"/>
  <c r="D36" i="9"/>
  <c r="M35" i="9"/>
  <c r="D35" i="9"/>
  <c r="M34" i="9"/>
  <c r="D34" i="9"/>
  <c r="M33" i="9"/>
  <c r="D33" i="9"/>
  <c r="M32" i="9"/>
  <c r="D32" i="9"/>
  <c r="M31" i="9"/>
  <c r="D31" i="9"/>
  <c r="M28" i="9"/>
  <c r="D28" i="9"/>
  <c r="M26" i="9"/>
  <c r="D26" i="9"/>
  <c r="M24" i="9"/>
  <c r="D24" i="9"/>
  <c r="M23" i="9"/>
  <c r="D23" i="9"/>
  <c r="M21" i="9"/>
  <c r="D21" i="9"/>
  <c r="M20" i="9"/>
  <c r="D20" i="9"/>
  <c r="M19" i="9"/>
  <c r="D19" i="9"/>
  <c r="M18" i="9"/>
  <c r="D18" i="9"/>
  <c r="M15" i="9"/>
  <c r="D15" i="9"/>
  <c r="M14" i="9"/>
  <c r="D14" i="9"/>
  <c r="M11" i="9"/>
  <c r="D11" i="9"/>
  <c r="M9" i="9"/>
  <c r="D9" i="9"/>
  <c r="M7" i="9"/>
  <c r="D7" i="9"/>
  <c r="M6" i="9"/>
  <c r="D6" i="9"/>
  <c r="O59" i="9"/>
  <c r="F59" i="9"/>
  <c r="O58" i="9"/>
  <c r="F58" i="9"/>
  <c r="O57" i="9"/>
  <c r="F57" i="9"/>
  <c r="O56" i="9"/>
  <c r="F56" i="9"/>
  <c r="O55" i="9"/>
  <c r="F55" i="9"/>
  <c r="O54" i="9"/>
  <c r="F54" i="9"/>
  <c r="O53" i="9"/>
  <c r="F53" i="9"/>
  <c r="O50" i="9"/>
  <c r="F50" i="9"/>
  <c r="O48" i="9"/>
  <c r="F48" i="9"/>
  <c r="O46" i="9"/>
  <c r="F46" i="9"/>
  <c r="O43" i="9"/>
  <c r="F43" i="9"/>
  <c r="O41" i="9"/>
  <c r="F41" i="9"/>
  <c r="O39" i="9"/>
  <c r="F39" i="9"/>
  <c r="O37" i="9"/>
  <c r="F37" i="9"/>
  <c r="O36" i="9"/>
  <c r="F36" i="9"/>
  <c r="O35" i="9"/>
  <c r="F35" i="9"/>
  <c r="O34" i="9"/>
  <c r="F34" i="9"/>
  <c r="O33" i="9"/>
  <c r="F33" i="9"/>
  <c r="O32" i="9"/>
  <c r="F32" i="9"/>
  <c r="O31" i="9"/>
  <c r="F31" i="9"/>
  <c r="O28" i="9"/>
  <c r="F28" i="9"/>
  <c r="O26" i="9"/>
  <c r="F26" i="9"/>
  <c r="O24" i="9"/>
  <c r="F24" i="9"/>
  <c r="O23" i="9"/>
  <c r="F23" i="9"/>
  <c r="O21" i="9"/>
  <c r="F21" i="9"/>
  <c r="O20" i="9"/>
  <c r="F20" i="9"/>
  <c r="O19" i="9"/>
  <c r="F19" i="9"/>
  <c r="O18" i="9"/>
  <c r="F18" i="9"/>
  <c r="O15" i="9"/>
  <c r="F15" i="9"/>
  <c r="O14" i="9"/>
  <c r="F14" i="9"/>
  <c r="O11" i="9"/>
  <c r="F11" i="9"/>
  <c r="O9" i="9"/>
  <c r="F9" i="9"/>
  <c r="O7" i="9"/>
  <c r="F7" i="9"/>
  <c r="O6" i="9"/>
  <c r="F6" i="9"/>
  <c r="N35" i="16"/>
  <c r="M35" i="16"/>
  <c r="L35" i="16"/>
  <c r="J35" i="16"/>
  <c r="I35" i="16"/>
  <c r="H35" i="16"/>
  <c r="G35" i="16"/>
  <c r="F35" i="16"/>
  <c r="E35" i="16"/>
  <c r="D35" i="16"/>
  <c r="C35" i="16"/>
  <c r="B35" i="16"/>
  <c r="N34" i="16"/>
  <c r="M34" i="16"/>
  <c r="L34" i="16"/>
  <c r="J34" i="16"/>
  <c r="I34" i="16"/>
  <c r="H34" i="16"/>
  <c r="G34" i="16"/>
  <c r="F34" i="16"/>
  <c r="E34" i="16"/>
  <c r="D34" i="16"/>
  <c r="C34" i="16"/>
  <c r="B34" i="16"/>
  <c r="N22" i="16"/>
  <c r="M22" i="16"/>
  <c r="L22" i="16"/>
  <c r="J22" i="16"/>
  <c r="I22" i="16"/>
  <c r="H22" i="16"/>
  <c r="G22" i="16"/>
  <c r="F22" i="16"/>
  <c r="E22" i="16"/>
  <c r="D22" i="16"/>
  <c r="C22" i="16"/>
  <c r="B22" i="16"/>
  <c r="N21" i="16"/>
  <c r="M21" i="16"/>
  <c r="L21" i="16"/>
  <c r="J21" i="16"/>
  <c r="I21" i="16"/>
  <c r="H21" i="16"/>
  <c r="G21" i="16"/>
  <c r="F21" i="16"/>
  <c r="E21" i="16"/>
  <c r="D21" i="16"/>
  <c r="C21" i="16"/>
  <c r="B21" i="16"/>
  <c r="N17" i="16"/>
  <c r="M17" i="16"/>
  <c r="L17" i="16"/>
  <c r="J17" i="16"/>
  <c r="I17" i="16"/>
  <c r="H17" i="16"/>
  <c r="G17" i="16"/>
  <c r="F17" i="16"/>
  <c r="E17" i="16"/>
  <c r="D17" i="16"/>
  <c r="C17" i="16"/>
  <c r="B17" i="16"/>
  <c r="N16" i="16"/>
  <c r="M16" i="16"/>
  <c r="L16" i="16"/>
  <c r="J16" i="16"/>
  <c r="I16" i="16"/>
  <c r="H16" i="16"/>
  <c r="G16" i="16"/>
  <c r="F16" i="16"/>
  <c r="E16" i="16"/>
  <c r="D16" i="16"/>
  <c r="C16" i="16"/>
  <c r="B16" i="16"/>
  <c r="N28" i="16"/>
  <c r="M28" i="16"/>
  <c r="L28" i="16"/>
  <c r="J28" i="16"/>
  <c r="I28" i="16"/>
  <c r="H28" i="16"/>
  <c r="G28" i="16"/>
  <c r="F28" i="16"/>
  <c r="E28" i="16"/>
  <c r="D28" i="16"/>
  <c r="C28" i="16"/>
  <c r="B28" i="16"/>
  <c r="N27" i="16"/>
  <c r="M27" i="16"/>
  <c r="L27" i="16"/>
  <c r="J27" i="16"/>
  <c r="I27" i="16"/>
  <c r="H27" i="16"/>
  <c r="G27" i="16"/>
  <c r="F27" i="16"/>
  <c r="E27" i="16"/>
  <c r="D27" i="16"/>
  <c r="C27" i="16"/>
  <c r="B27" i="16"/>
  <c r="N10" i="16"/>
  <c r="M10" i="16"/>
  <c r="L10" i="16"/>
  <c r="J10" i="16"/>
  <c r="I10" i="16"/>
  <c r="H10" i="16"/>
  <c r="G10" i="16"/>
  <c r="F10" i="16"/>
  <c r="E10" i="16"/>
  <c r="D10" i="16"/>
  <c r="C10" i="16"/>
  <c r="B10" i="16"/>
  <c r="N9" i="16"/>
  <c r="M9" i="16"/>
  <c r="L9" i="16"/>
  <c r="J9" i="16"/>
  <c r="I9" i="16"/>
  <c r="H9" i="16"/>
  <c r="G9" i="16"/>
  <c r="F9" i="16"/>
  <c r="E9" i="16"/>
  <c r="D9" i="16"/>
  <c r="C9" i="16"/>
  <c r="B9" i="16"/>
  <c r="N5" i="16"/>
  <c r="M5" i="16"/>
  <c r="L5" i="16"/>
  <c r="J5" i="16"/>
  <c r="I5" i="16"/>
  <c r="H5" i="16"/>
  <c r="G5" i="16"/>
  <c r="F5" i="16"/>
  <c r="E5" i="16"/>
  <c r="D5" i="16"/>
  <c r="C5" i="16"/>
  <c r="B5" i="16"/>
  <c r="N4" i="16"/>
  <c r="M4" i="16"/>
  <c r="L4" i="16"/>
  <c r="J4" i="16"/>
  <c r="I4" i="16"/>
  <c r="H4" i="16"/>
  <c r="G4" i="16"/>
  <c r="F4" i="16"/>
  <c r="E4" i="16"/>
  <c r="D4" i="16"/>
  <c r="C4" i="16"/>
  <c r="B4" i="16"/>
  <c r="P21" i="17"/>
  <c r="O21" i="17"/>
  <c r="P19" i="17"/>
  <c r="O19" i="17"/>
  <c r="P17" i="17"/>
  <c r="O17" i="17"/>
  <c r="P13" i="17"/>
  <c r="O13" i="17"/>
  <c r="P11" i="17"/>
  <c r="O11" i="17"/>
  <c r="P9" i="17"/>
  <c r="O9" i="17"/>
  <c r="P7" i="17"/>
  <c r="O7" i="17"/>
  <c r="P5" i="17"/>
  <c r="O5" i="17"/>
  <c r="G21" i="17"/>
  <c r="F21" i="17"/>
  <c r="G19" i="17"/>
  <c r="F19" i="17"/>
  <c r="G17" i="17"/>
  <c r="F17" i="17"/>
  <c r="G15" i="17"/>
  <c r="F15" i="17"/>
  <c r="G13" i="17"/>
  <c r="F13" i="17"/>
  <c r="G11" i="17"/>
  <c r="F11" i="17"/>
  <c r="G9" i="17"/>
  <c r="F9" i="17"/>
  <c r="G7" i="17"/>
  <c r="F7" i="17"/>
  <c r="G5" i="17"/>
  <c r="F5" i="17"/>
  <c r="M21" i="17"/>
  <c r="D21" i="17"/>
  <c r="M19" i="17"/>
  <c r="D19" i="17"/>
  <c r="M17" i="17"/>
  <c r="D17" i="17"/>
  <c r="D15" i="17"/>
  <c r="M13" i="17"/>
  <c r="D13" i="17"/>
  <c r="M11" i="17"/>
  <c r="D11" i="17"/>
  <c r="M9" i="17"/>
  <c r="D9" i="17"/>
  <c r="M7" i="17"/>
  <c r="D7" i="17"/>
  <c r="M5" i="17"/>
  <c r="D5" i="17"/>
  <c r="L21" i="17"/>
  <c r="C21" i="17"/>
  <c r="L19" i="17"/>
  <c r="C19" i="17"/>
  <c r="L17" i="17"/>
  <c r="C17" i="17"/>
  <c r="C15" i="17"/>
  <c r="L13" i="17"/>
  <c r="C13" i="17"/>
  <c r="L11" i="17"/>
  <c r="C11" i="17"/>
  <c r="L9" i="17"/>
  <c r="C9" i="17"/>
  <c r="L7" i="17"/>
  <c r="C7" i="17"/>
  <c r="L5" i="17"/>
  <c r="C5" i="17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O22" i="7"/>
  <c r="J22" i="7"/>
  <c r="E22" i="7"/>
  <c r="F11" i="7"/>
  <c r="D11" i="7"/>
  <c r="C11" i="7"/>
  <c r="B11" i="7"/>
  <c r="F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E47" i="15"/>
  <c r="C47" i="15"/>
  <c r="I46" i="15"/>
  <c r="F46" i="15"/>
  <c r="E46" i="15"/>
  <c r="C46" i="15"/>
  <c r="I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F36" i="4"/>
  <c r="E36" i="4"/>
  <c r="D36" i="4"/>
  <c r="C36" i="4"/>
  <c r="B36" i="4"/>
  <c r="K35" i="4"/>
  <c r="J35" i="4"/>
  <c r="I35" i="4"/>
  <c r="H35" i="4"/>
  <c r="F35" i="4"/>
  <c r="E35" i="4"/>
  <c r="D35" i="4"/>
  <c r="C35" i="4"/>
  <c r="B35" i="4"/>
  <c r="K31" i="4"/>
  <c r="J31" i="4"/>
  <c r="I31" i="4"/>
  <c r="H31" i="4"/>
  <c r="F31" i="4"/>
  <c r="E31" i="4"/>
  <c r="D31" i="4"/>
  <c r="C31" i="4"/>
  <c r="B31" i="4"/>
  <c r="K30" i="4"/>
  <c r="J30" i="4"/>
  <c r="I30" i="4"/>
  <c r="H30" i="4"/>
  <c r="F30" i="4"/>
  <c r="E30" i="4"/>
  <c r="D30" i="4"/>
  <c r="C30" i="4"/>
  <c r="B30" i="4"/>
  <c r="K26" i="4"/>
  <c r="J26" i="4"/>
  <c r="I26" i="4"/>
  <c r="H26" i="4"/>
  <c r="F26" i="4"/>
  <c r="E26" i="4"/>
  <c r="D26" i="4"/>
  <c r="C26" i="4"/>
  <c r="B26" i="4"/>
  <c r="K25" i="4"/>
  <c r="J25" i="4"/>
  <c r="I25" i="4"/>
  <c r="H25" i="4"/>
  <c r="F25" i="4"/>
  <c r="E25" i="4"/>
  <c r="D25" i="4"/>
  <c r="C25" i="4"/>
  <c r="B25" i="4"/>
  <c r="K19" i="4"/>
  <c r="J19" i="4"/>
  <c r="I19" i="4"/>
  <c r="H19" i="4"/>
  <c r="F19" i="4"/>
  <c r="E19" i="4"/>
  <c r="D19" i="4"/>
  <c r="C19" i="4"/>
  <c r="B19" i="4"/>
  <c r="K18" i="4"/>
  <c r="J18" i="4"/>
  <c r="I18" i="4"/>
  <c r="H18" i="4"/>
  <c r="F18" i="4"/>
  <c r="E18" i="4"/>
  <c r="D18" i="4"/>
  <c r="C18" i="4"/>
  <c r="B18" i="4"/>
  <c r="K16" i="4"/>
  <c r="J16" i="4"/>
  <c r="I16" i="4"/>
  <c r="H16" i="4"/>
  <c r="F16" i="4"/>
  <c r="E16" i="4"/>
  <c r="D16" i="4"/>
  <c r="C16" i="4"/>
  <c r="B16" i="4"/>
  <c r="K15" i="4"/>
  <c r="J15" i="4"/>
  <c r="I15" i="4"/>
  <c r="H15" i="4"/>
  <c r="F15" i="4"/>
  <c r="E15" i="4"/>
  <c r="D15" i="4"/>
  <c r="C15" i="4"/>
  <c r="B15" i="4"/>
  <c r="K11" i="4"/>
  <c r="J11" i="4"/>
  <c r="I11" i="4"/>
  <c r="H11" i="4"/>
  <c r="F11" i="4"/>
  <c r="E11" i="4"/>
  <c r="D11" i="4"/>
  <c r="C11" i="4"/>
  <c r="B11" i="4"/>
  <c r="K10" i="4"/>
  <c r="J10" i="4"/>
  <c r="I10" i="4"/>
  <c r="H10" i="4"/>
  <c r="F10" i="4"/>
  <c r="E10" i="4"/>
  <c r="D10" i="4"/>
  <c r="C10" i="4"/>
  <c r="B10" i="4"/>
  <c r="K6" i="4"/>
  <c r="J6" i="4"/>
  <c r="I6" i="4"/>
  <c r="H6" i="4"/>
  <c r="F6" i="4"/>
  <c r="E6" i="4"/>
  <c r="D6" i="4"/>
  <c r="C6" i="4"/>
  <c r="B6" i="4"/>
  <c r="K5" i="4"/>
  <c r="J5" i="4"/>
  <c r="I5" i="4"/>
  <c r="H5" i="4"/>
  <c r="F5" i="4"/>
  <c r="E5" i="4"/>
  <c r="D5" i="4"/>
  <c r="C5" i="4"/>
  <c r="B5" i="4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G21" i="4" l="1"/>
  <c r="P52" i="9"/>
  <c r="P63" i="9"/>
  <c r="G42" i="4"/>
  <c r="G63" i="9"/>
  <c r="D63" i="9"/>
  <c r="M63" i="9"/>
  <c r="F63" i="9"/>
  <c r="O63" i="9"/>
  <c r="C63" i="9"/>
  <c r="L63" i="9"/>
  <c r="O30" i="9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D68" i="9" l="1"/>
  <c r="G68" i="9"/>
  <c r="M68" i="9"/>
  <c r="P68" i="9"/>
  <c r="H7" i="9"/>
  <c r="M24" i="17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G37" i="16" l="1"/>
  <c r="G11" i="16"/>
  <c r="I45" i="15"/>
  <c r="I44" i="15"/>
  <c r="I36" i="15"/>
  <c r="I37" i="15" s="1"/>
  <c r="I12" i="15" l="1"/>
  <c r="I20" i="15"/>
  <c r="I32" i="15"/>
  <c r="G30" i="16"/>
  <c r="I7" i="15"/>
  <c r="I27" i="15"/>
  <c r="G23" i="16"/>
  <c r="I17" i="15"/>
  <c r="I41" i="15"/>
  <c r="G6" i="16"/>
  <c r="G18" i="16"/>
  <c r="I40" i="15"/>
  <c r="I21" i="15" l="1"/>
  <c r="I42" i="15"/>
  <c r="D36" i="15"/>
  <c r="D17" i="15" l="1"/>
  <c r="D18" i="3"/>
  <c r="D27" i="15"/>
  <c r="J7" i="4"/>
  <c r="D30" i="3"/>
  <c r="E22" i="3"/>
  <c r="I17" i="4"/>
  <c r="I37" i="4"/>
  <c r="J40" i="4"/>
  <c r="E44" i="3"/>
  <c r="D44" i="3"/>
  <c r="D7" i="15"/>
  <c r="E21" i="9"/>
  <c r="N21" i="9"/>
  <c r="J20" i="4"/>
  <c r="D12" i="15"/>
  <c r="D20" i="15"/>
  <c r="D21" i="15" s="1"/>
  <c r="D32" i="15"/>
  <c r="Q21" i="9"/>
  <c r="D22" i="3"/>
  <c r="D7" i="3"/>
  <c r="D40" i="3"/>
  <c r="E7" i="3"/>
  <c r="E18" i="3"/>
  <c r="E30" i="3"/>
  <c r="H26" i="9"/>
  <c r="Q26" i="9"/>
  <c r="J17" i="4"/>
  <c r="J27" i="4"/>
  <c r="J41" i="4"/>
  <c r="D41" i="15"/>
  <c r="E12" i="3"/>
  <c r="E35" i="3"/>
  <c r="I20" i="4"/>
  <c r="J37" i="4"/>
  <c r="H21" i="9"/>
  <c r="J12" i="4"/>
  <c r="D12" i="3"/>
  <c r="D35" i="3"/>
  <c r="I7" i="4"/>
  <c r="I27" i="4"/>
  <c r="N57" i="9"/>
  <c r="E26" i="9"/>
  <c r="H57" i="9"/>
  <c r="Q57" i="9"/>
  <c r="N26" i="9"/>
  <c r="E57" i="9"/>
  <c r="H9" i="9"/>
  <c r="E9" i="9"/>
  <c r="Q9" i="9"/>
  <c r="N9" i="9"/>
  <c r="D40" i="15"/>
  <c r="D37" i="15"/>
  <c r="J32" i="4"/>
  <c r="I12" i="4"/>
  <c r="I32" i="4"/>
  <c r="I41" i="4"/>
  <c r="I40" i="4"/>
  <c r="E40" i="3"/>
  <c r="E43" i="3"/>
  <c r="D43" i="3"/>
  <c r="E23" i="3" l="1"/>
  <c r="D23" i="3"/>
  <c r="D45" i="3"/>
  <c r="J21" i="4"/>
  <c r="I42" i="4"/>
  <c r="E45" i="3"/>
  <c r="I21" i="4"/>
  <c r="D42" i="15"/>
  <c r="J42" i="4"/>
  <c r="C17" i="9" l="1"/>
  <c r="C13" i="9"/>
  <c r="O21" i="7"/>
  <c r="J21" i="7"/>
  <c r="E21" i="7"/>
  <c r="D52" i="9" l="1"/>
  <c r="C4" i="9"/>
  <c r="D17" i="9"/>
  <c r="D30" i="9"/>
  <c r="G30" i="9"/>
  <c r="G52" i="9"/>
  <c r="F30" i="9"/>
  <c r="L10" i="15"/>
  <c r="L18" i="15"/>
  <c r="C52" i="9"/>
  <c r="O4" i="16"/>
  <c r="C30" i="9"/>
  <c r="L5" i="15"/>
  <c r="L15" i="15"/>
  <c r="L6" i="15"/>
  <c r="L16" i="15"/>
  <c r="F52" i="9"/>
  <c r="L11" i="15"/>
  <c r="L19" i="15"/>
  <c r="G32" i="8" l="1"/>
  <c r="G18" i="8"/>
  <c r="G6" i="8"/>
  <c r="G12" i="8" s="1"/>
  <c r="G31" i="8"/>
  <c r="G10" i="8"/>
  <c r="G23" i="8" l="1"/>
  <c r="G28" i="8"/>
  <c r="G33" i="8" l="1"/>
  <c r="Q28" i="9" l="1"/>
  <c r="E28" i="9"/>
  <c r="H28" i="9"/>
  <c r="N28" i="9"/>
  <c r="F41" i="4" l="1"/>
  <c r="F20" i="4"/>
  <c r="F17" i="4"/>
  <c r="F40" i="4"/>
  <c r="F7" i="4"/>
  <c r="F27" i="4"/>
  <c r="F12" i="4"/>
  <c r="F32" i="4"/>
  <c r="F37" i="4"/>
  <c r="F21" i="4" l="1"/>
  <c r="F42" i="4"/>
  <c r="M13" i="9"/>
  <c r="D13" i="9"/>
  <c r="Q5" i="9"/>
  <c r="N5" i="9"/>
  <c r="H5" i="9"/>
  <c r="E5" i="9"/>
  <c r="O4" i="9"/>
  <c r="G4" i="9"/>
  <c r="E19" i="9"/>
  <c r="E18" i="9"/>
  <c r="E45" i="15"/>
  <c r="E44" i="15"/>
  <c r="K36" i="15"/>
  <c r="J36" i="15"/>
  <c r="H36" i="15"/>
  <c r="G36" i="15"/>
  <c r="F36" i="15"/>
  <c r="E36" i="15"/>
  <c r="C36" i="15"/>
  <c r="B36" i="15"/>
  <c r="K35" i="15"/>
  <c r="J35" i="15"/>
  <c r="H35" i="15"/>
  <c r="J30" i="15"/>
  <c r="P13" i="9" l="1"/>
  <c r="F17" i="9"/>
  <c r="G17" i="9"/>
  <c r="N7" i="9"/>
  <c r="G13" i="9"/>
  <c r="O17" i="9"/>
  <c r="P17" i="9"/>
  <c r="E20" i="9"/>
  <c r="E23" i="9"/>
  <c r="E24" i="9"/>
  <c r="Q15" i="9"/>
  <c r="H20" i="9"/>
  <c r="Q20" i="9"/>
  <c r="H23" i="9"/>
  <c r="Q23" i="9"/>
  <c r="H24" i="9"/>
  <c r="Q24" i="9"/>
  <c r="L13" i="9"/>
  <c r="O13" i="9"/>
  <c r="H6" i="9"/>
  <c r="E7" i="9"/>
  <c r="F13" i="9"/>
  <c r="N6" i="9"/>
  <c r="E15" i="9"/>
  <c r="L4" i="9"/>
  <c r="E14" i="9"/>
  <c r="Q14" i="9"/>
  <c r="H15" i="9"/>
  <c r="F4" i="9"/>
  <c r="L17" i="9"/>
  <c r="M17" i="9"/>
  <c r="Q7" i="9"/>
  <c r="H14" i="9"/>
  <c r="E13" i="9"/>
  <c r="N15" i="9"/>
  <c r="N14" i="9"/>
  <c r="P4" i="9"/>
  <c r="D4" i="9"/>
  <c r="Q6" i="9"/>
  <c r="M4" i="9"/>
  <c r="E6" i="9"/>
  <c r="N20" i="9"/>
  <c r="N23" i="9"/>
  <c r="N24" i="9"/>
  <c r="J7" i="15"/>
  <c r="L23" i="16"/>
  <c r="F11" i="2"/>
  <c r="F21" i="2"/>
  <c r="F35" i="2"/>
  <c r="G6" i="2"/>
  <c r="G17" i="2"/>
  <c r="G30" i="2"/>
  <c r="G40" i="2"/>
  <c r="J37" i="15"/>
  <c r="L30" i="16"/>
  <c r="L6" i="16"/>
  <c r="G43" i="2"/>
  <c r="L37" i="16"/>
  <c r="F6" i="2"/>
  <c r="F17" i="2"/>
  <c r="F30" i="2"/>
  <c r="F40" i="2"/>
  <c r="G11" i="2"/>
  <c r="J32" i="15"/>
  <c r="J12" i="15"/>
  <c r="J27" i="15"/>
  <c r="J17" i="15"/>
  <c r="G35" i="2"/>
  <c r="L18" i="16"/>
  <c r="G21" i="2"/>
  <c r="J40" i="15"/>
  <c r="J20" i="15"/>
  <c r="L11" i="16"/>
  <c r="J41" i="15"/>
  <c r="F43" i="2"/>
  <c r="G44" i="2"/>
  <c r="F44" i="2"/>
  <c r="E4" i="9" l="1"/>
  <c r="E17" i="9"/>
  <c r="F45" i="2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E27" i="15"/>
  <c r="C23" i="8"/>
  <c r="D35" i="2"/>
  <c r="B35" i="3"/>
  <c r="F35" i="3"/>
  <c r="H35" i="3"/>
  <c r="E32" i="4"/>
  <c r="B32" i="15"/>
  <c r="H32" i="15"/>
  <c r="K32" i="15"/>
  <c r="J31" i="8"/>
  <c r="D17" i="4"/>
  <c r="F17" i="15"/>
  <c r="K17" i="15"/>
  <c r="D20" i="4"/>
  <c r="B20" i="15"/>
  <c r="C17" i="2"/>
  <c r="F18" i="3"/>
  <c r="I18" i="3"/>
  <c r="D21" i="2"/>
  <c r="H22" i="3"/>
  <c r="C11" i="2"/>
  <c r="D11" i="2"/>
  <c r="K12" i="4"/>
  <c r="C12" i="15"/>
  <c r="E12" i="15"/>
  <c r="B7" i="15"/>
  <c r="K7" i="15"/>
  <c r="J49" i="3"/>
  <c r="H51" i="2" s="1"/>
  <c r="Q37" i="9"/>
  <c r="Q58" i="9"/>
  <c r="N32" i="9"/>
  <c r="H46" i="9"/>
  <c r="H31" i="9"/>
  <c r="H48" i="9"/>
  <c r="E43" i="9"/>
  <c r="O33" i="7"/>
  <c r="J33" i="7"/>
  <c r="E33" i="7"/>
  <c r="I47" i="2"/>
  <c r="N30" i="7"/>
  <c r="P30" i="7" s="1"/>
  <c r="N31" i="7"/>
  <c r="P31" i="7"/>
  <c r="D30" i="7"/>
  <c r="F30" i="7" s="1"/>
  <c r="D31" i="7"/>
  <c r="N29" i="7"/>
  <c r="D29" i="7"/>
  <c r="F29" i="7" s="1"/>
  <c r="N27" i="7"/>
  <c r="P27" i="7"/>
  <c r="N28" i="7"/>
  <c r="D27" i="7"/>
  <c r="F27" i="7" s="1"/>
  <c r="D28" i="7"/>
  <c r="N24" i="7"/>
  <c r="P24" i="7" s="1"/>
  <c r="N25" i="7"/>
  <c r="P25" i="7" s="1"/>
  <c r="D24" i="7"/>
  <c r="F24" i="7"/>
  <c r="D25" i="7"/>
  <c r="F25" i="7"/>
  <c r="N23" i="7"/>
  <c r="P23" i="7"/>
  <c r="D23" i="7"/>
  <c r="N32" i="7"/>
  <c r="P32" i="7" s="1"/>
  <c r="I32" i="7"/>
  <c r="K32" i="7"/>
  <c r="D32" i="7"/>
  <c r="F32" i="7" s="1"/>
  <c r="I31" i="7"/>
  <c r="K31" i="7"/>
  <c r="F31" i="7"/>
  <c r="I30" i="7"/>
  <c r="K30" i="7"/>
  <c r="P29" i="7"/>
  <c r="I29" i="7"/>
  <c r="K29" i="7" s="1"/>
  <c r="P28" i="7"/>
  <c r="I28" i="7"/>
  <c r="K28" i="7" s="1"/>
  <c r="F28" i="7"/>
  <c r="I27" i="7"/>
  <c r="K27" i="7"/>
  <c r="N26" i="7"/>
  <c r="P26" i="7"/>
  <c r="I26" i="7"/>
  <c r="K26" i="7"/>
  <c r="D26" i="7"/>
  <c r="F26" i="7"/>
  <c r="I25" i="7"/>
  <c r="K25" i="7" s="1"/>
  <c r="I24" i="7"/>
  <c r="K24" i="7"/>
  <c r="I23" i="7"/>
  <c r="K23" i="7"/>
  <c r="F23" i="7"/>
  <c r="L45" i="15"/>
  <c r="L44" i="15"/>
  <c r="O20" i="16"/>
  <c r="O8" i="16"/>
  <c r="I42" i="2"/>
  <c r="I37" i="2"/>
  <c r="I36" i="2"/>
  <c r="I32" i="2"/>
  <c r="I8" i="2"/>
  <c r="M34" i="4"/>
  <c r="M33" i="4"/>
  <c r="M14" i="4"/>
  <c r="B10" i="8"/>
  <c r="C10" i="8"/>
  <c r="D10" i="8"/>
  <c r="F10" i="8"/>
  <c r="I10" i="8"/>
  <c r="J10" i="8"/>
  <c r="K10" i="8"/>
  <c r="I33" i="8"/>
  <c r="K32" i="8" l="1"/>
  <c r="N37" i="16"/>
  <c r="H18" i="3"/>
  <c r="H23" i="3" s="1"/>
  <c r="C17" i="4"/>
  <c r="K37" i="4"/>
  <c r="J37" i="16"/>
  <c r="D32" i="8"/>
  <c r="I37" i="16"/>
  <c r="Q59" i="9"/>
  <c r="B18" i="3"/>
  <c r="E17" i="15"/>
  <c r="B37" i="16"/>
  <c r="F37" i="16"/>
  <c r="G45" i="9"/>
  <c r="G64" i="9" s="1"/>
  <c r="G62" i="9" s="1"/>
  <c r="G67" i="9" s="1"/>
  <c r="H44" i="3"/>
  <c r="J48" i="3"/>
  <c r="H50" i="2" s="1"/>
  <c r="I50" i="2" s="1"/>
  <c r="D30" i="16"/>
  <c r="I30" i="16"/>
  <c r="E34" i="9"/>
  <c r="N56" i="9"/>
  <c r="E58" i="9"/>
  <c r="E32" i="9"/>
  <c r="N11" i="16"/>
  <c r="E41" i="15"/>
  <c r="K41" i="4"/>
  <c r="N31" i="9"/>
  <c r="C23" i="16"/>
  <c r="K28" i="8"/>
  <c r="B22" i="3"/>
  <c r="K20" i="4"/>
  <c r="K17" i="4"/>
  <c r="B46" i="4"/>
  <c r="B47" i="4" s="1"/>
  <c r="M45" i="9"/>
  <c r="B44" i="3"/>
  <c r="D44" i="2"/>
  <c r="B18" i="8"/>
  <c r="N19" i="9"/>
  <c r="M18" i="16"/>
  <c r="N35" i="9"/>
  <c r="Q13" i="9"/>
  <c r="Q53" i="9"/>
  <c r="D6" i="16"/>
  <c r="C7" i="7"/>
  <c r="G18" i="3"/>
  <c r="H20" i="15"/>
  <c r="H17" i="4"/>
  <c r="J28" i="8"/>
  <c r="B28" i="8"/>
  <c r="H37" i="15"/>
  <c r="E40" i="2"/>
  <c r="B40" i="2"/>
  <c r="G40" i="15"/>
  <c r="N18" i="16"/>
  <c r="B27" i="15"/>
  <c r="B30" i="16"/>
  <c r="F30" i="16"/>
  <c r="M30" i="16"/>
  <c r="E18" i="16"/>
  <c r="J18" i="16"/>
  <c r="N41" i="9"/>
  <c r="Q41" i="9"/>
  <c r="Q39" i="9"/>
  <c r="Q50" i="9"/>
  <c r="E39" i="9"/>
  <c r="H35" i="9"/>
  <c r="E54" i="9"/>
  <c r="E6" i="2"/>
  <c r="F12" i="15"/>
  <c r="I22" i="3"/>
  <c r="I23" i="3" s="1"/>
  <c r="B17" i="15"/>
  <c r="F12" i="7"/>
  <c r="B12" i="7"/>
  <c r="J6" i="8"/>
  <c r="J12" i="8" s="1"/>
  <c r="D20" i="1"/>
  <c r="L32" i="8"/>
  <c r="K41" i="15"/>
  <c r="F41" i="15"/>
  <c r="B41" i="15"/>
  <c r="D41" i="4"/>
  <c r="C28" i="8"/>
  <c r="E40" i="15"/>
  <c r="K40" i="4"/>
  <c r="I18" i="16"/>
  <c r="E53" i="9"/>
  <c r="N43" i="9"/>
  <c r="E43" i="2"/>
  <c r="B43" i="2"/>
  <c r="G32" i="15"/>
  <c r="C32" i="15"/>
  <c r="G44" i="3"/>
  <c r="B23" i="16"/>
  <c r="H18" i="9"/>
  <c r="N13" i="9"/>
  <c r="Q54" i="9"/>
  <c r="Q19" i="9"/>
  <c r="H11" i="16"/>
  <c r="F6" i="16"/>
  <c r="B6" i="16"/>
  <c r="J11" i="16"/>
  <c r="E11" i="16"/>
  <c r="I6" i="16"/>
  <c r="H12" i="15"/>
  <c r="H12" i="4"/>
  <c r="G12" i="3"/>
  <c r="C21" i="2"/>
  <c r="C23" i="2" s="1"/>
  <c r="H20" i="4"/>
  <c r="H17" i="15"/>
  <c r="D32" i="4"/>
  <c r="I35" i="3"/>
  <c r="C35" i="3"/>
  <c r="L23" i="8"/>
  <c r="D23" i="8"/>
  <c r="K27" i="15"/>
  <c r="F27" i="15"/>
  <c r="J28" i="3"/>
  <c r="H28" i="2" s="1"/>
  <c r="I28" i="2" s="1"/>
  <c r="B5" i="5" s="1"/>
  <c r="J23" i="8"/>
  <c r="H33" i="8"/>
  <c r="C30" i="16"/>
  <c r="H30" i="16"/>
  <c r="Q31" i="9"/>
  <c r="C45" i="9"/>
  <c r="C64" i="9" s="1"/>
  <c r="H59" i="9"/>
  <c r="G7" i="3"/>
  <c r="E7" i="7"/>
  <c r="C12" i="7"/>
  <c r="K6" i="8"/>
  <c r="K12" i="8" s="1"/>
  <c r="C44" i="3"/>
  <c r="E32" i="15"/>
  <c r="K32" i="4"/>
  <c r="D27" i="4"/>
  <c r="L18" i="8"/>
  <c r="D18" i="8"/>
  <c r="F31" i="8"/>
  <c r="I23" i="16"/>
  <c r="H11" i="9"/>
  <c r="H58" i="9"/>
  <c r="H32" i="9"/>
  <c r="H6" i="16"/>
  <c r="C6" i="16"/>
  <c r="E6" i="16"/>
  <c r="F7" i="3"/>
  <c r="I7" i="3"/>
  <c r="C7" i="3"/>
  <c r="B6" i="8"/>
  <c r="B12" i="8" s="1"/>
  <c r="B40" i="4"/>
  <c r="E23" i="16"/>
  <c r="J23" i="16"/>
  <c r="H43" i="9"/>
  <c r="E37" i="9"/>
  <c r="N33" i="9"/>
  <c r="N59" i="9"/>
  <c r="N54" i="9"/>
  <c r="Q11" i="9"/>
  <c r="Q36" i="9"/>
  <c r="K7" i="4"/>
  <c r="C7" i="4"/>
  <c r="J10" i="3"/>
  <c r="H9" i="2" s="1"/>
  <c r="B17" i="2"/>
  <c r="D21" i="1"/>
  <c r="G41" i="15"/>
  <c r="L36" i="15"/>
  <c r="L36" i="4" s="1"/>
  <c r="M36" i="4" s="1"/>
  <c r="C16" i="5" s="1"/>
  <c r="B37" i="4"/>
  <c r="L31" i="8"/>
  <c r="D28" i="8"/>
  <c r="K40" i="15"/>
  <c r="D40" i="4"/>
  <c r="H40" i="3"/>
  <c r="B40" i="3"/>
  <c r="D40" i="2"/>
  <c r="F44" i="3"/>
  <c r="B32" i="8"/>
  <c r="L10" i="8"/>
  <c r="E46" i="9"/>
  <c r="Q43" i="9"/>
  <c r="Q48" i="9"/>
  <c r="Q46" i="9"/>
  <c r="H7" i="15"/>
  <c r="K12" i="15"/>
  <c r="D12" i="4"/>
  <c r="C12" i="3"/>
  <c r="C22" i="3"/>
  <c r="G40" i="3"/>
  <c r="C40" i="2"/>
  <c r="N37" i="9"/>
  <c r="Q34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30" i="9"/>
  <c r="L52" i="9"/>
  <c r="G6" i="7"/>
  <c r="C7" i="1" s="1"/>
  <c r="J11" i="3"/>
  <c r="H10" i="2" s="1"/>
  <c r="I10" i="2" s="1"/>
  <c r="G11" i="7"/>
  <c r="C18" i="1" s="1"/>
  <c r="O5" i="16"/>
  <c r="L26" i="15"/>
  <c r="L26" i="4" s="1"/>
  <c r="M26" i="4" s="1"/>
  <c r="C6" i="5" s="1"/>
  <c r="C40" i="3"/>
  <c r="B23" i="8"/>
  <c r="M23" i="16"/>
  <c r="Q56" i="9"/>
  <c r="D37" i="4"/>
  <c r="B40" i="15"/>
  <c r="J20" i="3"/>
  <c r="H19" i="2" s="1"/>
  <c r="I19" i="2" s="1"/>
  <c r="M8" i="8"/>
  <c r="G43" i="3"/>
  <c r="B27" i="4"/>
  <c r="L19" i="4"/>
  <c r="M19" i="4" s="1"/>
  <c r="D31" i="8"/>
  <c r="H41" i="9"/>
  <c r="H50" i="9"/>
  <c r="P45" i="9"/>
  <c r="H54" i="9"/>
  <c r="Q33" i="9"/>
  <c r="D7" i="4"/>
  <c r="J39" i="3"/>
  <c r="H39" i="2" s="1"/>
  <c r="I39" i="2" s="1"/>
  <c r="B16" i="5" s="1"/>
  <c r="B32" i="4"/>
  <c r="E35" i="2"/>
  <c r="B35" i="2"/>
  <c r="F23" i="8"/>
  <c r="D43" i="2"/>
  <c r="F23" i="16"/>
  <c r="O45" i="9"/>
  <c r="M11" i="16"/>
  <c r="K20" i="15"/>
  <c r="K21" i="15" s="1"/>
  <c r="C40" i="4"/>
  <c r="C31" i="8"/>
  <c r="F43" i="3"/>
  <c r="B41" i="4"/>
  <c r="C32" i="4"/>
  <c r="B18" i="16"/>
  <c r="F18" i="16"/>
  <c r="O21" i="16"/>
  <c r="H55" i="9"/>
  <c r="M30" i="9"/>
  <c r="N36" i="9"/>
  <c r="N53" i="9"/>
  <c r="E35" i="9"/>
  <c r="H7" i="3"/>
  <c r="C6" i="2"/>
  <c r="E7" i="15"/>
  <c r="G7" i="15"/>
  <c r="E7" i="4"/>
  <c r="J16" i="3"/>
  <c r="H15" i="2" s="1"/>
  <c r="I15" i="2" s="1"/>
  <c r="H40" i="15"/>
  <c r="Q55" i="9"/>
  <c r="O52" i="9"/>
  <c r="D6" i="8"/>
  <c r="D12" i="8" s="1"/>
  <c r="M5" i="8"/>
  <c r="C19" i="1" s="1"/>
  <c r="M27" i="8"/>
  <c r="D16" i="5" s="1"/>
  <c r="C44" i="2"/>
  <c r="H23" i="16"/>
  <c r="Q32" i="9"/>
  <c r="P30" i="9"/>
  <c r="N46" i="9"/>
  <c r="L45" i="9"/>
  <c r="J5" i="3"/>
  <c r="H4" i="2" s="1"/>
  <c r="I4" i="2" s="1"/>
  <c r="B5" i="1" s="1"/>
  <c r="C7" i="15"/>
  <c r="L5" i="4"/>
  <c r="M5" i="4" s="1"/>
  <c r="L16" i="4"/>
  <c r="M16" i="4" s="1"/>
  <c r="F20" i="15"/>
  <c r="F21" i="15" s="1"/>
  <c r="I30" i="3"/>
  <c r="I43" i="3"/>
  <c r="E31" i="9"/>
  <c r="J34" i="3"/>
  <c r="H34" i="2" s="1"/>
  <c r="I34" i="2" s="1"/>
  <c r="B11" i="5" s="1"/>
  <c r="J29" i="3"/>
  <c r="H29" i="2" s="1"/>
  <c r="F12" i="3"/>
  <c r="G35" i="3"/>
  <c r="L31" i="15"/>
  <c r="L31" i="4" s="1"/>
  <c r="F18" i="8"/>
  <c r="C30" i="2"/>
  <c r="I40" i="3"/>
  <c r="I44" i="3"/>
  <c r="M9" i="8"/>
  <c r="J30" i="16"/>
  <c r="O28" i="16"/>
  <c r="O17" i="16"/>
  <c r="H18" i="16"/>
  <c r="D23" i="16"/>
  <c r="H40" i="4"/>
  <c r="H37" i="4"/>
  <c r="J38" i="3"/>
  <c r="H38" i="2" s="1"/>
  <c r="F40" i="3"/>
  <c r="F28" i="8"/>
  <c r="F32" i="8"/>
  <c r="M16" i="8"/>
  <c r="D5" i="5" s="1"/>
  <c r="F45" i="9"/>
  <c r="G37" i="15"/>
  <c r="L18" i="4"/>
  <c r="M18" i="4" s="1"/>
  <c r="J32" i="8"/>
  <c r="E41" i="9"/>
  <c r="O10" i="16"/>
  <c r="B11" i="16"/>
  <c r="I51" i="2"/>
  <c r="J21" i="3"/>
  <c r="H20" i="2" s="1"/>
  <c r="I20" i="2" s="1"/>
  <c r="G22" i="3"/>
  <c r="H41" i="4"/>
  <c r="M26" i="8"/>
  <c r="D15" i="5" s="1"/>
  <c r="C37" i="15"/>
  <c r="G30" i="3"/>
  <c r="L46" i="15"/>
  <c r="L44" i="4" s="1"/>
  <c r="M44" i="4" s="1"/>
  <c r="M37" i="16"/>
  <c r="E50" i="9"/>
  <c r="H39" i="9"/>
  <c r="N34" i="9"/>
  <c r="N55" i="9"/>
  <c r="E56" i="9"/>
  <c r="E55" i="9"/>
  <c r="F11" i="16"/>
  <c r="L47" i="15"/>
  <c r="L45" i="4" s="1"/>
  <c r="M45" i="4" s="1"/>
  <c r="F22" i="3"/>
  <c r="F23" i="3" s="1"/>
  <c r="B21" i="2"/>
  <c r="K37" i="15"/>
  <c r="E37" i="4"/>
  <c r="L30" i="15"/>
  <c r="L30" i="4" s="1"/>
  <c r="M30" i="4" s="1"/>
  <c r="C10" i="5" s="1"/>
  <c r="H27" i="15"/>
  <c r="M22" i="8"/>
  <c r="D11" i="5" s="1"/>
  <c r="G27" i="15"/>
  <c r="C41" i="15"/>
  <c r="E41" i="4"/>
  <c r="F30" i="3"/>
  <c r="M17" i="8"/>
  <c r="E30" i="16"/>
  <c r="N11" i="9"/>
  <c r="H37" i="16"/>
  <c r="H13" i="9"/>
  <c r="N48" i="9"/>
  <c r="Q35" i="9"/>
  <c r="J6" i="16"/>
  <c r="I11" i="16"/>
  <c r="D11" i="16"/>
  <c r="D6" i="2"/>
  <c r="L6" i="4"/>
  <c r="F7" i="7"/>
  <c r="E11" i="2"/>
  <c r="B11" i="2"/>
  <c r="B12" i="3"/>
  <c r="E20" i="15"/>
  <c r="C20" i="4"/>
  <c r="E37" i="15"/>
  <c r="B37" i="15"/>
  <c r="M21" i="8"/>
  <c r="H27" i="4"/>
  <c r="H53" i="9"/>
  <c r="E48" i="9"/>
  <c r="H37" i="9"/>
  <c r="N58" i="9"/>
  <c r="E33" i="9"/>
  <c r="N6" i="16"/>
  <c r="J6" i="3"/>
  <c r="H5" i="2" s="1"/>
  <c r="I5" i="2" s="1"/>
  <c r="C5" i="1" s="1"/>
  <c r="B7" i="3"/>
  <c r="F7" i="15"/>
  <c r="H7" i="4"/>
  <c r="D7" i="7"/>
  <c r="I12" i="3"/>
  <c r="D17" i="2"/>
  <c r="D23" i="2" s="1"/>
  <c r="C17" i="15"/>
  <c r="E17" i="4"/>
  <c r="D12" i="7"/>
  <c r="E12" i="7"/>
  <c r="L6" i="8"/>
  <c r="H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E59" i="9"/>
  <c r="H56" i="9"/>
  <c r="H36" i="9"/>
  <c r="H33" i="9"/>
  <c r="B6" i="2"/>
  <c r="J17" i="3"/>
  <c r="H16" i="2" s="1"/>
  <c r="C41" i="4"/>
  <c r="C40" i="15"/>
  <c r="L25" i="15"/>
  <c r="L25" i="4" s="1"/>
  <c r="C27" i="15"/>
  <c r="E40" i="4"/>
  <c r="E27" i="4"/>
  <c r="N30" i="16"/>
  <c r="O27" i="16"/>
  <c r="O16" i="16"/>
  <c r="D18" i="16"/>
  <c r="N23" i="16"/>
  <c r="O22" i="16"/>
  <c r="E37" i="16"/>
  <c r="O34" i="16"/>
  <c r="J12" i="5"/>
  <c r="J21" i="5"/>
  <c r="M4" i="8"/>
  <c r="B19" i="1" s="1"/>
  <c r="C6" i="8"/>
  <c r="K31" i="8"/>
  <c r="K23" i="8"/>
  <c r="C32" i="8"/>
  <c r="E11" i="9"/>
  <c r="B43" i="3"/>
  <c r="C11" i="16"/>
  <c r="O9" i="16"/>
  <c r="B22" i="7" s="1"/>
  <c r="B12" i="15"/>
  <c r="L10" i="4"/>
  <c r="M10" i="4" s="1"/>
  <c r="F40" i="15"/>
  <c r="L35" i="15"/>
  <c r="L35" i="4" s="1"/>
  <c r="F37" i="15"/>
  <c r="E44" i="2"/>
  <c r="E30" i="2"/>
  <c r="B44" i="2"/>
  <c r="B30" i="2"/>
  <c r="J33" i="3"/>
  <c r="H33" i="2" s="1"/>
  <c r="C18" i="8"/>
  <c r="D37" i="16"/>
  <c r="C37" i="16"/>
  <c r="O35" i="16"/>
  <c r="N18" i="9"/>
  <c r="N39" i="9"/>
  <c r="N50" i="9"/>
  <c r="L11" i="4"/>
  <c r="M11" i="4" s="1"/>
  <c r="E36" i="9"/>
  <c r="Q18" i="9"/>
  <c r="L15" i="4"/>
  <c r="M15" i="4" s="1"/>
  <c r="D45" i="9"/>
  <c r="D64" i="9" s="1"/>
  <c r="D62" i="9" s="1"/>
  <c r="D67" i="9" s="1"/>
  <c r="M52" i="9"/>
  <c r="M6" i="16"/>
  <c r="B7" i="7"/>
  <c r="F32" i="15"/>
  <c r="C43" i="2"/>
  <c r="C35" i="2"/>
  <c r="D21" i="4"/>
  <c r="C18" i="16"/>
  <c r="H34" i="9"/>
  <c r="H19" i="9"/>
  <c r="B7" i="4"/>
  <c r="C12" i="4"/>
  <c r="H12" i="3"/>
  <c r="C18" i="3"/>
  <c r="G10" i="7"/>
  <c r="B18" i="1" s="1"/>
  <c r="C37" i="4"/>
  <c r="H43" i="3"/>
  <c r="H30" i="3"/>
  <c r="C30" i="3"/>
  <c r="C43" i="3"/>
  <c r="F20" i="1" l="1"/>
  <c r="F21" i="1"/>
  <c r="C22" i="7"/>
  <c r="F64" i="9"/>
  <c r="M64" i="9"/>
  <c r="M62" i="9" s="1"/>
  <c r="M67" i="9" s="1"/>
  <c r="O64" i="9"/>
  <c r="P64" i="9"/>
  <c r="P62" i="9" s="1"/>
  <c r="P67" i="9" s="1"/>
  <c r="L20" i="15"/>
  <c r="L7" i="15"/>
  <c r="L64" i="9"/>
  <c r="L62" i="9" s="1"/>
  <c r="B21" i="15"/>
  <c r="L17" i="15"/>
  <c r="L12" i="15"/>
  <c r="M6" i="4"/>
  <c r="C6" i="1" s="1"/>
  <c r="B6" i="1"/>
  <c r="H21" i="4"/>
  <c r="N30" i="9"/>
  <c r="E52" i="9"/>
  <c r="G21" i="15"/>
  <c r="B23" i="3"/>
  <c r="B42" i="15"/>
  <c r="K42" i="4"/>
  <c r="K42" i="15"/>
  <c r="H45" i="9"/>
  <c r="N45" i="9"/>
  <c r="L7" i="4"/>
  <c r="M7" i="4" s="1"/>
  <c r="K21" i="4"/>
  <c r="I45" i="3"/>
  <c r="N52" i="9"/>
  <c r="Q17" i="9"/>
  <c r="E45" i="9"/>
  <c r="C21" i="4"/>
  <c r="B23" i="2"/>
  <c r="B33" i="1"/>
  <c r="M10" i="8"/>
  <c r="H45" i="3"/>
  <c r="H17" i="9"/>
  <c r="J33" i="8"/>
  <c r="E21" i="15"/>
  <c r="G45" i="3"/>
  <c r="D45" i="2"/>
  <c r="C45" i="3"/>
  <c r="L12" i="8"/>
  <c r="G23" i="3"/>
  <c r="B33" i="8"/>
  <c r="G42" i="15"/>
  <c r="H21" i="15"/>
  <c r="E42" i="15"/>
  <c r="Q45" i="9"/>
  <c r="B42" i="4"/>
  <c r="D7" i="1"/>
  <c r="H17" i="2"/>
  <c r="I17" i="2" s="1"/>
  <c r="Q30" i="9"/>
  <c r="J12" i="3"/>
  <c r="J44" i="3"/>
  <c r="E45" i="2"/>
  <c r="L33" i="8"/>
  <c r="E21" i="4"/>
  <c r="D17" i="5"/>
  <c r="F45" i="3"/>
  <c r="F42" i="15"/>
  <c r="D18" i="1"/>
  <c r="C10" i="1"/>
  <c r="L27" i="4"/>
  <c r="M27" i="4" s="1"/>
  <c r="C21" i="15"/>
  <c r="D42" i="4"/>
  <c r="D33" i="8"/>
  <c r="H11" i="2"/>
  <c r="I11" i="2" s="1"/>
  <c r="I9" i="2"/>
  <c r="F33" i="8"/>
  <c r="J35" i="3"/>
  <c r="J40" i="3"/>
  <c r="H44" i="2"/>
  <c r="I44" i="2" s="1"/>
  <c r="L32" i="15"/>
  <c r="M25" i="4"/>
  <c r="C5" i="5" s="1"/>
  <c r="J30" i="3"/>
  <c r="O6" i="16"/>
  <c r="J7" i="3"/>
  <c r="M23" i="8"/>
  <c r="B21" i="4"/>
  <c r="M18" i="8"/>
  <c r="M31" i="8"/>
  <c r="G12" i="7"/>
  <c r="O11" i="16"/>
  <c r="J22" i="5"/>
  <c r="I29" i="2"/>
  <c r="B6" i="5" s="1"/>
  <c r="B7" i="5" s="1"/>
  <c r="H21" i="2"/>
  <c r="I21" i="2" s="1"/>
  <c r="H42" i="4"/>
  <c r="O23" i="16"/>
  <c r="L32" i="4"/>
  <c r="M32" i="4" s="1"/>
  <c r="C37" i="1"/>
  <c r="H42" i="15"/>
  <c r="J22" i="3"/>
  <c r="Q52" i="9"/>
  <c r="E23" i="2"/>
  <c r="L27" i="15"/>
  <c r="B16" i="1"/>
  <c r="C17" i="1"/>
  <c r="O37" i="16"/>
  <c r="L41" i="4"/>
  <c r="M41" i="4" s="1"/>
  <c r="O18" i="16"/>
  <c r="D19" i="1"/>
  <c r="H6" i="2"/>
  <c r="I6" i="2" s="1"/>
  <c r="D5" i="1" s="1"/>
  <c r="H30" i="9"/>
  <c r="L20" i="4"/>
  <c r="M20" i="4" s="1"/>
  <c r="M32" i="8"/>
  <c r="G7" i="7"/>
  <c r="O30" i="16"/>
  <c r="M28" i="8"/>
  <c r="I38" i="2"/>
  <c r="B15" i="5" s="1"/>
  <c r="B17" i="5" s="1"/>
  <c r="H40" i="2"/>
  <c r="I40" i="2" s="1"/>
  <c r="M31" i="4"/>
  <c r="H30" i="2"/>
  <c r="I30" i="2" s="1"/>
  <c r="E36" i="1"/>
  <c r="C45" i="2"/>
  <c r="E30" i="9"/>
  <c r="H35" i="2"/>
  <c r="I35" i="2" s="1"/>
  <c r="H43" i="2"/>
  <c r="D6" i="5"/>
  <c r="I33" i="2"/>
  <c r="B10" i="5" s="1"/>
  <c r="K33" i="8"/>
  <c r="L37" i="15"/>
  <c r="J18" i="3"/>
  <c r="C23" i="3"/>
  <c r="L17" i="4"/>
  <c r="M17" i="4" s="1"/>
  <c r="D10" i="5"/>
  <c r="C12" i="8"/>
  <c r="M6" i="8"/>
  <c r="E42" i="4"/>
  <c r="C42" i="15"/>
  <c r="L40" i="15"/>
  <c r="L41" i="15"/>
  <c r="C33" i="8"/>
  <c r="N17" i="9"/>
  <c r="B45" i="2"/>
  <c r="L37" i="4"/>
  <c r="L40" i="4"/>
  <c r="M40" i="4" s="1"/>
  <c r="M35" i="4"/>
  <c r="C15" i="5" s="1"/>
  <c r="L12" i="4"/>
  <c r="M12" i="4" s="1"/>
  <c r="E16" i="5"/>
  <c r="F16" i="5" s="1"/>
  <c r="I16" i="2"/>
  <c r="C16" i="1" s="1"/>
  <c r="C42" i="4"/>
  <c r="B45" i="3"/>
  <c r="J43" i="3"/>
  <c r="H52" i="9"/>
  <c r="B8" i="1" l="1"/>
  <c r="D22" i="7"/>
  <c r="L67" i="9"/>
  <c r="R30" i="9"/>
  <c r="R22" i="9"/>
  <c r="I45" i="9"/>
  <c r="I22" i="9"/>
  <c r="F18" i="1"/>
  <c r="R45" i="9"/>
  <c r="O62" i="9"/>
  <c r="R64" i="9"/>
  <c r="R49" i="9"/>
  <c r="R5" i="9"/>
  <c r="R9" i="9"/>
  <c r="R26" i="9"/>
  <c r="R57" i="9"/>
  <c r="R21" i="9"/>
  <c r="R7" i="9"/>
  <c r="R24" i="9"/>
  <c r="R37" i="9"/>
  <c r="R6" i="9"/>
  <c r="R23" i="9"/>
  <c r="R36" i="9"/>
  <c r="R53" i="9"/>
  <c r="R58" i="9"/>
  <c r="R11" i="9"/>
  <c r="R59" i="9"/>
  <c r="R15" i="9"/>
  <c r="R20" i="9"/>
  <c r="R34" i="9"/>
  <c r="R50" i="9"/>
  <c r="R19" i="9"/>
  <c r="R35" i="9"/>
  <c r="R48" i="9"/>
  <c r="R56" i="9"/>
  <c r="R14" i="9"/>
  <c r="R28" i="9"/>
  <c r="R41" i="9"/>
  <c r="R31" i="9"/>
  <c r="R39" i="9"/>
  <c r="R54" i="9"/>
  <c r="R18" i="9"/>
  <c r="R32" i="9"/>
  <c r="R46" i="9"/>
  <c r="R33" i="9"/>
  <c r="R43" i="9"/>
  <c r="R55" i="9"/>
  <c r="R63" i="9"/>
  <c r="R4" i="9"/>
  <c r="R13" i="9"/>
  <c r="R17" i="9"/>
  <c r="R52" i="9"/>
  <c r="F62" i="9"/>
  <c r="I5" i="9"/>
  <c r="I7" i="9"/>
  <c r="I9" i="9"/>
  <c r="I53" i="9"/>
  <c r="I26" i="9"/>
  <c r="I57" i="9"/>
  <c r="I21" i="9"/>
  <c r="I14" i="9"/>
  <c r="I20" i="9"/>
  <c r="I31" i="9"/>
  <c r="I35" i="9"/>
  <c r="I41" i="9"/>
  <c r="I50" i="9"/>
  <c r="I54" i="9"/>
  <c r="I32" i="9"/>
  <c r="I56" i="9"/>
  <c r="I58" i="9"/>
  <c r="I37" i="9"/>
  <c r="I59" i="9"/>
  <c r="I11" i="9"/>
  <c r="I19" i="9"/>
  <c r="I28" i="9"/>
  <c r="I34" i="9"/>
  <c r="I39" i="9"/>
  <c r="I48" i="9"/>
  <c r="I6" i="9"/>
  <c r="I55" i="9"/>
  <c r="I15" i="9"/>
  <c r="I23" i="9"/>
  <c r="I36" i="9"/>
  <c r="I43" i="9"/>
  <c r="I18" i="9"/>
  <c r="I24" i="9"/>
  <c r="I33" i="9"/>
  <c r="I46" i="9"/>
  <c r="I63" i="9"/>
  <c r="I30" i="9"/>
  <c r="I52" i="9"/>
  <c r="I17" i="9"/>
  <c r="I4" i="9"/>
  <c r="I13" i="9"/>
  <c r="L21" i="15"/>
  <c r="C62" i="9"/>
  <c r="D6" i="1"/>
  <c r="C8" i="1"/>
  <c r="C33" i="1" s="1"/>
  <c r="M12" i="8"/>
  <c r="B10" i="1"/>
  <c r="F19" i="1"/>
  <c r="H45" i="2"/>
  <c r="I45" i="2" s="1"/>
  <c r="J45" i="3"/>
  <c r="F7" i="1"/>
  <c r="H23" i="2"/>
  <c r="I23" i="2" s="1"/>
  <c r="B27" i="1"/>
  <c r="B21" i="5"/>
  <c r="B28" i="1"/>
  <c r="L42" i="4"/>
  <c r="M42" i="4" s="1"/>
  <c r="L42" i="15"/>
  <c r="J23" i="3"/>
  <c r="B17" i="1"/>
  <c r="D17" i="1" s="1"/>
  <c r="I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L68" i="9"/>
  <c r="F22" i="7"/>
  <c r="C67" i="9"/>
  <c r="C68" i="9"/>
  <c r="R62" i="9"/>
  <c r="I62" i="9"/>
  <c r="D8" i="1"/>
  <c r="F8" i="1" s="1"/>
  <c r="F6" i="1"/>
  <c r="C11" i="1"/>
  <c r="B32" i="1"/>
  <c r="B11" i="1"/>
  <c r="L22" i="7" s="1"/>
  <c r="D28" i="1"/>
  <c r="B22" i="1"/>
  <c r="B29" i="1"/>
  <c r="C12" i="5"/>
  <c r="C21" i="5"/>
  <c r="E21" i="5" s="1"/>
  <c r="F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F10" i="1" l="1"/>
  <c r="H21" i="5"/>
  <c r="M22" i="7"/>
  <c r="G22" i="7"/>
  <c r="F28" i="1"/>
  <c r="C32" i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H22" i="7" l="1"/>
  <c r="I22" i="7" s="1"/>
  <c r="N22" i="7"/>
  <c r="P22" i="7" s="1"/>
  <c r="F22" i="5"/>
  <c r="H22" i="5" s="1"/>
  <c r="H20" i="5"/>
  <c r="K22" i="7" l="1"/>
  <c r="Q63" i="9" l="1"/>
  <c r="Q4" i="9"/>
  <c r="N4" i="9"/>
  <c r="N64" i="9" l="1"/>
  <c r="N63" i="9"/>
  <c r="Q62" i="9"/>
  <c r="Q64" i="9"/>
  <c r="H63" i="9"/>
  <c r="H4" i="9"/>
  <c r="N62" i="9" l="1"/>
  <c r="H64" i="9"/>
  <c r="I64" i="9" s="1"/>
  <c r="H62" i="9"/>
  <c r="E64" i="9"/>
  <c r="E63" i="9"/>
  <c r="E62" i="9" l="1"/>
  <c r="C21" i="7" l="1"/>
  <c r="C33" i="7" s="1"/>
  <c r="B21" i="7"/>
  <c r="D21" i="7" l="1"/>
  <c r="B33" i="7"/>
  <c r="G19" i="1"/>
  <c r="G7" i="1"/>
  <c r="G21" i="1"/>
  <c r="G20" i="1"/>
  <c r="D33" i="1"/>
  <c r="I16" i="5"/>
  <c r="G5" i="1"/>
  <c r="I7" i="1" l="1"/>
  <c r="I19" i="1"/>
  <c r="I20" i="1"/>
  <c r="I21" i="1"/>
  <c r="G6" i="1"/>
  <c r="O67" i="9"/>
  <c r="I5" i="1"/>
  <c r="G18" i="1"/>
  <c r="F21" i="7"/>
  <c r="D33" i="7"/>
  <c r="L21" i="7"/>
  <c r="G16" i="1"/>
  <c r="I6" i="5"/>
  <c r="K6" i="5" l="1"/>
  <c r="I18" i="1"/>
  <c r="F33" i="7"/>
  <c r="G10" i="1"/>
  <c r="M21" i="7"/>
  <c r="L33" i="7"/>
  <c r="G21" i="7"/>
  <c r="I6" i="1"/>
  <c r="O68" i="9"/>
  <c r="G17" i="1"/>
  <c r="F67" i="9"/>
  <c r="I16" i="1"/>
  <c r="G8" i="1"/>
  <c r="G27" i="1"/>
  <c r="I5" i="5"/>
  <c r="I15" i="5"/>
  <c r="I10" i="5"/>
  <c r="I10" i="1" l="1"/>
  <c r="K15" i="5"/>
  <c r="I17" i="5"/>
  <c r="K17" i="5" s="1"/>
  <c r="K10" i="5"/>
  <c r="I27" i="1"/>
  <c r="H21" i="7"/>
  <c r="H33" i="7" s="1"/>
  <c r="M33" i="7"/>
  <c r="G11" i="1"/>
  <c r="I11" i="1" s="1"/>
  <c r="I8" i="1"/>
  <c r="G33" i="7"/>
  <c r="G28" i="1"/>
  <c r="D32" i="1"/>
  <c r="F68" i="9"/>
  <c r="I17" i="1"/>
  <c r="I7" i="5"/>
  <c r="K7" i="5" s="1"/>
  <c r="K5" i="5"/>
  <c r="I11" i="5"/>
  <c r="G22" i="1"/>
  <c r="I22" i="1" s="1"/>
  <c r="N21" i="7"/>
  <c r="I20" i="5"/>
  <c r="I21" i="7" l="1"/>
  <c r="I33" i="7" s="1"/>
  <c r="K33" i="7" s="1"/>
  <c r="I28" i="1"/>
  <c r="K11" i="5"/>
  <c r="K20" i="5"/>
  <c r="I21" i="5"/>
  <c r="P21" i="7"/>
  <c r="N33" i="7"/>
  <c r="P33" i="7" s="1"/>
  <c r="D34" i="1"/>
  <c r="E33" i="1" s="1"/>
  <c r="I12" i="5"/>
  <c r="K12" i="5" s="1"/>
  <c r="K21" i="7"/>
  <c r="G29" i="1"/>
  <c r="I29" i="1" s="1"/>
  <c r="K21" i="5" l="1"/>
  <c r="E32" i="1"/>
  <c r="I22" i="5"/>
  <c r="K22" i="5" s="1"/>
</calcChain>
</file>

<file path=xl/sharedStrings.xml><?xml version="1.0" encoding="utf-8"?>
<sst xmlns="http://schemas.openxmlformats.org/spreadsheetml/2006/main" count="588" uniqueCount="229">
  <si>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</si>
  <si>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</si>
  <si>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</si>
  <si>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</si>
  <si>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</si>
  <si>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</si>
  <si>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</si>
  <si>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</si>
  <si>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</si>
  <si>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</si>
  <si>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</si>
  <si>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</si>
  <si>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</si>
  <si>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</si>
  <si>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</si>
  <si>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</si>
  <si>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</si>
  <si>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</si>
  <si>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</si>
  <si>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</si>
  <si>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</si>
  <si>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</si>
  <si>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</si>
  <si>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</si>
  <si>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</si>
  <si>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</si>
  <si>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</si>
  <si>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</si>
  <si>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</si>
  <si>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</si>
  <si>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</si>
  <si>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</si>
  <si>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</si>
  <si>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</si>
  <si>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</si>
  <si>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</si>
  <si>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</si>
  <si>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</si>
  <si>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</si>
  <si>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</si>
  <si>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</si>
  <si>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</si>
  <si>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</si>
  <si>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</si>
  <si>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</si>
  <si>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</si>
  <si>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</si>
  <si>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</si>
  <si>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</si>
  <si>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</si>
  <si>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</si>
  <si>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</si>
  <si>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</si>
  <si>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</si>
  <si>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</si>
  <si>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</si>
  <si>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</si>
  <si>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</si>
  <si>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</si>
  <si>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</si>
  <si>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</si>
  <si>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</si>
  <si>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</si>
  <si>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</si>
  <si>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</si>
  <si>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</si>
  <si>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</si>
  <si>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</si>
  <si>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</si>
  <si>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</si>
  <si>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</si>
  <si>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</si>
  <si>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</si>
  <si>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</si>
  <si>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</si>
  <si>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</si>
  <si>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</si>
  <si>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</si>
  <si>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</si>
  <si>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</si>
  <si>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</si>
  <si>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</si>
  <si>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</si>
  <si>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</si>
  <si>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</si>
  <si>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</si>
  <si>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</si>
  <si>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</si>
  <si>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</si>
  <si>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</si>
  <si>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</si>
  <si>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</si>
  <si>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</si>
  <si>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</si>
  <si>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</si>
  <si>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</si>
  <si>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</si>
  <si>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</si>
  <si>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</si>
  <si>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</si>
  <si>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</si>
  <si>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</si>
  <si>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</si>
  <si>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</si>
  <si>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</si>
  <si>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</si>
  <si>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</si>
  <si>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</si>
  <si>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</si>
  <si>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</si>
  <si>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</si>
  <si>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</si>
  <si>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</si>
  <si>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</si>
  <si>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</si>
  <si>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</si>
  <si>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</si>
  <si>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</si>
  <si>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</si>
  <si>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</si>
  <si>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</si>
  <si>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</si>
  <si>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</si>
  <si>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</si>
  <si>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</si>
  <si>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</si>
  <si>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</si>
  <si>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</si>
  <si>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</si>
  <si>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</si>
  <si>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</si>
  <si>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</si>
  <si>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</si>
  <si>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</si>
  <si>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</si>
  <si>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</si>
  <si>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</si>
  <si>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</si>
  <si>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</si>
  <si>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</si>
  <si>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</si>
  <si>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</si>
  <si>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</si>
  <si>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</si>
  <si>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</si>
  <si>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</si>
  <si>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</si>
  <si>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</si>
  <si>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</si>
  <si>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</si>
  <si>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</si>
  <si>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</si>
  <si>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</si>
  <si>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</si>
  <si>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</si>
  <si>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</si>
  <si>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</si>
  <si>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</si>
  <si>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</si>
  <si>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</si>
  <si>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</si>
  <si>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</si>
  <si>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</si>
  <si>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</si>
  <si>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</si>
  <si>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</si>
  <si>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</si>
  <si>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</si>
  <si>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</si>
  <si>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Ops YTD 2015</t>
  </si>
  <si>
    <t>Condor</t>
  </si>
  <si>
    <t>Go Jet - Delta</t>
  </si>
  <si>
    <t>Compass - Delta</t>
  </si>
  <si>
    <t>Sky West - Delta</t>
  </si>
  <si>
    <t>Monthly Total 2016</t>
  </si>
  <si>
    <t>Y-T-D 2016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</si>
  <si>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</si>
  <si>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</si>
  <si>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</si>
  <si>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</si>
  <si>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</si>
  <si>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</si>
  <si>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</si>
  <si>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</si>
  <si>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</si>
  <si>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</si>
  <si>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</si>
  <si>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</si>
  <si>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</si>
  <si>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</si>
  <si>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</si>
  <si>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</si>
  <si>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</si>
  <si>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</si>
  <si>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</si>
  <si>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</si>
  <si>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</si>
  <si>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</si>
  <si>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</si>
  <si>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IFL</t>
  </si>
  <si>
    <t>Monthly Total 2017</t>
  </si>
  <si>
    <t>Y-T-D 2017</t>
  </si>
  <si>
    <t xml:space="preserve">2016 YTD 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</si>
  <si>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</si>
  <si>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</si>
  <si>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</si>
  <si>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</si>
  <si>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</si>
  <si>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</si>
  <si>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</si>
  <si>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</si>
  <si>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</si>
  <si>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Air Georgian - Air Canada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</si>
  <si>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</si>
  <si>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</si>
  <si>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</si>
  <si>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</si>
  <si>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</si>
  <si>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</si>
  <si>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</si>
  <si>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2017 % Pax</t>
  </si>
  <si>
    <t>2017 % Cargo</t>
  </si>
  <si>
    <t>Cargo Operations</t>
  </si>
  <si>
    <t>Included in UPS</t>
  </si>
  <si>
    <t>February 2016</t>
  </si>
  <si>
    <t xml:space="preserve"> </t>
  </si>
  <si>
    <t>Sky West - American</t>
  </si>
  <si>
    <t>Landing</t>
  </si>
  <si>
    <t>Departure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</si>
</sst>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9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2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3" xfId="0" applyFont="1" applyBorder="1"/>
    <xf numFmtId="0" fontId="19" fillId="0" borderId="74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4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8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9" xfId="0" applyNumberFormat="1" applyFont="1" applyBorder="1"/>
    <xf numFmtId="10" fontId="13" fillId="0" borderId="80" xfId="0" applyNumberFormat="1" applyFont="1" applyBorder="1"/>
    <xf numFmtId="0" fontId="7" fillId="0" borderId="36" xfId="0" applyFont="1" applyFill="1" applyBorder="1"/>
    <xf numFmtId="0" fontId="1" fillId="0" borderId="15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81" xfId="0" applyNumberFormat="1" applyFont="1" applyBorder="1"/>
    <xf numFmtId="165" fontId="29" fillId="0" borderId="57" xfId="1" applyNumberFormat="1" applyFont="1" applyBorder="1"/>
    <xf numFmtId="10" fontId="29" fillId="0" borderId="81" xfId="0" applyNumberFormat="1" applyFont="1" applyBorder="1"/>
    <xf numFmtId="10" fontId="29" fillId="0" borderId="58" xfId="3" applyNumberFormat="1" applyFont="1" applyBorder="1"/>
    <xf numFmtId="165" fontId="29" fillId="0" borderId="81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24" xfId="0" applyFont="1" applyFill="1" applyBorder="1" applyAlignment="1">
      <alignment horizontal="center" vertic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6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7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7" borderId="74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February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January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1955373</v>
          </cell>
          <cell r="G5">
            <v>3926247</v>
          </cell>
        </row>
        <row r="6">
          <cell r="D6">
            <v>598775</v>
          </cell>
          <cell r="G6">
            <v>1237475</v>
          </cell>
        </row>
        <row r="7">
          <cell r="D7">
            <v>142</v>
          </cell>
          <cell r="G7">
            <v>480</v>
          </cell>
        </row>
        <row r="10">
          <cell r="D10">
            <v>87537</v>
          </cell>
          <cell r="G10">
            <v>175009</v>
          </cell>
        </row>
        <row r="16">
          <cell r="D16">
            <v>15321</v>
          </cell>
          <cell r="G16">
            <v>31050</v>
          </cell>
        </row>
        <row r="17">
          <cell r="D17">
            <v>12057</v>
          </cell>
          <cell r="G17">
            <v>25275</v>
          </cell>
        </row>
        <row r="18">
          <cell r="D18">
            <v>2</v>
          </cell>
          <cell r="G18">
            <v>6</v>
          </cell>
        </row>
        <row r="19">
          <cell r="D19">
            <v>1048</v>
          </cell>
          <cell r="G19">
            <v>2134</v>
          </cell>
        </row>
        <row r="20">
          <cell r="D20">
            <v>1589</v>
          </cell>
          <cell r="G20">
            <v>3139</v>
          </cell>
        </row>
        <row r="21">
          <cell r="D21">
            <v>74</v>
          </cell>
          <cell r="G21">
            <v>172</v>
          </cell>
        </row>
        <row r="27">
          <cell r="D27">
            <v>13900.968672044299</v>
          </cell>
          <cell r="G27">
            <v>25884.676331654908</v>
          </cell>
        </row>
        <row r="28">
          <cell r="D28">
            <v>955.66287813611996</v>
          </cell>
          <cell r="G28">
            <v>2092.18800273945</v>
          </cell>
        </row>
        <row r="32">
          <cell r="B32">
            <v>789689</v>
          </cell>
          <cell r="D32">
            <v>1577111</v>
          </cell>
        </row>
        <row r="33">
          <cell r="B33">
            <v>492813</v>
          </cell>
          <cell r="D33">
            <v>1020348</v>
          </cell>
        </row>
      </sheetData>
      <sheetData sheetId="1"/>
      <sheetData sheetId="2"/>
      <sheetData sheetId="3"/>
      <sheetData sheetId="4"/>
      <sheetData sheetId="5">
        <row r="22">
          <cell r="D22">
            <v>281871</v>
          </cell>
          <cell r="I22">
            <v>2359956</v>
          </cell>
          <cell r="N22">
            <v>2641827</v>
          </cell>
        </row>
      </sheetData>
      <sheetData sheetId="6"/>
      <sheetData sheetId="7">
        <row r="5">
          <cell r="F5">
            <v>6706.9156659566597</v>
          </cell>
          <cell r="I5">
            <v>11453.397397703029</v>
          </cell>
        </row>
        <row r="6">
          <cell r="F6">
            <v>501.64367771594999</v>
          </cell>
          <cell r="I6">
            <v>1150.5978278825801</v>
          </cell>
        </row>
        <row r="10">
          <cell r="F10">
            <v>7194.0530060876399</v>
          </cell>
          <cell r="I10">
            <v>14431.278933951879</v>
          </cell>
        </row>
        <row r="11">
          <cell r="F11">
            <v>454.01920042016997</v>
          </cell>
          <cell r="I11">
            <v>941.59017485686991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13900.968672044301</v>
          </cell>
        </row>
        <row r="21">
          <cell r="F21">
            <v>955.66287813611996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2010103</v>
          </cell>
        </row>
        <row r="6">
          <cell r="G6">
            <v>589540</v>
          </cell>
        </row>
        <row r="7">
          <cell r="G7">
            <v>147</v>
          </cell>
        </row>
        <row r="10">
          <cell r="G10">
            <v>92636</v>
          </cell>
        </row>
        <row r="16">
          <cell r="G16">
            <v>16919</v>
          </cell>
        </row>
        <row r="17">
          <cell r="G17">
            <v>12242</v>
          </cell>
        </row>
        <row r="18">
          <cell r="G18">
            <v>2</v>
          </cell>
        </row>
        <row r="19">
          <cell r="G19">
            <v>1198</v>
          </cell>
        </row>
        <row r="20">
          <cell r="G20">
            <v>1625</v>
          </cell>
        </row>
        <row r="21">
          <cell r="G21">
            <v>48</v>
          </cell>
        </row>
        <row r="27">
          <cell r="G27">
            <v>15194.26711312125</v>
          </cell>
        </row>
        <row r="28">
          <cell r="G28">
            <v>1393.38994781063</v>
          </cell>
        </row>
        <row r="32">
          <cell r="D32">
            <v>829325</v>
          </cell>
        </row>
        <row r="33">
          <cell r="D33">
            <v>481034</v>
          </cell>
        </row>
      </sheetData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L21">
            <v>1335734</v>
          </cell>
          <cell r="M21">
            <v>1356692</v>
          </cell>
        </row>
      </sheetData>
      <sheetData sheetId="6"/>
      <sheetData sheetId="7">
        <row r="5">
          <cell r="I5">
            <v>7892.7249623376001</v>
          </cell>
        </row>
        <row r="6">
          <cell r="I6">
            <v>795.80785510071996</v>
          </cell>
        </row>
        <row r="10">
          <cell r="I10">
            <v>7301.54215078365</v>
          </cell>
        </row>
        <row r="11">
          <cell r="I11">
            <v>597.58209270990994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15194.26711312125</v>
          </cell>
        </row>
        <row r="21">
          <cell r="I21">
            <v>1393.38994781063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A4">
            <v>116</v>
          </cell>
        </row>
        <row r="5">
          <cell r="FA5">
            <v>116</v>
          </cell>
        </row>
        <row r="8">
          <cell r="FA8"/>
        </row>
        <row r="9">
          <cell r="FA9"/>
        </row>
        <row r="19">
          <cell r="EL19">
            <v>0</v>
          </cell>
          <cell r="EM19">
            <v>0</v>
          </cell>
          <cell r="EZ19">
            <v>232</v>
          </cell>
          <cell r="FA19">
            <v>232</v>
          </cell>
        </row>
        <row r="22">
          <cell r="FA22">
            <v>396</v>
          </cell>
        </row>
        <row r="23">
          <cell r="FA23">
            <v>415</v>
          </cell>
        </row>
        <row r="27">
          <cell r="FA27"/>
        </row>
        <row r="28">
          <cell r="FA28"/>
        </row>
        <row r="41">
          <cell r="EL41">
            <v>0</v>
          </cell>
          <cell r="EM41">
            <v>0</v>
          </cell>
          <cell r="EZ41">
            <v>663</v>
          </cell>
          <cell r="FA41">
            <v>811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</sheetData>
      <sheetData sheetId="3"/>
      <sheetData sheetId="4">
        <row r="4">
          <cell r="FA4"/>
        </row>
        <row r="5">
          <cell r="FA5"/>
        </row>
        <row r="8">
          <cell r="FA8"/>
        </row>
        <row r="9">
          <cell r="FA9"/>
        </row>
        <row r="15">
          <cell r="EZ15"/>
          <cell r="FA15"/>
        </row>
        <row r="16">
          <cell r="EZ16"/>
          <cell r="FA16"/>
        </row>
        <row r="19">
          <cell r="EL19">
            <v>0</v>
          </cell>
          <cell r="EM19">
            <v>0</v>
          </cell>
          <cell r="EZ19">
            <v>0</v>
          </cell>
          <cell r="FA19">
            <v>0</v>
          </cell>
        </row>
        <row r="22">
          <cell r="FA22"/>
        </row>
        <row r="23">
          <cell r="FA23"/>
        </row>
        <row r="27">
          <cell r="FA27"/>
        </row>
        <row r="28">
          <cell r="FA28"/>
        </row>
        <row r="32">
          <cell r="EZ32"/>
          <cell r="FA32"/>
        </row>
        <row r="33">
          <cell r="EZ33"/>
          <cell r="FA33"/>
        </row>
        <row r="37">
          <cell r="EZ37"/>
          <cell r="FA37"/>
        </row>
        <row r="38">
          <cell r="EZ38"/>
          <cell r="FA38"/>
        </row>
        <row r="41">
          <cell r="EL41">
            <v>0</v>
          </cell>
          <cell r="EM41">
            <v>0</v>
          </cell>
          <cell r="EZ41">
            <v>0</v>
          </cell>
          <cell r="FA41">
            <v>0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</sheetData>
      <sheetData sheetId="5">
        <row r="4">
          <cell r="FA4">
            <v>31</v>
          </cell>
        </row>
        <row r="5">
          <cell r="FA5">
            <v>31</v>
          </cell>
        </row>
        <row r="8">
          <cell r="FA8"/>
        </row>
        <row r="9">
          <cell r="FA9"/>
        </row>
        <row r="19">
          <cell r="EL19">
            <v>124</v>
          </cell>
          <cell r="EM19">
            <v>142</v>
          </cell>
          <cell r="EZ19">
            <v>114</v>
          </cell>
          <cell r="FA19">
            <v>62</v>
          </cell>
        </row>
        <row r="22">
          <cell r="FA22">
            <v>4365</v>
          </cell>
        </row>
        <row r="23">
          <cell r="FA23">
            <v>4155</v>
          </cell>
        </row>
        <row r="27">
          <cell r="FA27">
            <v>164</v>
          </cell>
        </row>
        <row r="28">
          <cell r="FA28">
            <v>235</v>
          </cell>
        </row>
        <row r="41">
          <cell r="EL41">
            <v>18654</v>
          </cell>
          <cell r="EM41">
            <v>17722</v>
          </cell>
          <cell r="EZ41">
            <v>15185</v>
          </cell>
          <cell r="FA41">
            <v>8520</v>
          </cell>
        </row>
        <row r="47">
          <cell r="FA47">
            <v>7414</v>
          </cell>
        </row>
        <row r="48">
          <cell r="FA48">
            <v>24405</v>
          </cell>
        </row>
        <row r="52">
          <cell r="FA52">
            <v>6531</v>
          </cell>
        </row>
        <row r="53">
          <cell r="FA53">
            <v>6818</v>
          </cell>
        </row>
        <row r="57">
          <cell r="FA57"/>
        </row>
        <row r="58">
          <cell r="FA58"/>
        </row>
      </sheetData>
      <sheetData sheetId="6"/>
      <sheetData sheetId="7">
        <row r="4">
          <cell r="FA4">
            <v>695</v>
          </cell>
        </row>
        <row r="5">
          <cell r="FA5">
            <v>695</v>
          </cell>
        </row>
        <row r="8">
          <cell r="FA8"/>
        </row>
        <row r="9">
          <cell r="FA9"/>
        </row>
        <row r="19">
          <cell r="EL19">
            <v>1451</v>
          </cell>
          <cell r="EM19">
            <v>1348</v>
          </cell>
          <cell r="EZ19">
            <v>1485</v>
          </cell>
          <cell r="FA19">
            <v>1390</v>
          </cell>
        </row>
        <row r="22">
          <cell r="FA22">
            <v>81130</v>
          </cell>
        </row>
        <row r="23">
          <cell r="FA23">
            <v>79637</v>
          </cell>
        </row>
        <row r="27">
          <cell r="FA27">
            <v>3007</v>
          </cell>
        </row>
        <row r="28">
          <cell r="FA28">
            <v>3215</v>
          </cell>
        </row>
        <row r="41">
          <cell r="EL41">
            <v>178110</v>
          </cell>
          <cell r="EM41">
            <v>165408</v>
          </cell>
          <cell r="EZ41">
            <v>159472</v>
          </cell>
          <cell r="FA41">
            <v>160767</v>
          </cell>
        </row>
        <row r="47">
          <cell r="FA47">
            <v>46619</v>
          </cell>
        </row>
        <row r="48">
          <cell r="FA48">
            <v>75623</v>
          </cell>
        </row>
        <row r="52">
          <cell r="FA52">
            <v>8363</v>
          </cell>
        </row>
        <row r="53">
          <cell r="FA53">
            <v>58088</v>
          </cell>
        </row>
        <row r="57">
          <cell r="FA57"/>
        </row>
        <row r="58">
          <cell r="FA58"/>
        </row>
      </sheetData>
      <sheetData sheetId="8"/>
      <sheetData sheetId="9">
        <row r="4">
          <cell r="FA4">
            <v>72</v>
          </cell>
        </row>
        <row r="5">
          <cell r="FA5">
            <v>72</v>
          </cell>
        </row>
        <row r="8">
          <cell r="FA8">
            <v>1</v>
          </cell>
        </row>
        <row r="9">
          <cell r="FA9"/>
        </row>
        <row r="19">
          <cell r="EL19">
            <v>0</v>
          </cell>
          <cell r="EM19">
            <v>0</v>
          </cell>
          <cell r="EZ19">
            <v>151</v>
          </cell>
          <cell r="FA19">
            <v>145</v>
          </cell>
        </row>
        <row r="22">
          <cell r="FA22">
            <v>498</v>
          </cell>
        </row>
        <row r="23">
          <cell r="FA23">
            <v>485</v>
          </cell>
        </row>
        <row r="27">
          <cell r="FA27"/>
        </row>
        <row r="28">
          <cell r="FA28"/>
        </row>
        <row r="41">
          <cell r="EL41">
            <v>0</v>
          </cell>
          <cell r="EM41">
            <v>0</v>
          </cell>
          <cell r="EZ41">
            <v>1054</v>
          </cell>
          <cell r="FA41">
            <v>983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</sheetData>
      <sheetData sheetId="10">
        <row r="4">
          <cell r="FA4"/>
        </row>
        <row r="5">
          <cell r="FA5"/>
        </row>
        <row r="8">
          <cell r="FA8"/>
        </row>
        <row r="9">
          <cell r="FA9"/>
        </row>
        <row r="15">
          <cell r="EZ15"/>
          <cell r="FA15"/>
        </row>
        <row r="16">
          <cell r="EZ16"/>
          <cell r="FA16"/>
        </row>
        <row r="19">
          <cell r="EL19">
            <v>0</v>
          </cell>
          <cell r="EM19">
            <v>0</v>
          </cell>
          <cell r="EZ19">
            <v>0</v>
          </cell>
          <cell r="FA19">
            <v>0</v>
          </cell>
        </row>
        <row r="22">
          <cell r="FA22"/>
        </row>
        <row r="23">
          <cell r="FA23"/>
        </row>
        <row r="27">
          <cell r="FA27"/>
        </row>
        <row r="28">
          <cell r="FA28"/>
        </row>
        <row r="32">
          <cell r="EZ32"/>
          <cell r="FA32"/>
        </row>
        <row r="33">
          <cell r="EZ33"/>
          <cell r="FA33"/>
        </row>
        <row r="37">
          <cell r="EZ37"/>
          <cell r="FA37"/>
        </row>
        <row r="38">
          <cell r="EZ38"/>
          <cell r="FA38"/>
        </row>
        <row r="41">
          <cell r="EL41">
            <v>0</v>
          </cell>
          <cell r="EM41">
            <v>0</v>
          </cell>
          <cell r="EZ41">
            <v>0</v>
          </cell>
          <cell r="FA41">
            <v>0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</sheetData>
      <sheetData sheetId="11">
        <row r="4">
          <cell r="FA4">
            <v>4242</v>
          </cell>
        </row>
        <row r="5">
          <cell r="FA5">
            <v>4244</v>
          </cell>
        </row>
        <row r="8">
          <cell r="FA8">
            <v>5</v>
          </cell>
        </row>
        <row r="9">
          <cell r="FA9">
            <v>8</v>
          </cell>
        </row>
        <row r="15">
          <cell r="EZ15">
            <v>479</v>
          </cell>
          <cell r="FA15">
            <v>459</v>
          </cell>
        </row>
        <row r="16">
          <cell r="EZ16">
            <v>482</v>
          </cell>
          <cell r="FA16">
            <v>458</v>
          </cell>
        </row>
        <row r="19">
          <cell r="EL19">
            <v>9717</v>
          </cell>
          <cell r="EM19">
            <v>9522</v>
          </cell>
          <cell r="EZ19">
            <v>10013</v>
          </cell>
          <cell r="FA19">
            <v>9416</v>
          </cell>
        </row>
        <row r="22">
          <cell r="FA22">
            <v>546548</v>
          </cell>
        </row>
        <row r="23">
          <cell r="FA23">
            <v>553021</v>
          </cell>
        </row>
        <row r="27">
          <cell r="FA27">
            <v>23097</v>
          </cell>
        </row>
        <row r="28">
          <cell r="FA28">
            <v>22826</v>
          </cell>
        </row>
        <row r="32">
          <cell r="EZ32">
            <v>76571</v>
          </cell>
          <cell r="FA32">
            <v>72852</v>
          </cell>
        </row>
        <row r="33">
          <cell r="EZ33">
            <v>72286</v>
          </cell>
          <cell r="FA33">
            <v>72995</v>
          </cell>
        </row>
        <row r="37">
          <cell r="EZ37">
            <v>2186</v>
          </cell>
          <cell r="FA37">
            <v>2201</v>
          </cell>
        </row>
        <row r="38">
          <cell r="EZ38">
            <v>2286</v>
          </cell>
          <cell r="FA38">
            <v>2141</v>
          </cell>
        </row>
        <row r="41">
          <cell r="EL41">
            <v>1280361</v>
          </cell>
          <cell r="EM41">
            <v>1266852</v>
          </cell>
          <cell r="EZ41">
            <v>1293152</v>
          </cell>
          <cell r="FA41">
            <v>1245416</v>
          </cell>
        </row>
        <row r="47">
          <cell r="FA47">
            <v>3928462</v>
          </cell>
        </row>
        <row r="48">
          <cell r="FA48">
            <v>1139501</v>
          </cell>
        </row>
        <row r="52">
          <cell r="FA52">
            <v>2493872</v>
          </cell>
        </row>
        <row r="53">
          <cell r="FA53">
            <v>1349482</v>
          </cell>
        </row>
        <row r="57">
          <cell r="FA57"/>
        </row>
        <row r="58">
          <cell r="FA58"/>
        </row>
        <row r="70">
          <cell r="FA70">
            <v>293101</v>
          </cell>
        </row>
        <row r="71">
          <cell r="FA71">
            <v>259920</v>
          </cell>
        </row>
        <row r="73">
          <cell r="FA73">
            <v>38687</v>
          </cell>
        </row>
        <row r="74">
          <cell r="FA74">
            <v>34308</v>
          </cell>
        </row>
      </sheetData>
      <sheetData sheetId="12">
        <row r="4">
          <cell r="FA4">
            <v>80</v>
          </cell>
        </row>
        <row r="5">
          <cell r="FA5">
            <v>80</v>
          </cell>
        </row>
        <row r="8">
          <cell r="FA8"/>
        </row>
        <row r="9">
          <cell r="FA9"/>
        </row>
        <row r="19">
          <cell r="EL19">
            <v>148</v>
          </cell>
          <cell r="EM19">
            <v>158</v>
          </cell>
          <cell r="EZ19">
            <v>178</v>
          </cell>
          <cell r="FA19">
            <v>160</v>
          </cell>
        </row>
        <row r="22">
          <cell r="FA22">
            <v>13455</v>
          </cell>
        </row>
        <row r="23">
          <cell r="FA23">
            <v>13688</v>
          </cell>
        </row>
        <row r="27">
          <cell r="FA27">
            <v>108</v>
          </cell>
        </row>
        <row r="28">
          <cell r="FA28">
            <v>148</v>
          </cell>
        </row>
        <row r="41">
          <cell r="EL41">
            <v>23064</v>
          </cell>
          <cell r="EM41">
            <v>22648</v>
          </cell>
          <cell r="EZ41">
            <v>29207</v>
          </cell>
          <cell r="FA41">
            <v>27143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</sheetData>
      <sheetData sheetId="13">
        <row r="4">
          <cell r="FA4"/>
        </row>
        <row r="5">
          <cell r="FA5"/>
        </row>
        <row r="8">
          <cell r="FA8"/>
        </row>
        <row r="9">
          <cell r="FA9"/>
        </row>
        <row r="19">
          <cell r="EL19">
            <v>143</v>
          </cell>
          <cell r="EM19">
            <v>134</v>
          </cell>
          <cell r="EZ19">
            <v>0</v>
          </cell>
          <cell r="FA19">
            <v>0</v>
          </cell>
        </row>
        <row r="22">
          <cell r="FA22"/>
        </row>
        <row r="23">
          <cell r="FA23"/>
        </row>
        <row r="27">
          <cell r="FA27"/>
        </row>
        <row r="28">
          <cell r="FA28"/>
        </row>
        <row r="41">
          <cell r="EL41">
            <v>376</v>
          </cell>
          <cell r="EM41">
            <v>402</v>
          </cell>
          <cell r="EZ41">
            <v>0</v>
          </cell>
          <cell r="FA41">
            <v>0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</sheetData>
      <sheetData sheetId="14">
        <row r="8">
          <cell r="FA8"/>
        </row>
        <row r="9">
          <cell r="FA9"/>
        </row>
        <row r="15">
          <cell r="EZ15">
            <v>16</v>
          </cell>
          <cell r="FA15">
            <v>14</v>
          </cell>
        </row>
        <row r="16">
          <cell r="EZ16">
            <v>16</v>
          </cell>
          <cell r="FA16">
            <v>14</v>
          </cell>
        </row>
        <row r="19">
          <cell r="EL19">
            <v>12</v>
          </cell>
          <cell r="EM19">
            <v>0</v>
          </cell>
          <cell r="EZ19">
            <v>32</v>
          </cell>
          <cell r="FA19">
            <v>28</v>
          </cell>
        </row>
        <row r="32">
          <cell r="EZ32">
            <v>2183</v>
          </cell>
          <cell r="FA32">
            <v>1601</v>
          </cell>
        </row>
        <row r="33">
          <cell r="EZ33">
            <v>2146</v>
          </cell>
          <cell r="FA33">
            <v>1798</v>
          </cell>
        </row>
        <row r="37">
          <cell r="EZ37">
            <v>50</v>
          </cell>
          <cell r="FA37">
            <v>50</v>
          </cell>
        </row>
        <row r="38">
          <cell r="EZ38">
            <v>51</v>
          </cell>
          <cell r="FA38">
            <v>62</v>
          </cell>
        </row>
        <row r="41">
          <cell r="EL41">
            <v>1473</v>
          </cell>
          <cell r="EM41">
            <v>0</v>
          </cell>
          <cell r="EZ41">
            <v>4329</v>
          </cell>
          <cell r="FA41">
            <v>3399</v>
          </cell>
        </row>
        <row r="47">
          <cell r="FA47">
            <v>9427</v>
          </cell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</sheetData>
      <sheetData sheetId="15"/>
      <sheetData sheetId="16"/>
      <sheetData sheetId="17"/>
      <sheetData sheetId="18">
        <row r="4">
          <cell r="FA4">
            <v>658</v>
          </cell>
        </row>
        <row r="5">
          <cell r="FA5">
            <v>657</v>
          </cell>
        </row>
        <row r="8">
          <cell r="FA8"/>
        </row>
        <row r="9">
          <cell r="FA9"/>
        </row>
        <row r="19">
          <cell r="EL19">
            <v>1310</v>
          </cell>
          <cell r="EM19">
            <v>1235</v>
          </cell>
          <cell r="EZ19">
            <v>1441</v>
          </cell>
          <cell r="FA19">
            <v>1315</v>
          </cell>
        </row>
        <row r="22">
          <cell r="FA22">
            <v>71800</v>
          </cell>
        </row>
        <row r="23">
          <cell r="FA23">
            <v>72426</v>
          </cell>
        </row>
        <row r="27">
          <cell r="FA27">
            <v>1242</v>
          </cell>
        </row>
        <row r="28">
          <cell r="FA28">
            <v>1281</v>
          </cell>
        </row>
        <row r="41">
          <cell r="EL41">
            <v>147219</v>
          </cell>
          <cell r="EM41">
            <v>139213</v>
          </cell>
          <cell r="EZ41">
            <v>152893</v>
          </cell>
          <cell r="FA41">
            <v>144226</v>
          </cell>
        </row>
        <row r="47">
          <cell r="FA47">
            <v>164035</v>
          </cell>
        </row>
        <row r="48">
          <cell r="FA48"/>
        </row>
        <row r="52">
          <cell r="FA52">
            <v>111931</v>
          </cell>
        </row>
        <row r="53">
          <cell r="FA53"/>
        </row>
        <row r="57">
          <cell r="FA57"/>
        </row>
        <row r="58">
          <cell r="FA58"/>
        </row>
        <row r="70">
          <cell r="FA70">
            <v>71952</v>
          </cell>
        </row>
        <row r="71">
          <cell r="FA71">
            <v>474</v>
          </cell>
        </row>
        <row r="73">
          <cell r="FA73"/>
        </row>
        <row r="74">
          <cell r="FA74"/>
        </row>
      </sheetData>
      <sheetData sheetId="19">
        <row r="4">
          <cell r="FA4">
            <v>361</v>
          </cell>
        </row>
        <row r="5">
          <cell r="FA5">
            <v>360</v>
          </cell>
        </row>
        <row r="8">
          <cell r="FA8"/>
        </row>
        <row r="9">
          <cell r="FA9"/>
        </row>
        <row r="19">
          <cell r="EL19">
            <v>680</v>
          </cell>
          <cell r="EM19">
            <v>612</v>
          </cell>
          <cell r="EZ19">
            <v>792</v>
          </cell>
          <cell r="FA19">
            <v>721</v>
          </cell>
        </row>
        <row r="22">
          <cell r="FA22">
            <v>47675</v>
          </cell>
        </row>
        <row r="23">
          <cell r="FA23">
            <v>50708</v>
          </cell>
        </row>
        <row r="27">
          <cell r="FA27">
            <v>308</v>
          </cell>
        </row>
        <row r="28">
          <cell r="FA28">
            <v>293</v>
          </cell>
        </row>
        <row r="41">
          <cell r="EL41">
            <v>97867</v>
          </cell>
          <cell r="EM41">
            <v>92339</v>
          </cell>
          <cell r="EZ41">
            <v>97377</v>
          </cell>
          <cell r="FA41">
            <v>98383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  <row r="73">
          <cell r="FA73"/>
        </row>
        <row r="74">
          <cell r="FA74"/>
        </row>
      </sheetData>
      <sheetData sheetId="20">
        <row r="4">
          <cell r="FA4">
            <v>629</v>
          </cell>
        </row>
        <row r="5">
          <cell r="FA5">
            <v>633</v>
          </cell>
        </row>
        <row r="8">
          <cell r="FA8">
            <v>48</v>
          </cell>
        </row>
        <row r="9">
          <cell r="FA9">
            <v>42</v>
          </cell>
        </row>
        <row r="15">
          <cell r="EZ15">
            <v>205</v>
          </cell>
          <cell r="FA15">
            <v>278</v>
          </cell>
        </row>
        <row r="16">
          <cell r="EZ16">
            <v>205</v>
          </cell>
          <cell r="FA16">
            <v>279</v>
          </cell>
        </row>
        <row r="19">
          <cell r="EL19">
            <v>1698</v>
          </cell>
          <cell r="EM19">
            <v>1694</v>
          </cell>
          <cell r="EZ19">
            <v>1901</v>
          </cell>
          <cell r="FA19">
            <v>1909</v>
          </cell>
        </row>
        <row r="22">
          <cell r="FA22">
            <v>73536</v>
          </cell>
        </row>
        <row r="23">
          <cell r="FA23">
            <v>79878</v>
          </cell>
        </row>
        <row r="27">
          <cell r="FA27">
            <v>1457</v>
          </cell>
        </row>
        <row r="28">
          <cell r="FA28">
            <v>1496</v>
          </cell>
        </row>
        <row r="32">
          <cell r="EZ32">
            <v>21105</v>
          </cell>
          <cell r="FA32">
            <v>32314</v>
          </cell>
        </row>
        <row r="33">
          <cell r="EZ33">
            <v>22590</v>
          </cell>
          <cell r="FA33">
            <v>34518</v>
          </cell>
        </row>
        <row r="37">
          <cell r="EZ37">
            <v>158</v>
          </cell>
          <cell r="FA37">
            <v>212</v>
          </cell>
        </row>
        <row r="38">
          <cell r="EZ38">
            <v>219</v>
          </cell>
          <cell r="FA38">
            <v>280</v>
          </cell>
        </row>
        <row r="41">
          <cell r="EL41">
            <v>170423</v>
          </cell>
          <cell r="EM41">
            <v>194645</v>
          </cell>
          <cell r="EZ41">
            <v>189664</v>
          </cell>
          <cell r="FA41">
            <v>220246</v>
          </cell>
        </row>
        <row r="47">
          <cell r="FA47">
            <v>127444</v>
          </cell>
        </row>
        <row r="48">
          <cell r="FA48">
            <v>224705</v>
          </cell>
        </row>
        <row r="52">
          <cell r="FA52">
            <v>71684</v>
          </cell>
        </row>
        <row r="53">
          <cell r="FA53">
            <v>428034</v>
          </cell>
        </row>
        <row r="57">
          <cell r="FA57"/>
        </row>
        <row r="58">
          <cell r="FA58"/>
        </row>
        <row r="70">
          <cell r="FA70">
            <v>77526</v>
          </cell>
        </row>
        <row r="71">
          <cell r="FA71">
            <v>2352</v>
          </cell>
        </row>
        <row r="73">
          <cell r="FA73">
            <v>34482</v>
          </cell>
        </row>
        <row r="74">
          <cell r="FA74">
            <v>36</v>
          </cell>
        </row>
      </sheetData>
      <sheetData sheetId="21">
        <row r="4">
          <cell r="FA4">
            <v>297</v>
          </cell>
        </row>
        <row r="5">
          <cell r="FA5">
            <v>297</v>
          </cell>
        </row>
        <row r="8">
          <cell r="FA8"/>
        </row>
        <row r="9">
          <cell r="FA9"/>
        </row>
        <row r="19">
          <cell r="EL19">
            <v>446</v>
          </cell>
          <cell r="EM19">
            <v>476</v>
          </cell>
          <cell r="EZ19">
            <v>580</v>
          </cell>
          <cell r="FA19">
            <v>594</v>
          </cell>
        </row>
        <row r="22">
          <cell r="FA22">
            <v>34725</v>
          </cell>
        </row>
        <row r="23">
          <cell r="FA23">
            <v>33246</v>
          </cell>
        </row>
        <row r="27">
          <cell r="FA27">
            <v>1238</v>
          </cell>
        </row>
        <row r="28">
          <cell r="FA28">
            <v>1317</v>
          </cell>
        </row>
        <row r="41">
          <cell r="EL41">
            <v>53327</v>
          </cell>
          <cell r="EM41">
            <v>56144</v>
          </cell>
          <cell r="EZ41">
            <v>67107</v>
          </cell>
          <cell r="FA41">
            <v>67971</v>
          </cell>
        </row>
        <row r="47">
          <cell r="FA47">
            <v>19038</v>
          </cell>
        </row>
        <row r="48">
          <cell r="FA48">
            <v>97362</v>
          </cell>
        </row>
        <row r="52">
          <cell r="FA52">
            <v>5875</v>
          </cell>
        </row>
        <row r="53">
          <cell r="FA53">
            <v>71199</v>
          </cell>
        </row>
        <row r="57">
          <cell r="FA57"/>
        </row>
        <row r="58">
          <cell r="FA58"/>
        </row>
      </sheetData>
      <sheetData sheetId="22"/>
      <sheetData sheetId="23"/>
      <sheetData sheetId="24">
        <row r="15">
          <cell r="EZ15"/>
          <cell r="FA15"/>
        </row>
        <row r="16">
          <cell r="EZ16"/>
          <cell r="FA16"/>
        </row>
        <row r="19">
          <cell r="EL19">
            <v>178</v>
          </cell>
          <cell r="EM19">
            <v>7</v>
          </cell>
          <cell r="EZ19">
            <v>0</v>
          </cell>
          <cell r="FA19">
            <v>0</v>
          </cell>
        </row>
        <row r="32">
          <cell r="EZ32"/>
          <cell r="FA32"/>
        </row>
        <row r="33">
          <cell r="EZ33"/>
          <cell r="FA33"/>
        </row>
        <row r="37">
          <cell r="EZ37"/>
          <cell r="FA37"/>
        </row>
        <row r="38">
          <cell r="EZ38"/>
          <cell r="FA38"/>
        </row>
        <row r="41">
          <cell r="EL41">
            <v>6489</v>
          </cell>
          <cell r="EM41">
            <v>270</v>
          </cell>
          <cell r="EZ41">
            <v>0</v>
          </cell>
          <cell r="FA41">
            <v>0</v>
          </cell>
        </row>
      </sheetData>
      <sheetData sheetId="25">
        <row r="8">
          <cell r="FA8"/>
        </row>
        <row r="9">
          <cell r="FA9"/>
        </row>
        <row r="15">
          <cell r="EZ15">
            <v>86</v>
          </cell>
          <cell r="FA15">
            <v>78</v>
          </cell>
        </row>
        <row r="16">
          <cell r="EZ16">
            <v>86</v>
          </cell>
          <cell r="FA16">
            <v>78</v>
          </cell>
        </row>
        <row r="19">
          <cell r="EL19">
            <v>0</v>
          </cell>
          <cell r="EM19">
            <v>157</v>
          </cell>
          <cell r="EZ19">
            <v>172</v>
          </cell>
          <cell r="FA19">
            <v>156</v>
          </cell>
        </row>
        <row r="32">
          <cell r="EZ32">
            <v>3322</v>
          </cell>
          <cell r="FA32">
            <v>2938</v>
          </cell>
        </row>
        <row r="33">
          <cell r="EZ33">
            <v>3007</v>
          </cell>
          <cell r="FA33">
            <v>2824</v>
          </cell>
        </row>
        <row r="37">
          <cell r="EZ37"/>
          <cell r="FA37"/>
        </row>
        <row r="38">
          <cell r="EZ38"/>
          <cell r="FA38"/>
        </row>
        <row r="41">
          <cell r="EL41">
            <v>0</v>
          </cell>
          <cell r="EM41">
            <v>5887</v>
          </cell>
          <cell r="EZ41">
            <v>6329</v>
          </cell>
          <cell r="FA41">
            <v>5762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</sheetData>
      <sheetData sheetId="26">
        <row r="4">
          <cell r="FA4">
            <v>1</v>
          </cell>
        </row>
        <row r="5">
          <cell r="FA5">
            <v>1</v>
          </cell>
        </row>
        <row r="8">
          <cell r="FA8"/>
        </row>
        <row r="9">
          <cell r="FA9"/>
        </row>
        <row r="19">
          <cell r="EL19">
            <v>60</v>
          </cell>
          <cell r="EM19">
            <v>24</v>
          </cell>
          <cell r="EZ19">
            <v>0</v>
          </cell>
          <cell r="FA19">
            <v>2</v>
          </cell>
        </row>
        <row r="22">
          <cell r="FA22">
            <v>50</v>
          </cell>
        </row>
        <row r="23">
          <cell r="FA23">
            <v>40</v>
          </cell>
        </row>
        <row r="27">
          <cell r="FA27"/>
        </row>
        <row r="28">
          <cell r="FA28">
            <v>1</v>
          </cell>
        </row>
        <row r="41">
          <cell r="EL41">
            <v>2291</v>
          </cell>
          <cell r="EM41">
            <v>849</v>
          </cell>
          <cell r="EZ41">
            <v>0</v>
          </cell>
          <cell r="FA41">
            <v>90</v>
          </cell>
        </row>
        <row r="47">
          <cell r="FA47"/>
        </row>
        <row r="48">
          <cell r="FA48"/>
        </row>
        <row r="52">
          <cell r="BH52"/>
        </row>
        <row r="53">
          <cell r="FA53"/>
        </row>
        <row r="57">
          <cell r="BG57"/>
        </row>
        <row r="58">
          <cell r="BG58"/>
        </row>
      </sheetData>
      <sheetData sheetId="27">
        <row r="4">
          <cell r="FA4">
            <v>9</v>
          </cell>
        </row>
        <row r="5">
          <cell r="FA5">
            <v>8</v>
          </cell>
        </row>
        <row r="8">
          <cell r="FA8"/>
        </row>
        <row r="9">
          <cell r="FA9"/>
        </row>
        <row r="19">
          <cell r="EL19">
            <v>20</v>
          </cell>
          <cell r="EM19">
            <v>8</v>
          </cell>
          <cell r="EZ19">
            <v>22</v>
          </cell>
          <cell r="FA19">
            <v>17</v>
          </cell>
        </row>
        <row r="22">
          <cell r="FA22">
            <v>464</v>
          </cell>
        </row>
        <row r="23">
          <cell r="FA23">
            <v>433</v>
          </cell>
        </row>
        <row r="27">
          <cell r="FA27">
            <v>35</v>
          </cell>
        </row>
        <row r="28">
          <cell r="FA28">
            <v>31</v>
          </cell>
        </row>
        <row r="41">
          <cell r="EL41">
            <v>1013</v>
          </cell>
          <cell r="EM41">
            <v>436</v>
          </cell>
          <cell r="EZ41">
            <v>921</v>
          </cell>
          <cell r="FA41">
            <v>897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</sheetData>
      <sheetData sheetId="28">
        <row r="4">
          <cell r="FA4">
            <v>272</v>
          </cell>
        </row>
        <row r="5">
          <cell r="FA5">
            <v>272</v>
          </cell>
        </row>
        <row r="8">
          <cell r="FA8"/>
        </row>
        <row r="9">
          <cell r="FA9"/>
        </row>
        <row r="15">
          <cell r="EZ15">
            <v>1</v>
          </cell>
          <cell r="FA15">
            <v>1</v>
          </cell>
        </row>
        <row r="16">
          <cell r="EZ16">
            <v>1</v>
          </cell>
          <cell r="FA16"/>
        </row>
        <row r="19">
          <cell r="EL19">
            <v>1025</v>
          </cell>
          <cell r="EM19">
            <v>606</v>
          </cell>
          <cell r="EZ19">
            <v>666</v>
          </cell>
          <cell r="FA19">
            <v>545</v>
          </cell>
        </row>
        <row r="22">
          <cell r="FA22">
            <v>14369</v>
          </cell>
        </row>
        <row r="23">
          <cell r="FA23">
            <v>14657</v>
          </cell>
        </row>
        <row r="27">
          <cell r="FA27">
            <v>603</v>
          </cell>
        </row>
        <row r="28">
          <cell r="FA28">
            <v>568</v>
          </cell>
        </row>
        <row r="32">
          <cell r="EZ32">
            <v>54</v>
          </cell>
          <cell r="FA32">
            <v>64</v>
          </cell>
        </row>
        <row r="33">
          <cell r="EZ33">
            <v>24</v>
          </cell>
          <cell r="FA33"/>
        </row>
        <row r="37">
          <cell r="EZ37"/>
          <cell r="FA37"/>
        </row>
        <row r="38">
          <cell r="EZ38">
            <v>4</v>
          </cell>
          <cell r="FA38"/>
        </row>
        <row r="41">
          <cell r="EL41">
            <v>51155</v>
          </cell>
          <cell r="EM41">
            <v>29264</v>
          </cell>
          <cell r="EZ41">
            <v>35725</v>
          </cell>
          <cell r="FA41">
            <v>29090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BG58"/>
        </row>
        <row r="70">
          <cell r="FA70">
            <v>5218</v>
          </cell>
        </row>
        <row r="71">
          <cell r="FA71">
            <v>9439</v>
          </cell>
        </row>
        <row r="73">
          <cell r="FA73"/>
        </row>
        <row r="74">
          <cell r="FA74"/>
        </row>
      </sheetData>
      <sheetData sheetId="29"/>
      <sheetData sheetId="30"/>
      <sheetData sheetId="31"/>
      <sheetData sheetId="32">
        <row r="4">
          <cell r="FA4">
            <v>547</v>
          </cell>
        </row>
        <row r="5">
          <cell r="FA5">
            <v>546</v>
          </cell>
        </row>
        <row r="8">
          <cell r="FA8"/>
        </row>
        <row r="9">
          <cell r="FA9">
            <v>1</v>
          </cell>
        </row>
        <row r="15">
          <cell r="EZ15">
            <v>166</v>
          </cell>
          <cell r="FA15">
            <v>137</v>
          </cell>
        </row>
        <row r="16">
          <cell r="EZ16">
            <v>168</v>
          </cell>
          <cell r="FA16">
            <v>135</v>
          </cell>
        </row>
        <row r="19">
          <cell r="EL19">
            <v>1207</v>
          </cell>
          <cell r="EM19">
            <v>1145</v>
          </cell>
          <cell r="EZ19">
            <v>1335</v>
          </cell>
          <cell r="FA19">
            <v>1366</v>
          </cell>
        </row>
        <row r="22">
          <cell r="FA22">
            <v>28732</v>
          </cell>
        </row>
        <row r="23">
          <cell r="FA23">
            <v>30287</v>
          </cell>
        </row>
        <row r="27">
          <cell r="FA27">
            <v>1436</v>
          </cell>
        </row>
        <row r="28">
          <cell r="FA28">
            <v>1302</v>
          </cell>
        </row>
        <row r="32">
          <cell r="EZ32">
            <v>9784</v>
          </cell>
          <cell r="FA32">
            <v>8369</v>
          </cell>
        </row>
        <row r="33">
          <cell r="EZ33">
            <v>10679</v>
          </cell>
          <cell r="FA33">
            <v>8413</v>
          </cell>
        </row>
        <row r="37">
          <cell r="EZ37">
            <v>161</v>
          </cell>
          <cell r="FA37">
            <v>146</v>
          </cell>
        </row>
        <row r="38">
          <cell r="EZ38">
            <v>174</v>
          </cell>
          <cell r="FA38">
            <v>151</v>
          </cell>
        </row>
        <row r="41">
          <cell r="EL41">
            <v>68909</v>
          </cell>
          <cell r="EM41">
            <v>65710</v>
          </cell>
          <cell r="EZ41">
            <v>72674</v>
          </cell>
          <cell r="FA41">
            <v>75801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BG58"/>
        </row>
        <row r="70">
          <cell r="BG70">
            <v>26242</v>
          </cell>
          <cell r="FA70">
            <v>13417</v>
          </cell>
        </row>
        <row r="71">
          <cell r="BG71">
            <v>44562</v>
          </cell>
          <cell r="FA71">
            <v>16870</v>
          </cell>
        </row>
        <row r="73">
          <cell r="BG73">
            <v>1540</v>
          </cell>
          <cell r="FA73">
            <v>3727</v>
          </cell>
        </row>
        <row r="74">
          <cell r="BG74">
            <v>2614</v>
          </cell>
          <cell r="FA74">
            <v>4686</v>
          </cell>
        </row>
      </sheetData>
      <sheetData sheetId="33"/>
      <sheetData sheetId="34">
        <row r="4">
          <cell r="FA4">
            <v>20</v>
          </cell>
        </row>
        <row r="5">
          <cell r="FA5">
            <v>20</v>
          </cell>
        </row>
        <row r="8">
          <cell r="FA8"/>
        </row>
        <row r="9">
          <cell r="FA9"/>
        </row>
        <row r="19">
          <cell r="EL19">
            <v>910</v>
          </cell>
          <cell r="EM19">
            <v>46</v>
          </cell>
          <cell r="EZ19">
            <v>24</v>
          </cell>
          <cell r="FA19">
            <v>40</v>
          </cell>
        </row>
        <row r="22">
          <cell r="FA22">
            <v>668</v>
          </cell>
        </row>
        <row r="23">
          <cell r="FA23">
            <v>664</v>
          </cell>
        </row>
        <row r="27">
          <cell r="FA27">
            <v>22</v>
          </cell>
        </row>
        <row r="28">
          <cell r="FA28">
            <v>22</v>
          </cell>
        </row>
        <row r="41">
          <cell r="EL41">
            <v>64701</v>
          </cell>
          <cell r="EM41">
            <v>1604</v>
          </cell>
          <cell r="EZ41">
            <v>994</v>
          </cell>
          <cell r="FA41">
            <v>1332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BG58"/>
        </row>
      </sheetData>
      <sheetData sheetId="35"/>
      <sheetData sheetId="36">
        <row r="4">
          <cell r="FA4">
            <v>224</v>
          </cell>
        </row>
        <row r="5">
          <cell r="FA5">
            <v>222</v>
          </cell>
        </row>
        <row r="8">
          <cell r="FA8"/>
        </row>
        <row r="9">
          <cell r="FA9">
            <v>1</v>
          </cell>
        </row>
        <row r="15">
          <cell r="EZ15">
            <v>54</v>
          </cell>
          <cell r="FA15">
            <v>63</v>
          </cell>
        </row>
        <row r="16">
          <cell r="EZ16">
            <v>49</v>
          </cell>
          <cell r="FA16">
            <v>64</v>
          </cell>
        </row>
        <row r="19">
          <cell r="EL19">
            <v>0</v>
          </cell>
          <cell r="EM19">
            <v>0</v>
          </cell>
          <cell r="EZ19">
            <v>599</v>
          </cell>
          <cell r="FA19">
            <v>574</v>
          </cell>
        </row>
        <row r="22">
          <cell r="FA22">
            <v>11656</v>
          </cell>
        </row>
        <row r="23">
          <cell r="FA23">
            <v>11836</v>
          </cell>
        </row>
        <row r="27">
          <cell r="FA27">
            <v>543</v>
          </cell>
        </row>
        <row r="28">
          <cell r="FA28">
            <v>468</v>
          </cell>
        </row>
        <row r="32">
          <cell r="EZ32">
            <v>2862</v>
          </cell>
          <cell r="FA32">
            <v>3388</v>
          </cell>
        </row>
        <row r="33">
          <cell r="EZ33">
            <v>2602</v>
          </cell>
          <cell r="FA33">
            <v>3467</v>
          </cell>
        </row>
        <row r="37">
          <cell r="EZ37">
            <v>33</v>
          </cell>
          <cell r="FA37">
            <v>59</v>
          </cell>
        </row>
        <row r="38">
          <cell r="EZ38">
            <v>26</v>
          </cell>
          <cell r="FA38">
            <v>49</v>
          </cell>
        </row>
        <row r="41">
          <cell r="EL41">
            <v>0</v>
          </cell>
          <cell r="EM41">
            <v>0</v>
          </cell>
          <cell r="EZ41">
            <v>31136</v>
          </cell>
          <cell r="FA41">
            <v>30347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BK58"/>
        </row>
        <row r="70">
          <cell r="FA70">
            <v>6001</v>
          </cell>
        </row>
        <row r="71">
          <cell r="FA71">
            <v>5835</v>
          </cell>
        </row>
        <row r="73">
          <cell r="FA73">
            <v>1758</v>
          </cell>
        </row>
        <row r="74">
          <cell r="FA74">
            <v>1709</v>
          </cell>
        </row>
      </sheetData>
      <sheetData sheetId="37">
        <row r="4">
          <cell r="FA4">
            <v>5</v>
          </cell>
        </row>
        <row r="5">
          <cell r="FA5">
            <v>5</v>
          </cell>
        </row>
        <row r="8">
          <cell r="FA8"/>
        </row>
        <row r="9">
          <cell r="FA9"/>
        </row>
        <row r="19">
          <cell r="EL19">
            <v>0</v>
          </cell>
          <cell r="EM19">
            <v>52</v>
          </cell>
          <cell r="EZ19">
            <v>26</v>
          </cell>
          <cell r="FA19">
            <v>10</v>
          </cell>
        </row>
        <row r="22">
          <cell r="FA22">
            <v>295</v>
          </cell>
        </row>
        <row r="23">
          <cell r="FA23">
            <v>295</v>
          </cell>
        </row>
        <row r="27">
          <cell r="FA27">
            <v>8</v>
          </cell>
        </row>
        <row r="28">
          <cell r="FA28">
            <v>21</v>
          </cell>
        </row>
        <row r="41">
          <cell r="EL41">
            <v>0</v>
          </cell>
          <cell r="EM41">
            <v>3315</v>
          </cell>
          <cell r="EZ41">
            <v>1669</v>
          </cell>
          <cell r="FA41">
            <v>590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AJ57"/>
        </row>
        <row r="58">
          <cell r="AJ58"/>
        </row>
      </sheetData>
      <sheetData sheetId="38"/>
      <sheetData sheetId="39">
        <row r="4">
          <cell r="FA4">
            <v>137</v>
          </cell>
        </row>
        <row r="5">
          <cell r="FA5">
            <v>137</v>
          </cell>
        </row>
        <row r="8">
          <cell r="FA8"/>
        </row>
        <row r="9">
          <cell r="FA9"/>
        </row>
        <row r="19">
          <cell r="EL19">
            <v>156</v>
          </cell>
          <cell r="EM19">
            <v>202</v>
          </cell>
          <cell r="EZ19">
            <v>308</v>
          </cell>
          <cell r="FA19">
            <v>274</v>
          </cell>
        </row>
        <row r="22">
          <cell r="FA22">
            <v>7599</v>
          </cell>
        </row>
        <row r="23">
          <cell r="FA23">
            <v>8080</v>
          </cell>
        </row>
        <row r="27">
          <cell r="FA27">
            <v>270</v>
          </cell>
        </row>
        <row r="28">
          <cell r="FA28">
            <v>270</v>
          </cell>
        </row>
        <row r="41">
          <cell r="EL41">
            <v>0</v>
          </cell>
          <cell r="EM41">
            <v>11308</v>
          </cell>
          <cell r="EZ41">
            <v>18312</v>
          </cell>
          <cell r="FA41">
            <v>15679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</sheetData>
      <sheetData sheetId="40">
        <row r="4">
          <cell r="FA4"/>
        </row>
        <row r="5">
          <cell r="FA5"/>
        </row>
        <row r="8">
          <cell r="FA8"/>
        </row>
        <row r="9">
          <cell r="FA9"/>
        </row>
        <row r="19">
          <cell r="EL19">
            <v>14</v>
          </cell>
          <cell r="EM19">
            <v>0</v>
          </cell>
          <cell r="EZ19">
            <v>0</v>
          </cell>
          <cell r="FA19">
            <v>0</v>
          </cell>
        </row>
        <row r="22">
          <cell r="FA22"/>
        </row>
        <row r="23">
          <cell r="FA23"/>
        </row>
        <row r="27">
          <cell r="FA27"/>
        </row>
        <row r="28">
          <cell r="FA28"/>
        </row>
        <row r="41">
          <cell r="EL41">
            <v>1079</v>
          </cell>
          <cell r="EM41">
            <v>0</v>
          </cell>
          <cell r="EZ41">
            <v>0</v>
          </cell>
          <cell r="FA41">
            <v>0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AJ57"/>
        </row>
        <row r="58">
          <cell r="AJ58"/>
        </row>
      </sheetData>
      <sheetData sheetId="41"/>
      <sheetData sheetId="42">
        <row r="4">
          <cell r="FA4">
            <v>1383</v>
          </cell>
        </row>
        <row r="5">
          <cell r="FA5">
            <v>1379</v>
          </cell>
        </row>
        <row r="8">
          <cell r="FA8">
            <v>1</v>
          </cell>
        </row>
        <row r="9">
          <cell r="FA9">
            <v>3</v>
          </cell>
        </row>
        <row r="15">
          <cell r="EZ15">
            <v>103</v>
          </cell>
          <cell r="FA15">
            <v>92</v>
          </cell>
        </row>
        <row r="16">
          <cell r="EZ16">
            <v>102</v>
          </cell>
          <cell r="FA16">
            <v>97</v>
          </cell>
        </row>
        <row r="19">
          <cell r="EL19">
            <v>4125</v>
          </cell>
          <cell r="EM19">
            <v>3562</v>
          </cell>
          <cell r="EZ19">
            <v>3344</v>
          </cell>
          <cell r="FA19">
            <v>2955</v>
          </cell>
        </row>
        <row r="22">
          <cell r="FA22">
            <v>66748</v>
          </cell>
        </row>
        <row r="23">
          <cell r="FA23">
            <v>64871</v>
          </cell>
        </row>
        <row r="27">
          <cell r="FA27">
            <v>2649</v>
          </cell>
        </row>
        <row r="28">
          <cell r="FA28">
            <v>2645</v>
          </cell>
        </row>
        <row r="32">
          <cell r="EZ32">
            <v>5986</v>
          </cell>
          <cell r="FA32">
            <v>5797</v>
          </cell>
        </row>
        <row r="33">
          <cell r="EZ33">
            <v>6062</v>
          </cell>
          <cell r="FA33">
            <v>6157</v>
          </cell>
        </row>
        <row r="37">
          <cell r="EZ37">
            <v>112</v>
          </cell>
          <cell r="FA37">
            <v>136</v>
          </cell>
        </row>
        <row r="38">
          <cell r="EZ38">
            <v>88</v>
          </cell>
          <cell r="FA38">
            <v>145</v>
          </cell>
        </row>
        <row r="41">
          <cell r="EL41">
            <v>216575</v>
          </cell>
          <cell r="EM41">
            <v>198370</v>
          </cell>
          <cell r="EZ41">
            <v>162729</v>
          </cell>
          <cell r="FA41">
            <v>143573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  <row r="70">
          <cell r="FA70">
            <v>21343</v>
          </cell>
        </row>
        <row r="71">
          <cell r="FA71">
            <v>43528</v>
          </cell>
        </row>
        <row r="73">
          <cell r="FA73">
            <v>2026</v>
          </cell>
        </row>
        <row r="74">
          <cell r="FA74">
            <v>4131</v>
          </cell>
        </row>
      </sheetData>
      <sheetData sheetId="43">
        <row r="4">
          <cell r="FA4">
            <v>20</v>
          </cell>
        </row>
        <row r="5">
          <cell r="FA5">
            <v>20</v>
          </cell>
        </row>
        <row r="8">
          <cell r="FA8"/>
        </row>
        <row r="9">
          <cell r="FA9"/>
        </row>
        <row r="19">
          <cell r="EL19">
            <v>0</v>
          </cell>
          <cell r="EM19">
            <v>0</v>
          </cell>
          <cell r="EZ19">
            <v>34</v>
          </cell>
          <cell r="FA19">
            <v>40</v>
          </cell>
        </row>
        <row r="22">
          <cell r="FA22">
            <v>704</v>
          </cell>
        </row>
        <row r="23">
          <cell r="FA23">
            <v>814</v>
          </cell>
        </row>
        <row r="27">
          <cell r="FA27">
            <v>23</v>
          </cell>
        </row>
        <row r="28">
          <cell r="FA28">
            <v>28</v>
          </cell>
        </row>
        <row r="41">
          <cell r="EL41">
            <v>0</v>
          </cell>
          <cell r="EM41">
            <v>0</v>
          </cell>
          <cell r="EZ41">
            <v>1314</v>
          </cell>
          <cell r="FA41">
            <v>1518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BG58"/>
        </row>
      </sheetData>
      <sheetData sheetId="44">
        <row r="4">
          <cell r="FA4">
            <v>121</v>
          </cell>
        </row>
        <row r="5">
          <cell r="FA5">
            <v>121</v>
          </cell>
        </row>
        <row r="8">
          <cell r="FA8"/>
        </row>
        <row r="9">
          <cell r="FA9"/>
        </row>
        <row r="19">
          <cell r="EL19">
            <v>156</v>
          </cell>
          <cell r="EM19">
            <v>202</v>
          </cell>
          <cell r="EZ19">
            <v>270</v>
          </cell>
          <cell r="FA19">
            <v>242</v>
          </cell>
        </row>
        <row r="22">
          <cell r="FA22">
            <v>5368</v>
          </cell>
        </row>
        <row r="23">
          <cell r="FA23">
            <v>5045</v>
          </cell>
        </row>
        <row r="27">
          <cell r="FA27">
            <v>216</v>
          </cell>
        </row>
        <row r="28">
          <cell r="FA28">
            <v>219</v>
          </cell>
        </row>
        <row r="41">
          <cell r="EL41">
            <v>7148</v>
          </cell>
          <cell r="EM41">
            <v>9738</v>
          </cell>
          <cell r="EZ41">
            <v>9578</v>
          </cell>
          <cell r="FA41">
            <v>10413</v>
          </cell>
        </row>
        <row r="47">
          <cell r="FA47"/>
        </row>
        <row r="48">
          <cell r="FA48"/>
        </row>
        <row r="52">
          <cell r="FA52">
            <v>85</v>
          </cell>
        </row>
        <row r="53">
          <cell r="FA53"/>
        </row>
        <row r="57">
          <cell r="FA57"/>
        </row>
        <row r="58">
          <cell r="FA58"/>
        </row>
      </sheetData>
      <sheetData sheetId="45">
        <row r="4">
          <cell r="FA4">
            <v>99</v>
          </cell>
        </row>
        <row r="5">
          <cell r="FA5">
            <v>99</v>
          </cell>
        </row>
        <row r="8">
          <cell r="FA8"/>
        </row>
        <row r="9">
          <cell r="FA9"/>
        </row>
        <row r="19">
          <cell r="EL19">
            <v>0</v>
          </cell>
          <cell r="EM19">
            <v>128</v>
          </cell>
          <cell r="EZ19">
            <v>234</v>
          </cell>
          <cell r="FA19">
            <v>198</v>
          </cell>
        </row>
        <row r="22">
          <cell r="FA22">
            <v>5027</v>
          </cell>
        </row>
        <row r="23">
          <cell r="FA23">
            <v>5472</v>
          </cell>
        </row>
        <row r="27">
          <cell r="FA27">
            <v>230</v>
          </cell>
        </row>
        <row r="28">
          <cell r="FA28">
            <v>194</v>
          </cell>
        </row>
        <row r="41">
          <cell r="EL41">
            <v>0</v>
          </cell>
          <cell r="EM41">
            <v>6656</v>
          </cell>
          <cell r="EZ41">
            <v>13131</v>
          </cell>
          <cell r="FA41">
            <v>10499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</sheetData>
      <sheetData sheetId="46"/>
      <sheetData sheetId="47">
        <row r="4">
          <cell r="FA4">
            <v>2162</v>
          </cell>
        </row>
        <row r="5">
          <cell r="FA5">
            <v>2162</v>
          </cell>
        </row>
        <row r="8">
          <cell r="FA8"/>
        </row>
        <row r="9">
          <cell r="FA9">
            <v>4</v>
          </cell>
        </row>
        <row r="15">
          <cell r="EZ15">
            <v>85</v>
          </cell>
          <cell r="FA15">
            <v>78</v>
          </cell>
        </row>
        <row r="16">
          <cell r="EZ16">
            <v>86</v>
          </cell>
          <cell r="FA16">
            <v>75</v>
          </cell>
        </row>
        <row r="19">
          <cell r="EL19">
            <v>5231</v>
          </cell>
          <cell r="EM19">
            <v>5242</v>
          </cell>
          <cell r="EZ19">
            <v>4715</v>
          </cell>
          <cell r="FA19">
            <v>4481</v>
          </cell>
        </row>
        <row r="22">
          <cell r="FA22">
            <v>95045</v>
          </cell>
        </row>
        <row r="23">
          <cell r="FA23">
            <v>94318</v>
          </cell>
        </row>
        <row r="27">
          <cell r="FA27">
            <v>3983</v>
          </cell>
        </row>
        <row r="28">
          <cell r="FA28">
            <v>4035</v>
          </cell>
        </row>
        <row r="32">
          <cell r="EZ32">
            <v>5070</v>
          </cell>
          <cell r="FA32">
            <v>4680</v>
          </cell>
        </row>
        <row r="33">
          <cell r="EZ33">
            <v>4789</v>
          </cell>
          <cell r="FA33">
            <v>4349</v>
          </cell>
        </row>
        <row r="37">
          <cell r="EZ37">
            <v>36</v>
          </cell>
          <cell r="FA37">
            <v>50</v>
          </cell>
        </row>
        <row r="38">
          <cell r="EZ38">
            <v>41</v>
          </cell>
          <cell r="FA38">
            <v>52</v>
          </cell>
        </row>
        <row r="41">
          <cell r="EL41">
            <v>213188</v>
          </cell>
          <cell r="EM41">
            <v>226213</v>
          </cell>
          <cell r="EZ41">
            <v>204085</v>
          </cell>
          <cell r="FA41">
            <v>198392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  <row r="70">
          <cell r="FA70">
            <v>27352</v>
          </cell>
        </row>
        <row r="71">
          <cell r="FA71">
            <v>66966</v>
          </cell>
        </row>
        <row r="73">
          <cell r="FA73">
            <v>1261</v>
          </cell>
        </row>
        <row r="74">
          <cell r="FA74">
            <v>3088</v>
          </cell>
        </row>
      </sheetData>
      <sheetData sheetId="48">
        <row r="4">
          <cell r="FA4">
            <v>126</v>
          </cell>
        </row>
        <row r="5">
          <cell r="FA5">
            <v>126</v>
          </cell>
        </row>
        <row r="8">
          <cell r="FA8"/>
        </row>
        <row r="9">
          <cell r="FA9"/>
        </row>
        <row r="19">
          <cell r="EL19">
            <v>0</v>
          </cell>
          <cell r="EM19">
            <v>362</v>
          </cell>
          <cell r="EZ19">
            <v>274</v>
          </cell>
          <cell r="FA19">
            <v>252</v>
          </cell>
        </row>
        <row r="22">
          <cell r="FA22">
            <v>8263</v>
          </cell>
        </row>
        <row r="23">
          <cell r="FA23">
            <v>8333</v>
          </cell>
        </row>
        <row r="27">
          <cell r="FA27">
            <v>137</v>
          </cell>
        </row>
        <row r="28">
          <cell r="FA28">
            <v>170</v>
          </cell>
        </row>
        <row r="41">
          <cell r="EL41">
            <v>0</v>
          </cell>
          <cell r="EM41">
            <v>23445</v>
          </cell>
          <cell r="EZ41">
            <v>18583</v>
          </cell>
          <cell r="FA41">
            <v>16596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</sheetData>
      <sheetData sheetId="49">
        <row r="19">
          <cell r="EL19">
            <v>0</v>
          </cell>
          <cell r="EM19">
            <v>0</v>
          </cell>
        </row>
        <row r="41">
          <cell r="EL41">
            <v>0</v>
          </cell>
          <cell r="EM41">
            <v>0</v>
          </cell>
        </row>
      </sheetData>
      <sheetData sheetId="50">
        <row r="4">
          <cell r="FA4">
            <v>2</v>
          </cell>
        </row>
        <row r="5">
          <cell r="FA5">
            <v>2</v>
          </cell>
        </row>
        <row r="8">
          <cell r="FA8"/>
        </row>
        <row r="9">
          <cell r="FA9"/>
        </row>
        <row r="19">
          <cell r="EL19">
            <v>0</v>
          </cell>
          <cell r="EM19">
            <v>0</v>
          </cell>
          <cell r="EZ19">
            <v>0</v>
          </cell>
          <cell r="FA19">
            <v>4</v>
          </cell>
        </row>
        <row r="22">
          <cell r="FA22">
            <v>129</v>
          </cell>
        </row>
        <row r="23">
          <cell r="FA23">
            <v>103</v>
          </cell>
        </row>
        <row r="27">
          <cell r="FA27">
            <v>11</v>
          </cell>
        </row>
        <row r="28">
          <cell r="FA28">
            <v>13</v>
          </cell>
        </row>
        <row r="41">
          <cell r="EL41">
            <v>0</v>
          </cell>
          <cell r="EM41">
            <v>0</v>
          </cell>
          <cell r="EZ41">
            <v>0</v>
          </cell>
          <cell r="FA41">
            <v>232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FA58"/>
        </row>
      </sheetData>
      <sheetData sheetId="51">
        <row r="4">
          <cell r="FA4">
            <v>28</v>
          </cell>
        </row>
        <row r="5">
          <cell r="FA5">
            <v>28</v>
          </cell>
        </row>
        <row r="8">
          <cell r="FA8"/>
        </row>
        <row r="9">
          <cell r="FA9"/>
        </row>
        <row r="19">
          <cell r="EL19">
            <v>0</v>
          </cell>
          <cell r="EM19">
            <v>0</v>
          </cell>
          <cell r="EZ19">
            <v>57</v>
          </cell>
          <cell r="FA19">
            <v>56</v>
          </cell>
        </row>
        <row r="22">
          <cell r="FA22">
            <v>1679</v>
          </cell>
        </row>
        <row r="23">
          <cell r="FA23">
            <v>1728</v>
          </cell>
        </row>
        <row r="27">
          <cell r="FA27">
            <v>113</v>
          </cell>
        </row>
        <row r="28">
          <cell r="FA28">
            <v>108</v>
          </cell>
        </row>
        <row r="41">
          <cell r="EL41">
            <v>0</v>
          </cell>
          <cell r="EM41">
            <v>0</v>
          </cell>
          <cell r="EZ41">
            <v>3510</v>
          </cell>
          <cell r="FA41">
            <v>3407</v>
          </cell>
        </row>
        <row r="47">
          <cell r="FA47">
            <v>918</v>
          </cell>
        </row>
        <row r="48">
          <cell r="FA48">
            <v>4805</v>
          </cell>
        </row>
        <row r="52">
          <cell r="FA52">
            <v>43</v>
          </cell>
        </row>
        <row r="53">
          <cell r="FA53">
            <v>844</v>
          </cell>
        </row>
        <row r="57">
          <cell r="FA57"/>
        </row>
        <row r="58">
          <cell r="FA58"/>
        </row>
      </sheetData>
      <sheetData sheetId="52">
        <row r="4">
          <cell r="FA4">
            <v>3</v>
          </cell>
        </row>
        <row r="5">
          <cell r="FA5">
            <v>3</v>
          </cell>
        </row>
        <row r="8">
          <cell r="FA8"/>
        </row>
        <row r="9">
          <cell r="FA9"/>
        </row>
        <row r="19">
          <cell r="EL19">
            <v>136</v>
          </cell>
          <cell r="EM19">
            <v>138</v>
          </cell>
          <cell r="EZ19">
            <v>138</v>
          </cell>
          <cell r="FA19">
            <v>6</v>
          </cell>
        </row>
        <row r="22">
          <cell r="FA22">
            <v>136</v>
          </cell>
        </row>
        <row r="23">
          <cell r="FA23">
            <v>105</v>
          </cell>
        </row>
        <row r="27">
          <cell r="FA27">
            <v>13</v>
          </cell>
        </row>
        <row r="28">
          <cell r="FA28">
            <v>6</v>
          </cell>
        </row>
        <row r="41">
          <cell r="EL41">
            <v>6152</v>
          </cell>
          <cell r="EM41">
            <v>6170</v>
          </cell>
          <cell r="EZ41">
            <v>7577</v>
          </cell>
          <cell r="FA41">
            <v>241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BH58"/>
        </row>
        <row r="70">
          <cell r="FA70">
            <v>23</v>
          </cell>
        </row>
        <row r="71">
          <cell r="FA71">
            <v>82</v>
          </cell>
        </row>
        <row r="73">
          <cell r="FA73"/>
        </row>
        <row r="74">
          <cell r="FA74"/>
        </row>
      </sheetData>
      <sheetData sheetId="53">
        <row r="4">
          <cell r="FA4"/>
        </row>
        <row r="5">
          <cell r="FA5"/>
        </row>
        <row r="8">
          <cell r="FA8"/>
        </row>
        <row r="9">
          <cell r="FA9"/>
        </row>
        <row r="19">
          <cell r="EL19">
            <v>0</v>
          </cell>
          <cell r="EM19">
            <v>176</v>
          </cell>
          <cell r="EZ19">
            <v>24</v>
          </cell>
          <cell r="FA19">
            <v>0</v>
          </cell>
        </row>
        <row r="22">
          <cell r="FA22"/>
        </row>
        <row r="23">
          <cell r="FA23"/>
        </row>
        <row r="27">
          <cell r="FA27"/>
        </row>
        <row r="28">
          <cell r="FA28"/>
        </row>
        <row r="41">
          <cell r="EL41">
            <v>0</v>
          </cell>
          <cell r="EM41">
            <v>9540</v>
          </cell>
          <cell r="EZ41">
            <v>1273</v>
          </cell>
          <cell r="FA41">
            <v>0</v>
          </cell>
        </row>
        <row r="47">
          <cell r="FA47"/>
        </row>
        <row r="48">
          <cell r="FA48"/>
        </row>
        <row r="52">
          <cell r="FA52"/>
        </row>
        <row r="53">
          <cell r="FA53"/>
        </row>
        <row r="57">
          <cell r="FA57"/>
        </row>
        <row r="58">
          <cell r="BG58"/>
        </row>
      </sheetData>
      <sheetData sheetId="54"/>
      <sheetData sheetId="55"/>
      <sheetData sheetId="56"/>
      <sheetData sheetId="57">
        <row r="4">
          <cell r="FA4"/>
        </row>
        <row r="5">
          <cell r="FA5"/>
        </row>
        <row r="15">
          <cell r="EZ15"/>
          <cell r="FA15"/>
        </row>
        <row r="16">
          <cell r="EZ16"/>
          <cell r="FA16"/>
        </row>
        <row r="22">
          <cell r="FA22"/>
        </row>
        <row r="23">
          <cell r="FA23"/>
        </row>
        <row r="32">
          <cell r="EZ32"/>
          <cell r="FA32"/>
        </row>
        <row r="33">
          <cell r="EZ33"/>
          <cell r="FA33"/>
        </row>
        <row r="37">
          <cell r="EZ37"/>
          <cell r="FA37"/>
        </row>
        <row r="38">
          <cell r="EZ38"/>
          <cell r="FA38"/>
        </row>
      </sheetData>
      <sheetData sheetId="58">
        <row r="4">
          <cell r="FA4"/>
        </row>
        <row r="5">
          <cell r="FA5"/>
        </row>
        <row r="15">
          <cell r="FA15"/>
        </row>
        <row r="16">
          <cell r="FA16"/>
        </row>
        <row r="22">
          <cell r="FA22"/>
        </row>
        <row r="23">
          <cell r="FA23"/>
        </row>
        <row r="32">
          <cell r="FA32"/>
        </row>
        <row r="33">
          <cell r="FA33"/>
        </row>
      </sheetData>
      <sheetData sheetId="59">
        <row r="8">
          <cell r="FA8">
            <v>1</v>
          </cell>
        </row>
        <row r="9">
          <cell r="FA9">
            <v>1</v>
          </cell>
        </row>
        <row r="15">
          <cell r="EZ15"/>
          <cell r="FA15">
            <v>1</v>
          </cell>
        </row>
        <row r="16">
          <cell r="EZ16"/>
          <cell r="FA16">
            <v>1</v>
          </cell>
        </row>
        <row r="32">
          <cell r="EZ32"/>
          <cell r="FA32">
            <v>103</v>
          </cell>
        </row>
        <row r="33">
          <cell r="EZ33"/>
          <cell r="FA33">
            <v>102</v>
          </cell>
        </row>
        <row r="37">
          <cell r="EZ37"/>
          <cell r="FA37"/>
        </row>
        <row r="38">
          <cell r="EZ38"/>
          <cell r="FA38"/>
        </row>
      </sheetData>
      <sheetData sheetId="60"/>
      <sheetData sheetId="61">
        <row r="4">
          <cell r="FA4">
            <v>2</v>
          </cell>
        </row>
        <row r="5">
          <cell r="FA5">
            <v>1</v>
          </cell>
        </row>
        <row r="15">
          <cell r="EZ15"/>
          <cell r="FA15"/>
        </row>
        <row r="16">
          <cell r="EZ16"/>
          <cell r="FA16"/>
        </row>
        <row r="22">
          <cell r="FA22">
            <v>184</v>
          </cell>
        </row>
        <row r="23">
          <cell r="FA23">
            <v>150</v>
          </cell>
        </row>
        <row r="32">
          <cell r="EZ32"/>
          <cell r="FA32"/>
        </row>
        <row r="33">
          <cell r="EZ33"/>
          <cell r="FA33"/>
        </row>
        <row r="37">
          <cell r="EZ37"/>
          <cell r="FA37"/>
        </row>
        <row r="38">
          <cell r="EZ38"/>
          <cell r="FA38"/>
        </row>
      </sheetData>
      <sheetData sheetId="62"/>
      <sheetData sheetId="63">
        <row r="4">
          <cell r="FA4">
            <v>20</v>
          </cell>
        </row>
        <row r="5">
          <cell r="FA5">
            <v>20</v>
          </cell>
        </row>
        <row r="12">
          <cell r="EL12">
            <v>42</v>
          </cell>
          <cell r="EM12">
            <v>42</v>
          </cell>
          <cell r="EZ12">
            <v>44</v>
          </cell>
          <cell r="FA12">
            <v>40</v>
          </cell>
        </row>
        <row r="47">
          <cell r="FA47">
            <v>553191</v>
          </cell>
        </row>
        <row r="48">
          <cell r="FA48"/>
        </row>
        <row r="52">
          <cell r="FA52">
            <v>513901</v>
          </cell>
        </row>
        <row r="53">
          <cell r="FA53"/>
        </row>
        <row r="57">
          <cell r="FA57"/>
        </row>
        <row r="58">
          <cell r="FA58"/>
        </row>
        <row r="64">
          <cell r="EL64">
            <v>1034709</v>
          </cell>
          <cell r="EM64">
            <v>1004065</v>
          </cell>
          <cell r="EZ64">
            <v>1093963</v>
          </cell>
          <cell r="FA64">
            <v>1067092</v>
          </cell>
        </row>
      </sheetData>
      <sheetData sheetId="64">
        <row r="4">
          <cell r="FA4">
            <v>32</v>
          </cell>
        </row>
        <row r="5">
          <cell r="FA5">
            <v>32</v>
          </cell>
        </row>
        <row r="12">
          <cell r="EL12">
            <v>60</v>
          </cell>
          <cell r="EM12">
            <v>60</v>
          </cell>
          <cell r="EZ12">
            <v>62</v>
          </cell>
          <cell r="FA12">
            <v>64</v>
          </cell>
        </row>
        <row r="15">
          <cell r="FA15"/>
        </row>
        <row r="47">
          <cell r="FA47">
            <v>42868</v>
          </cell>
        </row>
        <row r="48">
          <cell r="FA48"/>
        </row>
        <row r="52">
          <cell r="FA52">
            <v>39944</v>
          </cell>
        </row>
        <row r="53">
          <cell r="FA53"/>
        </row>
        <row r="57">
          <cell r="FA57"/>
        </row>
        <row r="58">
          <cell r="FA58"/>
        </row>
        <row r="64">
          <cell r="EL64">
            <v>70629</v>
          </cell>
          <cell r="EM64">
            <v>72774</v>
          </cell>
          <cell r="EZ64">
            <v>79728</v>
          </cell>
          <cell r="FA64">
            <v>82812</v>
          </cell>
        </row>
      </sheetData>
      <sheetData sheetId="65">
        <row r="12">
          <cell r="EL12">
            <v>0</v>
          </cell>
          <cell r="EM12">
            <v>0</v>
          </cell>
          <cell r="EZ12">
            <v>0</v>
          </cell>
          <cell r="FA12">
            <v>0</v>
          </cell>
        </row>
        <row r="15">
          <cell r="FA15">
            <v>20</v>
          </cell>
        </row>
        <row r="16">
          <cell r="FA16">
            <v>20</v>
          </cell>
        </row>
        <row r="47">
          <cell r="FA47">
            <v>20591</v>
          </cell>
        </row>
        <row r="48">
          <cell r="FA48"/>
        </row>
        <row r="52">
          <cell r="FA52">
            <v>63445</v>
          </cell>
        </row>
        <row r="53">
          <cell r="FA53"/>
        </row>
        <row r="57">
          <cell r="FA57"/>
        </row>
        <row r="58">
          <cell r="FA58"/>
        </row>
        <row r="64">
          <cell r="EL64">
            <v>82875</v>
          </cell>
          <cell r="EM64">
            <v>77642</v>
          </cell>
          <cell r="EZ64">
            <v>91167</v>
          </cell>
          <cell r="FA64">
            <v>84036</v>
          </cell>
        </row>
      </sheetData>
      <sheetData sheetId="66">
        <row r="4">
          <cell r="FA4">
            <v>84</v>
          </cell>
        </row>
        <row r="5">
          <cell r="FA5">
            <v>84</v>
          </cell>
        </row>
        <row r="12">
          <cell r="EL12">
            <v>168</v>
          </cell>
          <cell r="EM12">
            <v>158</v>
          </cell>
          <cell r="EZ12">
            <v>176</v>
          </cell>
          <cell r="FA12">
            <v>168</v>
          </cell>
        </row>
        <row r="15">
          <cell r="FA15"/>
        </row>
        <row r="47">
          <cell r="FA47">
            <v>7771008</v>
          </cell>
        </row>
        <row r="48">
          <cell r="FA48"/>
        </row>
        <row r="52">
          <cell r="FA52">
            <v>7657524</v>
          </cell>
        </row>
        <row r="53">
          <cell r="FA53"/>
        </row>
        <row r="57">
          <cell r="FA57"/>
        </row>
        <row r="58">
          <cell r="FA58"/>
        </row>
        <row r="64">
          <cell r="EL64">
            <v>13508046</v>
          </cell>
          <cell r="EM64">
            <v>13691560</v>
          </cell>
          <cell r="EZ64">
            <v>16128912</v>
          </cell>
          <cell r="FA64">
            <v>15428532</v>
          </cell>
        </row>
      </sheetData>
      <sheetData sheetId="67">
        <row r="4">
          <cell r="FA4">
            <v>83</v>
          </cell>
        </row>
        <row r="5">
          <cell r="FA5">
            <v>83</v>
          </cell>
        </row>
        <row r="12">
          <cell r="EL12">
            <v>166</v>
          </cell>
          <cell r="EM12">
            <v>158</v>
          </cell>
          <cell r="EZ12">
            <v>182</v>
          </cell>
          <cell r="FA12">
            <v>166</v>
          </cell>
        </row>
        <row r="15">
          <cell r="FA15">
            <v>15</v>
          </cell>
        </row>
        <row r="16">
          <cell r="FA16">
            <v>15</v>
          </cell>
        </row>
        <row r="47">
          <cell r="FA47">
            <v>4541939</v>
          </cell>
        </row>
        <row r="48">
          <cell r="FA48">
            <v>698</v>
          </cell>
        </row>
        <row r="52">
          <cell r="FA52">
            <v>4073323</v>
          </cell>
        </row>
        <row r="53">
          <cell r="FA53">
            <v>525145</v>
          </cell>
        </row>
        <row r="57">
          <cell r="FA57"/>
        </row>
        <row r="58">
          <cell r="FA58"/>
        </row>
        <row r="64">
          <cell r="EL64">
            <v>4632931</v>
          </cell>
          <cell r="EM64">
            <v>8376226</v>
          </cell>
          <cell r="EZ64">
            <v>8668992</v>
          </cell>
          <cell r="FA64">
            <v>9141105</v>
          </cell>
        </row>
      </sheetData>
      <sheetData sheetId="68"/>
      <sheetData sheetId="69"/>
      <sheetData sheetId="70"/>
      <sheetData sheetId="71">
        <row r="4">
          <cell r="FA4">
            <v>246</v>
          </cell>
        </row>
        <row r="5">
          <cell r="FA5">
            <v>246</v>
          </cell>
        </row>
        <row r="12">
          <cell r="EL12">
            <v>456</v>
          </cell>
          <cell r="EM12">
            <v>438</v>
          </cell>
          <cell r="EZ12">
            <v>540</v>
          </cell>
          <cell r="FA12">
            <v>492</v>
          </cell>
        </row>
      </sheetData>
      <sheetData sheetId="72">
        <row r="4">
          <cell r="FA4">
            <v>21</v>
          </cell>
        </row>
        <row r="5">
          <cell r="FA5">
            <v>21</v>
          </cell>
        </row>
        <row r="12">
          <cell r="EL12">
            <v>42</v>
          </cell>
          <cell r="EM12">
            <v>40</v>
          </cell>
          <cell r="EZ12">
            <v>40</v>
          </cell>
          <cell r="FA12">
            <v>42</v>
          </cell>
        </row>
        <row r="47">
          <cell r="FA47">
            <v>28493</v>
          </cell>
        </row>
        <row r="48">
          <cell r="FA48"/>
        </row>
        <row r="52">
          <cell r="FA52">
            <v>31442</v>
          </cell>
        </row>
        <row r="53">
          <cell r="FA53"/>
        </row>
        <row r="57">
          <cell r="FA57"/>
        </row>
        <row r="58">
          <cell r="FA58"/>
        </row>
        <row r="64">
          <cell r="EL64">
            <v>56525</v>
          </cell>
          <cell r="EM64">
            <v>55962</v>
          </cell>
          <cell r="EZ64">
            <v>60838</v>
          </cell>
          <cell r="FA64">
            <v>59935</v>
          </cell>
        </row>
      </sheetData>
      <sheetData sheetId="73">
        <row r="4">
          <cell r="FA4">
            <v>17</v>
          </cell>
        </row>
        <row r="5">
          <cell r="FA5">
            <v>17</v>
          </cell>
        </row>
        <row r="12">
          <cell r="EL12">
            <v>42</v>
          </cell>
          <cell r="EM12">
            <v>38</v>
          </cell>
          <cell r="EZ12">
            <v>40</v>
          </cell>
          <cell r="FA12">
            <v>34</v>
          </cell>
        </row>
        <row r="47">
          <cell r="FA47">
            <v>32672</v>
          </cell>
        </row>
        <row r="48">
          <cell r="FA48"/>
        </row>
        <row r="52">
          <cell r="FA52">
            <v>110714</v>
          </cell>
        </row>
        <row r="53">
          <cell r="FA53"/>
        </row>
        <row r="57">
          <cell r="FA57"/>
        </row>
        <row r="58">
          <cell r="FA58"/>
        </row>
        <row r="64">
          <cell r="EL64">
            <v>153663</v>
          </cell>
          <cell r="EM64">
            <v>138958</v>
          </cell>
          <cell r="EZ64">
            <v>158796</v>
          </cell>
          <cell r="FA64">
            <v>143386</v>
          </cell>
        </row>
      </sheetData>
      <sheetData sheetId="74">
        <row r="4">
          <cell r="FA4">
            <v>20</v>
          </cell>
        </row>
        <row r="5">
          <cell r="FA5">
            <v>20</v>
          </cell>
        </row>
        <row r="8">
          <cell r="FA8"/>
        </row>
        <row r="9">
          <cell r="FA9"/>
        </row>
        <row r="12">
          <cell r="EL12">
            <v>40</v>
          </cell>
          <cell r="EM12">
            <v>42</v>
          </cell>
          <cell r="EZ12">
            <v>43</v>
          </cell>
          <cell r="FA12">
            <v>40</v>
          </cell>
        </row>
        <row r="47">
          <cell r="FA47">
            <v>50324</v>
          </cell>
        </row>
        <row r="48">
          <cell r="FA48"/>
        </row>
        <row r="52">
          <cell r="FA52">
            <v>36129</v>
          </cell>
        </row>
        <row r="53">
          <cell r="FA53"/>
        </row>
        <row r="57">
          <cell r="FA57"/>
        </row>
        <row r="58">
          <cell r="FA58"/>
        </row>
        <row r="64">
          <cell r="EL64">
            <v>65087</v>
          </cell>
          <cell r="EM64">
            <v>64716</v>
          </cell>
          <cell r="EZ64">
            <v>49029</v>
          </cell>
          <cell r="FA64">
            <v>86453</v>
          </cell>
        </row>
      </sheetData>
      <sheetData sheetId="75">
        <row r="4">
          <cell r="FA4">
            <v>19</v>
          </cell>
        </row>
        <row r="5">
          <cell r="FA5">
            <v>20</v>
          </cell>
        </row>
      </sheetData>
      <sheetData sheetId="76">
        <row r="4">
          <cell r="FA4">
            <v>847</v>
          </cell>
        </row>
        <row r="5">
          <cell r="FA5">
            <v>848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268275</v>
          </cell>
          <cell r="I21">
            <v>2429109</v>
          </cell>
          <cell r="N21">
            <v>2697384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A3" sqref="A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4">
        <v>42767</v>
      </c>
      <c r="B2" s="17"/>
      <c r="C2" s="17"/>
      <c r="D2" s="522" t="s">
        <v>200</v>
      </c>
      <c r="E2" s="522" t="s">
        <v>174</v>
      </c>
      <c r="F2" s="8"/>
      <c r="G2" s="8"/>
      <c r="H2" s="8"/>
      <c r="I2" s="8"/>
      <c r="J2" s="23"/>
    </row>
    <row r="3" spans="1:14" ht="13.5" thickBot="1" x14ac:dyDescent="0.25">
      <c r="A3" s="390"/>
      <c r="B3" s="8" t="s">
        <v>0</v>
      </c>
      <c r="C3" s="8" t="s">
        <v>1</v>
      </c>
      <c r="D3" s="523"/>
      <c r="E3" s="524"/>
      <c r="F3" s="8" t="s">
        <v>2</v>
      </c>
      <c r="G3" s="8" t="s">
        <v>201</v>
      </c>
      <c r="H3" s="8" t="s">
        <v>175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Stats'!I4</f>
        <v>980895</v>
      </c>
      <c r="C5" s="296">
        <f>'Major Airline Stats'!I5</f>
        <v>996970</v>
      </c>
      <c r="D5" s="5">
        <f>'Major Airline Stats'!I6</f>
        <v>1977865</v>
      </c>
      <c r="E5" s="9">
        <f>'[1]Monthly Summary'!D5</f>
        <v>1955373</v>
      </c>
      <c r="F5" s="39">
        <f>(D5-E5)/E5</f>
        <v>1.1502664708983912E-2</v>
      </c>
      <c r="G5" s="9">
        <f>+D5+'[2]Monthly Summary'!G5</f>
        <v>3987968</v>
      </c>
      <c r="H5" s="9">
        <f>'[1]Monthly Summary'!G5</f>
        <v>3926247</v>
      </c>
      <c r="I5" s="85">
        <f>(G5-H5)/H5</f>
        <v>1.5720101155123456E-2</v>
      </c>
      <c r="J5" s="9"/>
    </row>
    <row r="6" spans="1:14" x14ac:dyDescent="0.2">
      <c r="A6" s="67" t="s">
        <v>5</v>
      </c>
      <c r="B6" s="294">
        <f>'Regional Major'!M5</f>
        <v>272168</v>
      </c>
      <c r="C6" s="294">
        <f>'Regional Major'!M6</f>
        <v>272291</v>
      </c>
      <c r="D6" s="5">
        <f>B6+C6</f>
        <v>544459</v>
      </c>
      <c r="E6" s="9">
        <f>'[1]Monthly Summary'!D6</f>
        <v>598775</v>
      </c>
      <c r="F6" s="39">
        <f>(D6-E6)/E6</f>
        <v>-9.0711870068055617E-2</v>
      </c>
      <c r="G6" s="9">
        <f>+D6+'[2]Monthly Summary'!G6</f>
        <v>1133999</v>
      </c>
      <c r="H6" s="9">
        <f>'[1]Monthly Summary'!G6</f>
        <v>1237475</v>
      </c>
      <c r="I6" s="85">
        <f>(G6-H6)/H6</f>
        <v>-8.3618658962807332E-2</v>
      </c>
      <c r="J6" s="20"/>
      <c r="K6" s="2"/>
    </row>
    <row r="7" spans="1:14" x14ac:dyDescent="0.2">
      <c r="A7" s="67" t="s">
        <v>6</v>
      </c>
      <c r="B7" s="9">
        <f>Charter!G5</f>
        <v>287</v>
      </c>
      <c r="C7" s="295">
        <f>Charter!G6</f>
        <v>252</v>
      </c>
      <c r="D7" s="5">
        <f>B7+C7</f>
        <v>539</v>
      </c>
      <c r="E7" s="9">
        <f>'[1]Monthly Summary'!D7</f>
        <v>142</v>
      </c>
      <c r="F7" s="39">
        <f>(D7-E7)/E7</f>
        <v>2.795774647887324</v>
      </c>
      <c r="G7" s="9">
        <f>+D7+'[2]Monthly Summary'!G7</f>
        <v>686</v>
      </c>
      <c r="H7" s="9">
        <f>'[1]Monthly Summary'!G7</f>
        <v>480</v>
      </c>
      <c r="I7" s="85">
        <f>(G7-H7)/H7</f>
        <v>0.42916666666666664</v>
      </c>
      <c r="J7" s="20"/>
      <c r="K7" s="2"/>
    </row>
    <row r="8" spans="1:14" x14ac:dyDescent="0.2">
      <c r="A8" s="70" t="s">
        <v>7</v>
      </c>
      <c r="B8" s="148">
        <f>SUM(B5:B7)</f>
        <v>1253350</v>
      </c>
      <c r="C8" s="148">
        <f>SUM(C5:C7)</f>
        <v>1269513</v>
      </c>
      <c r="D8" s="148">
        <f>SUM(D5:D7)</f>
        <v>2522863</v>
      </c>
      <c r="E8" s="148">
        <f>SUM(E5:E7)</f>
        <v>2554290</v>
      </c>
      <c r="F8" s="92">
        <f>(D8-E8)/E8</f>
        <v>-1.2303614703107322E-2</v>
      </c>
      <c r="G8" s="148">
        <f>SUM(G5:G7)</f>
        <v>5122653</v>
      </c>
      <c r="H8" s="148">
        <f>SUM(H5:H7)</f>
        <v>5164202</v>
      </c>
      <c r="I8" s="91">
        <f>(G8-H8)/H8</f>
        <v>-8.0455799366484886E-3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Stats'!I9+'Regional Major'!M10</f>
        <v>43767</v>
      </c>
      <c r="C10" s="297">
        <f>'Major Airline Stats'!I10+'Regional Major'!M11</f>
        <v>43792</v>
      </c>
      <c r="D10" s="120">
        <f>SUM(B10:C10)</f>
        <v>87559</v>
      </c>
      <c r="E10" s="120">
        <f>'[1]Monthly Summary'!D10</f>
        <v>87537</v>
      </c>
      <c r="F10" s="93">
        <f>(D10-E10)/E10</f>
        <v>2.5132229799970299E-4</v>
      </c>
      <c r="G10" s="9">
        <f>+D10+'[2]Monthly Summary'!G10</f>
        <v>180195</v>
      </c>
      <c r="H10" s="120">
        <f>'[1]Monthly Summary'!G10</f>
        <v>175009</v>
      </c>
      <c r="I10" s="96">
        <f>(G10-H10)/H10</f>
        <v>2.9632761743681752E-2</v>
      </c>
      <c r="J10" s="264"/>
    </row>
    <row r="11" spans="1:14" ht="15.75" thickBot="1" x14ac:dyDescent="0.3">
      <c r="A11" s="69" t="s">
        <v>13</v>
      </c>
      <c r="B11" s="273">
        <f>B10+B8</f>
        <v>1297117</v>
      </c>
      <c r="C11" s="273">
        <f>C10+C8</f>
        <v>1313305</v>
      </c>
      <c r="D11" s="273">
        <f>D10+D8</f>
        <v>2610422</v>
      </c>
      <c r="E11" s="273">
        <f>E10+E8</f>
        <v>2641827</v>
      </c>
      <c r="F11" s="94">
        <f>(D11-E11)/E11</f>
        <v>-1.1887606569241664E-2</v>
      </c>
      <c r="G11" s="273">
        <f>G8+G10</f>
        <v>5302848</v>
      </c>
      <c r="H11" s="273">
        <f>H8+H10</f>
        <v>5339211</v>
      </c>
      <c r="I11" s="97">
        <f>(G11-H11)/H11</f>
        <v>-6.8105568407017441E-3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22" t="s">
        <v>200</v>
      </c>
      <c r="E13" s="522" t="s">
        <v>174</v>
      </c>
      <c r="F13" s="466"/>
      <c r="G13" s="466"/>
      <c r="H13" s="466"/>
      <c r="I13" s="466"/>
    </row>
    <row r="14" spans="1:14" ht="13.5" thickBot="1" x14ac:dyDescent="0.25">
      <c r="A14" s="16"/>
      <c r="B14" s="466" t="s">
        <v>227</v>
      </c>
      <c r="C14" s="466" t="s">
        <v>228</v>
      </c>
      <c r="D14" s="523"/>
      <c r="E14" s="524"/>
      <c r="F14" s="466" t="s">
        <v>2</v>
      </c>
      <c r="G14" s="466" t="s">
        <v>201</v>
      </c>
      <c r="H14" s="466" t="s">
        <v>175</v>
      </c>
      <c r="I14" s="466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Stats'!I15+'Major Airline Stats'!I19</f>
        <v>7986</v>
      </c>
      <c r="C16" s="305">
        <f>'Major Airline Stats'!I16+'Major Airline Stats'!I20</f>
        <v>7986</v>
      </c>
      <c r="D16" s="47">
        <f t="shared" ref="D16:D21" si="0">SUM(B16:C16)</f>
        <v>15972</v>
      </c>
      <c r="E16" s="9">
        <f>'[1]Monthly Summary'!D16</f>
        <v>15321</v>
      </c>
      <c r="F16" s="95">
        <f t="shared" ref="F16:F22" si="1">(D16-E16)/E16</f>
        <v>4.2490699040532605E-2</v>
      </c>
      <c r="G16" s="9">
        <f>+D16+'[2]Monthly Summary'!G16</f>
        <v>32891</v>
      </c>
      <c r="H16" s="9">
        <f>'[1]Monthly Summary'!G16</f>
        <v>31050</v>
      </c>
      <c r="I16" s="262">
        <f t="shared" ref="I16:I22" si="2">(G16-H16)/H16</f>
        <v>5.92914653784219E-2</v>
      </c>
      <c r="N16" s="130"/>
    </row>
    <row r="17" spans="1:12" x14ac:dyDescent="0.2">
      <c r="A17" s="68" t="s">
        <v>5</v>
      </c>
      <c r="B17" s="47">
        <f>'Regional Major'!M15+'Regional Major'!M18</f>
        <v>5609</v>
      </c>
      <c r="C17" s="47">
        <f>'Regional Major'!M16+'Regional Major'!M19</f>
        <v>5609</v>
      </c>
      <c r="D17" s="47">
        <f>SUM(B17:C17)</f>
        <v>11218</v>
      </c>
      <c r="E17" s="9">
        <f>'[1]Monthly Summary'!D17</f>
        <v>12057</v>
      </c>
      <c r="F17" s="95">
        <f t="shared" si="1"/>
        <v>-6.9586132537115375E-2</v>
      </c>
      <c r="G17" s="9">
        <f>+D17+'[2]Monthly Summary'!G17</f>
        <v>23460</v>
      </c>
      <c r="H17" s="9">
        <f>'[1]Monthly Summary'!G17</f>
        <v>25275</v>
      </c>
      <c r="I17" s="262">
        <f t="shared" si="2"/>
        <v>-7.1810089020771517E-2</v>
      </c>
    </row>
    <row r="18" spans="1:12" x14ac:dyDescent="0.2">
      <c r="A18" s="68" t="s">
        <v>10</v>
      </c>
      <c r="B18" s="47">
        <f>Charter!G10</f>
        <v>4</v>
      </c>
      <c r="C18" s="47">
        <f>Charter!G11</f>
        <v>3</v>
      </c>
      <c r="D18" s="47">
        <f t="shared" si="0"/>
        <v>7</v>
      </c>
      <c r="E18" s="9">
        <f>'[1]Monthly Summary'!D18</f>
        <v>2</v>
      </c>
      <c r="F18" s="95">
        <f t="shared" si="1"/>
        <v>2.5</v>
      </c>
      <c r="G18" s="9">
        <f>+D18+'[2]Monthly Summary'!G18</f>
        <v>9</v>
      </c>
      <c r="H18" s="9">
        <f>'[1]Monthly Summary'!G18</f>
        <v>6</v>
      </c>
      <c r="I18" s="262">
        <f t="shared" si="2"/>
        <v>0.5</v>
      </c>
    </row>
    <row r="19" spans="1:12" x14ac:dyDescent="0.2">
      <c r="A19" s="68" t="s">
        <v>11</v>
      </c>
      <c r="B19" s="47">
        <f>Cargo!M4</f>
        <v>558</v>
      </c>
      <c r="C19" s="47">
        <f>Cargo!M5</f>
        <v>558</v>
      </c>
      <c r="D19" s="47">
        <f t="shared" si="0"/>
        <v>1116</v>
      </c>
      <c r="E19" s="9">
        <f>'[1]Monthly Summary'!D19</f>
        <v>1048</v>
      </c>
      <c r="F19" s="95">
        <f t="shared" si="1"/>
        <v>6.4885496183206104E-2</v>
      </c>
      <c r="G19" s="9">
        <f>+D19+'[2]Monthly Summary'!G19</f>
        <v>2314</v>
      </c>
      <c r="H19" s="9">
        <f>'[1]Monthly Summary'!G19</f>
        <v>2134</v>
      </c>
      <c r="I19" s="262">
        <f t="shared" si="2"/>
        <v>8.4348641049671977E-2</v>
      </c>
    </row>
    <row r="20" spans="1:12" x14ac:dyDescent="0.2">
      <c r="A20" s="68" t="s">
        <v>154</v>
      </c>
      <c r="B20" s="47">
        <f>'[3]General Avation'!$FA$4</f>
        <v>847</v>
      </c>
      <c r="C20" s="47">
        <f>'[3]General Avation'!$FA$5</f>
        <v>848</v>
      </c>
      <c r="D20" s="47">
        <f t="shared" si="0"/>
        <v>1695</v>
      </c>
      <c r="E20" s="9">
        <f>'[1]Monthly Summary'!D20</f>
        <v>1589</v>
      </c>
      <c r="F20" s="95">
        <f t="shared" si="1"/>
        <v>6.6708621774701077E-2</v>
      </c>
      <c r="G20" s="9">
        <f>+D20+'[2]Monthly Summary'!G20</f>
        <v>3320</v>
      </c>
      <c r="H20" s="9">
        <f>'[1]Monthly Summary'!G20</f>
        <v>3139</v>
      </c>
      <c r="I20" s="262">
        <f t="shared" si="2"/>
        <v>5.7661675692895827E-2</v>
      </c>
    </row>
    <row r="21" spans="1:12" ht="12.75" customHeight="1" x14ac:dyDescent="0.2">
      <c r="A21" s="68" t="s">
        <v>12</v>
      </c>
      <c r="B21" s="18">
        <f>'[3]Military '!$FA$4</f>
        <v>19</v>
      </c>
      <c r="C21" s="18">
        <f>'[3]Military '!$FA$5</f>
        <v>20</v>
      </c>
      <c r="D21" s="18">
        <f t="shared" si="0"/>
        <v>39</v>
      </c>
      <c r="E21" s="120">
        <f>'[1]Monthly Summary'!D21</f>
        <v>74</v>
      </c>
      <c r="F21" s="260">
        <f t="shared" si="1"/>
        <v>-0.47297297297297297</v>
      </c>
      <c r="G21" s="9">
        <f>+D21+'[2]Monthly Summary'!G21</f>
        <v>87</v>
      </c>
      <c r="H21" s="120">
        <f>'[1]Monthly Summary'!G21</f>
        <v>172</v>
      </c>
      <c r="I21" s="263">
        <f t="shared" si="2"/>
        <v>-0.4941860465116279</v>
      </c>
    </row>
    <row r="22" spans="1:12" ht="15.75" thickBot="1" x14ac:dyDescent="0.3">
      <c r="A22" s="69" t="s">
        <v>28</v>
      </c>
      <c r="B22" s="274">
        <f>SUM(B16:B21)</f>
        <v>15023</v>
      </c>
      <c r="C22" s="274">
        <f>SUM(C16:C21)</f>
        <v>15024</v>
      </c>
      <c r="D22" s="274">
        <f>SUM(D16:D21)</f>
        <v>30047</v>
      </c>
      <c r="E22" s="274">
        <f>SUM(E16:E21)</f>
        <v>30091</v>
      </c>
      <c r="F22" s="270">
        <f t="shared" si="1"/>
        <v>-1.4622312319298128E-3</v>
      </c>
      <c r="G22" s="274">
        <f>SUM(G16:G21)</f>
        <v>62081</v>
      </c>
      <c r="H22" s="274">
        <f>SUM(H16:H21)</f>
        <v>61776</v>
      </c>
      <c r="I22" s="271">
        <f t="shared" si="2"/>
        <v>4.9371924371924376E-3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22" t="s">
        <v>200</v>
      </c>
      <c r="E24" s="522" t="s">
        <v>174</v>
      </c>
      <c r="F24" s="466"/>
      <c r="G24" s="466"/>
      <c r="H24" s="466"/>
      <c r="I24" s="466"/>
    </row>
    <row r="25" spans="1:12" ht="13.5" thickBot="1" x14ac:dyDescent="0.25">
      <c r="B25" s="466" t="s">
        <v>0</v>
      </c>
      <c r="C25" s="466" t="s">
        <v>1</v>
      </c>
      <c r="D25" s="523"/>
      <c r="E25" s="524"/>
      <c r="F25" s="466" t="s">
        <v>2</v>
      </c>
      <c r="G25" s="466" t="s">
        <v>201</v>
      </c>
      <c r="H25" s="466" t="s">
        <v>175</v>
      </c>
      <c r="I25" s="466" t="s">
        <v>2</v>
      </c>
    </row>
    <row r="26" spans="1:12" ht="15" x14ac:dyDescent="0.25">
      <c r="A26" s="65" t="s">
        <v>130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(Cargo!M16+'Major Airline Stats'!I28+'Regional Major'!M25)*0.00045359237</f>
        <v>7867.3070066999098</v>
      </c>
      <c r="C27" s="22">
        <f>(Cargo!M21+'Major Airline Stats'!I33+'Regional Major'!M30)*0.00045359237</f>
        <v>6905.85583633022</v>
      </c>
      <c r="D27" s="22">
        <f>(SUM(B27:C27)+('Cargo Summary'!E17*0.00045359237))</f>
        <v>14773.16284303013</v>
      </c>
      <c r="E27" s="9">
        <f>'[1]Monthly Summary'!D27</f>
        <v>13900.968672044299</v>
      </c>
      <c r="F27" s="98">
        <f>(D27-E27)/E27</f>
        <v>6.2743409582662182E-2</v>
      </c>
      <c r="G27" s="9">
        <f>+D27+'[2]Monthly Summary'!G27</f>
        <v>29967.42995615138</v>
      </c>
      <c r="H27" s="9">
        <f>'[1]Monthly Summary'!G27</f>
        <v>25884.676331654908</v>
      </c>
      <c r="I27" s="100">
        <f>(G27-H27)/H27</f>
        <v>0.1577285947942717</v>
      </c>
    </row>
    <row r="28" spans="1:12" x14ac:dyDescent="0.2">
      <c r="A28" s="62" t="s">
        <v>16</v>
      </c>
      <c r="B28" s="22">
        <f>(Cargo!M17+'Major Airline Stats'!I29+'Regional Major'!M26)*0.00045359237</f>
        <v>710.82414943462993</v>
      </c>
      <c r="C28" s="22">
        <f>(Cargo!M22+'Major Airline Stats'!I34+'Regional Major'!M31)*0.00045359237</f>
        <v>1106.5884817757001</v>
      </c>
      <c r="D28" s="22">
        <f>SUM(B28:C28)</f>
        <v>1817.4126312103299</v>
      </c>
      <c r="E28" s="9">
        <f>'[1]Monthly Summary'!D28</f>
        <v>955.66287813611996</v>
      </c>
      <c r="F28" s="98">
        <f>(D28-E28)/E28</f>
        <v>0.90172985975444209</v>
      </c>
      <c r="G28" s="9">
        <f>+D28+'[2]Monthly Summary'!G28</f>
        <v>3210.8025790209599</v>
      </c>
      <c r="H28" s="9">
        <f>'[1]Monthly Summary'!G28</f>
        <v>2092.18800273945</v>
      </c>
      <c r="I28" s="100">
        <f>(G28-H28)/H28</f>
        <v>0.53466255174813571</v>
      </c>
    </row>
    <row r="29" spans="1:12" ht="15.75" thickBot="1" x14ac:dyDescent="0.3">
      <c r="A29" s="63" t="s">
        <v>63</v>
      </c>
      <c r="B29" s="54">
        <f>SUM(B27:B28)</f>
        <v>8578.1311561345392</v>
      </c>
      <c r="C29" s="54">
        <f>SUM(C27:C28)</f>
        <v>8012.4443181059196</v>
      </c>
      <c r="D29" s="54">
        <f>SUM(D27:D28)</f>
        <v>16590.575474240461</v>
      </c>
      <c r="E29" s="54">
        <f>SUM(E27:E28)</f>
        <v>14856.631550180418</v>
      </c>
      <c r="F29" s="99">
        <f>(D29-E29)/E29</f>
        <v>0.11671178074272059</v>
      </c>
      <c r="G29" s="54">
        <f>SUM(G27:G28)</f>
        <v>33178.232535172341</v>
      </c>
      <c r="H29" s="54">
        <f>SUM(H27:H28)</f>
        <v>27976.864334394359</v>
      </c>
      <c r="I29" s="101">
        <f>(G29-H29)/H29</f>
        <v>0.18591676817703601</v>
      </c>
    </row>
    <row r="30" spans="1:12" s="7" customFormat="1" ht="4.5" customHeight="1" thickBot="1" x14ac:dyDescent="0.3">
      <c r="A30" s="59"/>
      <c r="B30" s="392"/>
      <c r="C30" s="392"/>
      <c r="D30" s="392"/>
      <c r="E30" s="392"/>
      <c r="F30" s="275"/>
      <c r="G30" s="392"/>
      <c r="H30" s="392"/>
      <c r="I30" s="275"/>
    </row>
    <row r="31" spans="1:12" ht="13.5" thickBot="1" x14ac:dyDescent="0.25">
      <c r="B31" s="521" t="s">
        <v>150</v>
      </c>
      <c r="C31" s="520"/>
      <c r="D31" s="521" t="s">
        <v>157</v>
      </c>
      <c r="E31" s="520"/>
      <c r="F31" s="415"/>
      <c r="G31" s="416"/>
      <c r="H31" s="414"/>
      <c r="I31" s="414"/>
    </row>
    <row r="32" spans="1:12" x14ac:dyDescent="0.2">
      <c r="A32" s="396" t="s">
        <v>151</v>
      </c>
      <c r="B32" s="397">
        <f>C8-B33</f>
        <v>816089</v>
      </c>
      <c r="C32" s="398">
        <f>B32/C8</f>
        <v>0.64283626871091515</v>
      </c>
      <c r="D32" s="399">
        <f>+B32+'[2]Monthly Summary'!D32</f>
        <v>1645414</v>
      </c>
      <c r="E32" s="400">
        <f>+D32/D34</f>
        <v>0.63778900658637327</v>
      </c>
      <c r="G32" s="423"/>
      <c r="H32" s="414"/>
      <c r="I32" s="413"/>
    </row>
    <row r="33" spans="1:14" ht="13.5" thickBot="1" x14ac:dyDescent="0.25">
      <c r="A33" s="401" t="s">
        <v>152</v>
      </c>
      <c r="B33" s="402">
        <f>'Major Airline Stats'!I51+'Regional Major'!M45</f>
        <v>453424</v>
      </c>
      <c r="C33" s="403">
        <f>+B33/C8</f>
        <v>0.35716373128908485</v>
      </c>
      <c r="D33" s="404">
        <f>+B33+'[2]Monthly Summary'!D33</f>
        <v>934458</v>
      </c>
      <c r="E33" s="405">
        <f>+D33/D34</f>
        <v>0.36221099341362673</v>
      </c>
      <c r="G33" s="414"/>
      <c r="H33" s="414"/>
      <c r="I33" s="413"/>
    </row>
    <row r="34" spans="1:14" ht="13.5" thickBot="1" x14ac:dyDescent="0.25">
      <c r="B34" s="309"/>
      <c r="D34" s="406">
        <f>SUM(D32:D33)</f>
        <v>2579872</v>
      </c>
    </row>
    <row r="35" spans="1:14" ht="13.5" thickBot="1" x14ac:dyDescent="0.25">
      <c r="B35" s="519" t="s">
        <v>224</v>
      </c>
      <c r="C35" s="520"/>
      <c r="D35" s="521" t="s">
        <v>202</v>
      </c>
      <c r="E35" s="520"/>
    </row>
    <row r="36" spans="1:14" x14ac:dyDescent="0.2">
      <c r="A36" s="396" t="s">
        <v>151</v>
      </c>
      <c r="B36" s="397">
        <f>'[1]Monthly Summary'!$B$32</f>
        <v>789689</v>
      </c>
      <c r="C36" s="398">
        <f>+B36/B38</f>
        <v>0.61574095011157881</v>
      </c>
      <c r="D36" s="399">
        <f>'[1]Monthly Summary'!$D$32</f>
        <v>1577111</v>
      </c>
      <c r="E36" s="400">
        <f>+D36/D38</f>
        <v>0.60717455020464228</v>
      </c>
    </row>
    <row r="37" spans="1:14" ht="13.5" thickBot="1" x14ac:dyDescent="0.25">
      <c r="A37" s="401" t="s">
        <v>152</v>
      </c>
      <c r="B37" s="402">
        <f>'[1]Monthly Summary'!$B$33</f>
        <v>492813</v>
      </c>
      <c r="C37" s="405">
        <f>+B37/B38</f>
        <v>0.38425904988842124</v>
      </c>
      <c r="D37" s="404">
        <f>'[1]Monthly Summary'!$D$33</f>
        <v>1020348</v>
      </c>
      <c r="E37" s="405">
        <f>+D37/D38</f>
        <v>0.39282544979535772</v>
      </c>
    </row>
    <row r="38" spans="1:14" x14ac:dyDescent="0.2">
      <c r="B38" s="422">
        <f>+SUM(B36:B37)</f>
        <v>1282502</v>
      </c>
      <c r="D38" s="406">
        <f>SUM(D36:D37)</f>
        <v>2597459</v>
      </c>
    </row>
    <row r="39" spans="1:14" x14ac:dyDescent="0.2">
      <c r="A39" s="410" t="s">
        <v>153</v>
      </c>
    </row>
    <row r="40" spans="1:14" x14ac:dyDescent="0.2">
      <c r="A40" s="229" t="s">
        <v>155</v>
      </c>
      <c r="I40" s="2"/>
    </row>
    <row r="41" spans="1:14" x14ac:dyDescent="0.2">
      <c r="N41" s="411"/>
    </row>
    <row r="42" spans="1:14" x14ac:dyDescent="0.2">
      <c r="G42" s="2"/>
      <c r="N42" s="411"/>
    </row>
    <row r="43" spans="1:14" x14ac:dyDescent="0.2">
      <c r="J43" s="2"/>
      <c r="N43" s="411"/>
    </row>
    <row r="44" spans="1:14" x14ac:dyDescent="0.2">
      <c r="N44" s="411"/>
    </row>
    <row r="45" spans="1:14" x14ac:dyDescent="0.2">
      <c r="J45" s="2"/>
      <c r="N45" s="411"/>
    </row>
    <row r="46" spans="1:14" x14ac:dyDescent="0.2">
      <c r="B46" s="2"/>
      <c r="F46" s="309"/>
    </row>
    <row r="47" spans="1:14" x14ac:dyDescent="0.2">
      <c r="N47" s="411"/>
    </row>
    <row r="51" spans="12:12" x14ac:dyDescent="0.2">
      <c r="L51" s="412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2" priority="7" stopIfTrue="1">
      <formula>"*.*"</formula>
    </cfRule>
  </conditionalFormatting>
  <conditionalFormatting sqref="B13:C13 E13 D13:D14 F13:I14">
    <cfRule type="expression" dxfId="1" priority="2" stopIfTrue="1">
      <formula>"*.*"</formula>
    </cfRule>
  </conditionalFormatting>
  <conditionalFormatting sqref="B24:C24 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2017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16" zoomScaleNormal="100" zoomScaleSheetLayoutView="100" workbookViewId="0">
      <selection activeCell="R11" sqref="R1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3" width="11.28515625" customWidth="1"/>
    <col min="14" max="14" width="8.5703125" bestFit="1" customWidth="1"/>
    <col min="15" max="15" width="13.85546875" customWidth="1"/>
  </cols>
  <sheetData>
    <row r="1" spans="1:15" ht="39" thickBot="1" x14ac:dyDescent="0.25">
      <c r="A1" s="384">
        <v>42767</v>
      </c>
      <c r="B1" s="12" t="s">
        <v>18</v>
      </c>
      <c r="C1" s="272" t="s">
        <v>195</v>
      </c>
      <c r="D1" s="434" t="s">
        <v>164</v>
      </c>
      <c r="E1" s="272" t="s">
        <v>172</v>
      </c>
      <c r="F1" s="272" t="s">
        <v>173</v>
      </c>
      <c r="G1" s="272" t="s">
        <v>171</v>
      </c>
      <c r="H1" s="272" t="s">
        <v>49</v>
      </c>
      <c r="I1" s="272" t="s">
        <v>117</v>
      </c>
      <c r="J1" s="272" t="s">
        <v>197</v>
      </c>
      <c r="K1" s="518" t="s">
        <v>212</v>
      </c>
      <c r="L1" s="272" t="s">
        <v>170</v>
      </c>
      <c r="M1" s="272" t="s">
        <v>163</v>
      </c>
      <c r="N1" s="272" t="s">
        <v>144</v>
      </c>
      <c r="O1" s="272" t="s">
        <v>21</v>
      </c>
    </row>
    <row r="2" spans="1:15" ht="15" x14ac:dyDescent="0.25">
      <c r="A2" s="556" t="s">
        <v>145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8"/>
    </row>
    <row r="3" spans="1:15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55"/>
    </row>
    <row r="4" spans="1:15" x14ac:dyDescent="0.2">
      <c r="A4" s="62" t="s">
        <v>30</v>
      </c>
      <c r="B4" s="21">
        <f>[3]Delta!$FA$32</f>
        <v>72852</v>
      </c>
      <c r="C4" s="21">
        <f>'[3]Atlantic Southeast'!$FA$32</f>
        <v>64</v>
      </c>
      <c r="D4" s="21">
        <f>[3]Pinnacle!$FA$32</f>
        <v>5797</v>
      </c>
      <c r="E4" s="21">
        <f>[3]Compass!$FA$32</f>
        <v>8369</v>
      </c>
      <c r="F4" s="21">
        <f>'[3]Sky West'!$FA$32</f>
        <v>4680</v>
      </c>
      <c r="G4" s="21">
        <f>'[3]Go Jet'!$FA$32</f>
        <v>3388</v>
      </c>
      <c r="H4" s="21">
        <f>'[3]Sun Country'!$FA$32</f>
        <v>32314</v>
      </c>
      <c r="I4" s="21">
        <f>[3]Icelandair!$FA$32</f>
        <v>1601</v>
      </c>
      <c r="J4" s="21">
        <f>'[3]Jazz Air'!$FA$32</f>
        <v>0</v>
      </c>
      <c r="K4" s="21">
        <f>'[3]Air Georgian'!$FA$32</f>
        <v>2938</v>
      </c>
      <c r="L4" s="21">
        <f>[3]Condor!$FA$32</f>
        <v>0</v>
      </c>
      <c r="M4" s="21">
        <f>'[3]Air France'!$FA$32</f>
        <v>0</v>
      </c>
      <c r="N4" s="21">
        <f>'[3]Charter Misc'!$FA$32+[3]Ryan!$FA$32+[3]Omni!$FA$32</f>
        <v>103</v>
      </c>
      <c r="O4" s="281">
        <f>SUM(B4:N4)</f>
        <v>132106</v>
      </c>
    </row>
    <row r="5" spans="1:15" x14ac:dyDescent="0.2">
      <c r="A5" s="62" t="s">
        <v>31</v>
      </c>
      <c r="B5" s="14">
        <f>[3]Delta!$FA$33</f>
        <v>72995</v>
      </c>
      <c r="C5" s="14">
        <f>'[3]Atlantic Southeast'!$FA$33</f>
        <v>0</v>
      </c>
      <c r="D5" s="14">
        <f>[3]Pinnacle!$FA$33</f>
        <v>6157</v>
      </c>
      <c r="E5" s="14">
        <f>[3]Compass!$FA$33</f>
        <v>8413</v>
      </c>
      <c r="F5" s="14">
        <f>'[3]Sky West'!$FA$33</f>
        <v>4349</v>
      </c>
      <c r="G5" s="14">
        <f>'[3]Go Jet'!$FA$33</f>
        <v>3467</v>
      </c>
      <c r="H5" s="14">
        <f>'[3]Sun Country'!$FA$33</f>
        <v>34518</v>
      </c>
      <c r="I5" s="14">
        <f>[3]Icelandair!$FA$33</f>
        <v>1798</v>
      </c>
      <c r="J5" s="14">
        <f>'[3]Jazz Air'!$FA$33</f>
        <v>0</v>
      </c>
      <c r="K5" s="14">
        <f>'[3]Air Georgian'!$FA$33</f>
        <v>2824</v>
      </c>
      <c r="L5" s="14">
        <f>[3]Condor!$FA$33</f>
        <v>0</v>
      </c>
      <c r="M5" s="14">
        <f>'[3]Air France'!$FA$33</f>
        <v>0</v>
      </c>
      <c r="N5" s="14">
        <f>'[3]Charter Misc'!$FA$33++[3]Ryan!$FA$33+[3]Omni!$FA$33</f>
        <v>102</v>
      </c>
      <c r="O5" s="282">
        <f>SUM(B5:N5)</f>
        <v>134623</v>
      </c>
    </row>
    <row r="6" spans="1:15" ht="15" x14ac:dyDescent="0.25">
      <c r="A6" s="60" t="s">
        <v>7</v>
      </c>
      <c r="B6" s="34">
        <f t="shared" ref="B6:N6" si="0">SUM(B4:B5)</f>
        <v>145847</v>
      </c>
      <c r="C6" s="34">
        <f t="shared" si="0"/>
        <v>64</v>
      </c>
      <c r="D6" s="34">
        <f t="shared" si="0"/>
        <v>11954</v>
      </c>
      <c r="E6" s="34">
        <f t="shared" si="0"/>
        <v>16782</v>
      </c>
      <c r="F6" s="34">
        <f t="shared" si="0"/>
        <v>9029</v>
      </c>
      <c r="G6" s="34">
        <f t="shared" ref="G6" si="1">SUM(G4:G5)</f>
        <v>6855</v>
      </c>
      <c r="H6" s="34">
        <f t="shared" si="0"/>
        <v>66832</v>
      </c>
      <c r="I6" s="34">
        <f t="shared" si="0"/>
        <v>3399</v>
      </c>
      <c r="J6" s="34">
        <f t="shared" si="0"/>
        <v>0</v>
      </c>
      <c r="K6" s="34">
        <f t="shared" ref="K6" si="2">SUM(K4:K5)</f>
        <v>5762</v>
      </c>
      <c r="L6" s="34">
        <f t="shared" ref="L6" si="3">SUM(L4:L5)</f>
        <v>0</v>
      </c>
      <c r="M6" s="34">
        <f t="shared" si="0"/>
        <v>0</v>
      </c>
      <c r="N6" s="34">
        <f t="shared" si="0"/>
        <v>205</v>
      </c>
      <c r="O6" s="283">
        <f>SUM(B6:N6)</f>
        <v>266729</v>
      </c>
    </row>
    <row r="7" spans="1:15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81"/>
    </row>
    <row r="8" spans="1:15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81">
        <f>SUM(B8:N8)</f>
        <v>0</v>
      </c>
    </row>
    <row r="9" spans="1:15" x14ac:dyDescent="0.2">
      <c r="A9" s="62" t="s">
        <v>30</v>
      </c>
      <c r="B9" s="21">
        <f>[3]Delta!$FA$37</f>
        <v>2201</v>
      </c>
      <c r="C9" s="21">
        <f>'[3]Atlantic Southeast'!$FA$37</f>
        <v>0</v>
      </c>
      <c r="D9" s="21">
        <f>[3]Pinnacle!$FA$37</f>
        <v>136</v>
      </c>
      <c r="E9" s="21">
        <f>[3]Compass!$FA$37</f>
        <v>146</v>
      </c>
      <c r="F9" s="21">
        <f>'[3]Sky West'!$FA$37</f>
        <v>50</v>
      </c>
      <c r="G9" s="21">
        <f>'[3]Go Jet'!$FA$37</f>
        <v>59</v>
      </c>
      <c r="H9" s="21">
        <f>'[3]Sun Country'!$FA$37</f>
        <v>212</v>
      </c>
      <c r="I9" s="21">
        <f>[3]Icelandair!$FA$37</f>
        <v>50</v>
      </c>
      <c r="J9" s="21">
        <f>'[3]Jazz Air'!$FA$37</f>
        <v>0</v>
      </c>
      <c r="K9" s="21">
        <f>'[3]Air Georgian'!$FA$37</f>
        <v>0</v>
      </c>
      <c r="L9" s="21">
        <f>[3]Condor!$FA$37</f>
        <v>0</v>
      </c>
      <c r="M9" s="21">
        <f>'[3]Air France'!$FA$37</f>
        <v>0</v>
      </c>
      <c r="N9" s="21">
        <f>'[3]Charter Misc'!$FA$37+[3]Ryan!$FA$37+[3]Omni!$FA$37</f>
        <v>0</v>
      </c>
      <c r="O9" s="281">
        <f>SUM(B9:N9)</f>
        <v>2854</v>
      </c>
    </row>
    <row r="10" spans="1:15" x14ac:dyDescent="0.2">
      <c r="A10" s="62" t="s">
        <v>33</v>
      </c>
      <c r="B10" s="14">
        <f>[3]Delta!$FA$38</f>
        <v>2141</v>
      </c>
      <c r="C10" s="14">
        <f>'[3]Atlantic Southeast'!$FA$38</f>
        <v>0</v>
      </c>
      <c r="D10" s="14">
        <f>[3]Pinnacle!$FA$38</f>
        <v>145</v>
      </c>
      <c r="E10" s="14">
        <f>[3]Compass!$FA$38</f>
        <v>151</v>
      </c>
      <c r="F10" s="14">
        <f>'[3]Sky West'!$FA$38</f>
        <v>52</v>
      </c>
      <c r="G10" s="14">
        <f>'[3]Go Jet'!$FA$38</f>
        <v>49</v>
      </c>
      <c r="H10" s="14">
        <f>'[3]Sun Country'!$FA$38</f>
        <v>280</v>
      </c>
      <c r="I10" s="14">
        <f>[3]Icelandair!$FA$38</f>
        <v>62</v>
      </c>
      <c r="J10" s="14">
        <f>'[3]Jazz Air'!$FA$38</f>
        <v>0</v>
      </c>
      <c r="K10" s="14">
        <f>'[3]Air Georgian'!$FA$38</f>
        <v>0</v>
      </c>
      <c r="L10" s="14">
        <f>[3]Condor!$FA$38</f>
        <v>0</v>
      </c>
      <c r="M10" s="14">
        <f>'[3]Air France'!$FA$38</f>
        <v>0</v>
      </c>
      <c r="N10" s="14">
        <f>'[3]Charter Misc'!$FA$38+[3]Ryan!$FA$38+[3]Omni!$FA$38</f>
        <v>0</v>
      </c>
      <c r="O10" s="282">
        <f>SUM(B10:N10)</f>
        <v>2880</v>
      </c>
    </row>
    <row r="11" spans="1:15" ht="15.75" thickBot="1" x14ac:dyDescent="0.3">
      <c r="A11" s="63" t="s">
        <v>34</v>
      </c>
      <c r="B11" s="284">
        <f t="shared" ref="B11:H11" si="4">SUM(B9:B10)</f>
        <v>4342</v>
      </c>
      <c r="C11" s="284">
        <f t="shared" si="4"/>
        <v>0</v>
      </c>
      <c r="D11" s="284">
        <f t="shared" si="4"/>
        <v>281</v>
      </c>
      <c r="E11" s="284">
        <f t="shared" si="4"/>
        <v>297</v>
      </c>
      <c r="F11" s="284">
        <f t="shared" si="4"/>
        <v>102</v>
      </c>
      <c r="G11" s="284">
        <f t="shared" ref="G11" si="5">SUM(G9:G10)</f>
        <v>108</v>
      </c>
      <c r="H11" s="284">
        <f t="shared" si="4"/>
        <v>492</v>
      </c>
      <c r="I11" s="284">
        <f t="shared" ref="I11:N11" si="6">SUM(I9:I10)</f>
        <v>112</v>
      </c>
      <c r="J11" s="284">
        <f t="shared" si="6"/>
        <v>0</v>
      </c>
      <c r="K11" s="284">
        <f t="shared" ref="K11" si="7">SUM(K9:K10)</f>
        <v>0</v>
      </c>
      <c r="L11" s="284">
        <f t="shared" si="6"/>
        <v>0</v>
      </c>
      <c r="M11" s="284">
        <f t="shared" si="6"/>
        <v>0</v>
      </c>
      <c r="N11" s="284">
        <f t="shared" si="6"/>
        <v>0</v>
      </c>
      <c r="O11" s="285">
        <f>SUM(B11:N11)</f>
        <v>5734</v>
      </c>
    </row>
    <row r="12" spans="1:15" ht="15" x14ac:dyDescent="0.25">
      <c r="A12" s="389"/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6"/>
    </row>
    <row r="13" spans="1:15" ht="39" thickBot="1" x14ac:dyDescent="0.25">
      <c r="B13" s="12" t="s">
        <v>18</v>
      </c>
      <c r="C13" s="272" t="s">
        <v>51</v>
      </c>
      <c r="D13" s="434" t="s">
        <v>164</v>
      </c>
      <c r="E13" s="12" t="s">
        <v>121</v>
      </c>
      <c r="F13" s="12" t="s">
        <v>101</v>
      </c>
      <c r="G13" s="272" t="s">
        <v>171</v>
      </c>
      <c r="H13" s="12" t="s">
        <v>143</v>
      </c>
      <c r="I13" s="12" t="s">
        <v>117</v>
      </c>
      <c r="J13" s="272" t="s">
        <v>197</v>
      </c>
      <c r="K13" s="518" t="s">
        <v>212</v>
      </c>
      <c r="L13" s="272" t="s">
        <v>170</v>
      </c>
      <c r="M13" s="12" t="s">
        <v>163</v>
      </c>
      <c r="N13" s="12" t="s">
        <v>144</v>
      </c>
      <c r="O13" s="272" t="s">
        <v>146</v>
      </c>
    </row>
    <row r="14" spans="1:15" ht="15" x14ac:dyDescent="0.25">
      <c r="A14" s="559" t="s">
        <v>147</v>
      </c>
      <c r="B14" s="560"/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1"/>
    </row>
    <row r="15" spans="1:15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5"/>
    </row>
    <row r="16" spans="1:15" x14ac:dyDescent="0.2">
      <c r="A16" s="62" t="s">
        <v>30</v>
      </c>
      <c r="B16" s="21">
        <f>SUM([3]Delta!$EZ$32:$FA$32)</f>
        <v>149423</v>
      </c>
      <c r="C16" s="21">
        <f>SUM('[3]Atlantic Southeast'!$EZ$32:$FA$32)</f>
        <v>118</v>
      </c>
      <c r="D16" s="21">
        <f>SUM([3]Pinnacle!$EZ$32:$FA$32)</f>
        <v>11783</v>
      </c>
      <c r="E16" s="21">
        <f>SUM([3]Compass!$EZ$32:$FA$32)</f>
        <v>18153</v>
      </c>
      <c r="F16" s="21">
        <f>SUM('[3]Sky West'!$EZ$32:$FA$32)</f>
        <v>9750</v>
      </c>
      <c r="G16" s="21">
        <f>SUM('[3]Go Jet'!$EZ$32:$FA$32)</f>
        <v>6250</v>
      </c>
      <c r="H16" s="21">
        <f>SUM('[3]Sun Country'!$EZ$32:$FA$32)</f>
        <v>53419</v>
      </c>
      <c r="I16" s="21">
        <f>SUM([3]Icelandair!$EZ$32:$FA$32)</f>
        <v>3784</v>
      </c>
      <c r="J16" s="21">
        <f>SUM('[3]Jazz Air'!$EZ$32:$FA$32)</f>
        <v>0</v>
      </c>
      <c r="K16" s="21">
        <f>SUM('[3]Air Georgian'!$EZ$32:$FA$32)</f>
        <v>6260</v>
      </c>
      <c r="L16" s="21">
        <f>SUM([3]Condor!$EZ$32:$FA$32)</f>
        <v>0</v>
      </c>
      <c r="M16" s="21">
        <f>SUM('[3]Air France'!$EZ$32:$FA$32)</f>
        <v>0</v>
      </c>
      <c r="N16" s="21">
        <f>SUM('[3]Charter Misc'!$EZ$32:$FA$32)+SUM([3]Ryan!$EZ$32:$FA$32)+SUM([3]Omni!$EZ$32:$FA$32)</f>
        <v>103</v>
      </c>
      <c r="O16" s="281">
        <f>SUM(B16:N16)</f>
        <v>259043</v>
      </c>
    </row>
    <row r="17" spans="1:15" x14ac:dyDescent="0.2">
      <c r="A17" s="62" t="s">
        <v>31</v>
      </c>
      <c r="B17" s="14">
        <f>SUM([3]Delta!$EZ$33:$FA$33)</f>
        <v>145281</v>
      </c>
      <c r="C17" s="14">
        <f>SUM('[3]Atlantic Southeast'!$EZ$33:$FA$33)</f>
        <v>24</v>
      </c>
      <c r="D17" s="14">
        <f>SUM([3]Pinnacle!$EZ$33:$FA$33)</f>
        <v>12219</v>
      </c>
      <c r="E17" s="14">
        <f>SUM([3]Compass!$EZ$33:$FA$33)</f>
        <v>19092</v>
      </c>
      <c r="F17" s="14">
        <f>SUM('[3]Sky West'!$EZ$33:$FA$33)</f>
        <v>9138</v>
      </c>
      <c r="G17" s="14">
        <f>SUM('[3]Go Jet'!$EZ$33:$FA$33)</f>
        <v>6069</v>
      </c>
      <c r="H17" s="14">
        <f>SUM('[3]Sun Country'!$EZ$33:$FA$33)</f>
        <v>57108</v>
      </c>
      <c r="I17" s="14">
        <f>SUM([3]Icelandair!$EZ$33:$FA$33)</f>
        <v>3944</v>
      </c>
      <c r="J17" s="14">
        <f>SUM('[3]Jazz Air'!$EZ$33:$FA$33)</f>
        <v>0</v>
      </c>
      <c r="K17" s="14">
        <f>SUM('[3]Air Georgian'!$EZ$33:$FA$33)</f>
        <v>5831</v>
      </c>
      <c r="L17" s="14">
        <f>SUM([3]Condor!$EZ$33:$FA$33)</f>
        <v>0</v>
      </c>
      <c r="M17" s="14">
        <f>SUM('[3]Air France'!$EZ$33:$FA$33)</f>
        <v>0</v>
      </c>
      <c r="N17" s="14">
        <f>SUM('[3]Charter Misc'!$EZ$33:$FA$33)++SUM([3]Ryan!$EZ$33:$FA$33)+SUM([3]Omni!$EZ$33:$FA$33)</f>
        <v>102</v>
      </c>
      <c r="O17" s="282">
        <f>SUM(B17:N17)</f>
        <v>258808</v>
      </c>
    </row>
    <row r="18" spans="1:15" ht="15" x14ac:dyDescent="0.25">
      <c r="A18" s="60" t="s">
        <v>7</v>
      </c>
      <c r="B18" s="34">
        <f t="shared" ref="B18:N18" si="8">SUM(B16:B17)</f>
        <v>294704</v>
      </c>
      <c r="C18" s="34">
        <f t="shared" si="8"/>
        <v>142</v>
      </c>
      <c r="D18" s="34">
        <f t="shared" si="8"/>
        <v>24002</v>
      </c>
      <c r="E18" s="34">
        <f t="shared" si="8"/>
        <v>37245</v>
      </c>
      <c r="F18" s="34">
        <f t="shared" si="8"/>
        <v>18888</v>
      </c>
      <c r="G18" s="34">
        <f t="shared" ref="G18" si="9">SUM(G16:G17)</f>
        <v>12319</v>
      </c>
      <c r="H18" s="34">
        <f t="shared" si="8"/>
        <v>110527</v>
      </c>
      <c r="I18" s="34">
        <f t="shared" si="8"/>
        <v>7728</v>
      </c>
      <c r="J18" s="34">
        <f t="shared" si="8"/>
        <v>0</v>
      </c>
      <c r="K18" s="34">
        <f t="shared" ref="K18" si="10">SUM(K16:K17)</f>
        <v>12091</v>
      </c>
      <c r="L18" s="34">
        <f t="shared" ref="L18" si="11">SUM(L16:L17)</f>
        <v>0</v>
      </c>
      <c r="M18" s="34">
        <f t="shared" si="8"/>
        <v>0</v>
      </c>
      <c r="N18" s="34">
        <f t="shared" si="8"/>
        <v>205</v>
      </c>
      <c r="O18" s="283">
        <f>SUM(B18:N18)</f>
        <v>517851</v>
      </c>
    </row>
    <row r="19" spans="1:15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1"/>
    </row>
    <row r="20" spans="1:15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81">
        <f>SUM(B20:N20)</f>
        <v>0</v>
      </c>
    </row>
    <row r="21" spans="1:15" x14ac:dyDescent="0.2">
      <c r="A21" s="62" t="s">
        <v>30</v>
      </c>
      <c r="B21" s="21">
        <f>SUM([3]Delta!$EZ$37:$FA$37)</f>
        <v>4387</v>
      </c>
      <c r="C21" s="21">
        <f>SUM('[3]Atlantic Southeast'!$EZ$37:$FA$37)</f>
        <v>0</v>
      </c>
      <c r="D21" s="21">
        <f>SUM([3]Pinnacle!$EZ$37:$FA$37)</f>
        <v>248</v>
      </c>
      <c r="E21" s="21">
        <f>SUM([3]Compass!$EZ$37:$FA$37)</f>
        <v>307</v>
      </c>
      <c r="F21" s="21">
        <f>SUM('[3]Sky West'!$EZ$37:$FA$37)</f>
        <v>86</v>
      </c>
      <c r="G21" s="21">
        <f>SUM('[3]Go Jet'!$EZ$37:$FA$37)</f>
        <v>92</v>
      </c>
      <c r="H21" s="21">
        <f>SUM('[3]Sun Country'!$EZ$37:$FA$37)</f>
        <v>370</v>
      </c>
      <c r="I21" s="21">
        <f>SUM([3]Icelandair!$EZ$37:$FA$37)</f>
        <v>100</v>
      </c>
      <c r="J21" s="21">
        <f>SUM('[3]Jazz Air'!$EZ$37:$FA$37)</f>
        <v>0</v>
      </c>
      <c r="K21" s="21">
        <f>SUM('[3]Air Georgian'!$EZ$37:$FA$37)</f>
        <v>0</v>
      </c>
      <c r="L21" s="21">
        <f>SUM([3]Condor!$EZ$37:$FA$37)</f>
        <v>0</v>
      </c>
      <c r="M21" s="21">
        <f>SUM('[3]Air France'!$EZ$37:$FA$37)</f>
        <v>0</v>
      </c>
      <c r="N21" s="21">
        <f>SUM('[3]Charter Misc'!$EZ$37:$FA$37)++SUM([3]Ryan!$EZ$37:$FA$37)+SUM([3]Omni!$EZ$37:$FA$37)</f>
        <v>0</v>
      </c>
      <c r="O21" s="281">
        <f>SUM(B21:N21)</f>
        <v>5590</v>
      </c>
    </row>
    <row r="22" spans="1:15" x14ac:dyDescent="0.2">
      <c r="A22" s="62" t="s">
        <v>33</v>
      </c>
      <c r="B22" s="14">
        <f>SUM([3]Delta!$EZ$38:$FA$38)</f>
        <v>4427</v>
      </c>
      <c r="C22" s="14">
        <f>SUM('[3]Atlantic Southeast'!$EZ$38:$FA$38)</f>
        <v>4</v>
      </c>
      <c r="D22" s="14">
        <f>SUM([3]Pinnacle!$EZ$38:$FA$38)</f>
        <v>233</v>
      </c>
      <c r="E22" s="14">
        <f>SUM([3]Compass!$EZ$38:$FA$38)</f>
        <v>325</v>
      </c>
      <c r="F22" s="14">
        <f>SUM('[3]Sky West'!$EZ$38:$FA$38)</f>
        <v>93</v>
      </c>
      <c r="G22" s="14">
        <f>SUM('[3]Go Jet'!$EZ$38:$FA$38)</f>
        <v>75</v>
      </c>
      <c r="H22" s="14">
        <f>SUM('[3]Sun Country'!$EZ$38:$FA$38)</f>
        <v>499</v>
      </c>
      <c r="I22" s="14">
        <f>SUM([3]Icelandair!$EZ$38:$FA$38)</f>
        <v>113</v>
      </c>
      <c r="J22" s="14">
        <f>SUM('[3]Jazz Air'!$EZ$38:$FA$38)</f>
        <v>0</v>
      </c>
      <c r="K22" s="14">
        <f>SUM('[3]Air Georgian'!$EZ$38:$FA$38)</f>
        <v>0</v>
      </c>
      <c r="L22" s="14">
        <f>SUM([3]Condor!$EZ$38:$FA$38)</f>
        <v>0</v>
      </c>
      <c r="M22" s="14">
        <f>SUM('[3]Air France'!$EZ$38:$FA$38)</f>
        <v>0</v>
      </c>
      <c r="N22" s="14">
        <f>SUM('[3]Charter Misc'!$EZ$38:$FA$38)++SUM([3]Ryan!$EZ$38:$FA$38)+SUM([3]Omni!$EZ$38:$FA$38)</f>
        <v>0</v>
      </c>
      <c r="O22" s="282">
        <f>SUM(B22:N22)</f>
        <v>5769</v>
      </c>
    </row>
    <row r="23" spans="1:15" ht="15.75" thickBot="1" x14ac:dyDescent="0.3">
      <c r="A23" s="63" t="s">
        <v>34</v>
      </c>
      <c r="B23" s="284">
        <f t="shared" ref="B23:N23" si="12">SUM(B21:B22)</f>
        <v>8814</v>
      </c>
      <c r="C23" s="284">
        <f t="shared" si="12"/>
        <v>4</v>
      </c>
      <c r="D23" s="284">
        <f t="shared" si="12"/>
        <v>481</v>
      </c>
      <c r="E23" s="284">
        <f t="shared" si="12"/>
        <v>632</v>
      </c>
      <c r="F23" s="284">
        <f t="shared" si="12"/>
        <v>179</v>
      </c>
      <c r="G23" s="284">
        <f t="shared" ref="G23" si="13">SUM(G21:G22)</f>
        <v>167</v>
      </c>
      <c r="H23" s="284">
        <f t="shared" si="12"/>
        <v>869</v>
      </c>
      <c r="I23" s="284">
        <f t="shared" si="12"/>
        <v>213</v>
      </c>
      <c r="J23" s="284">
        <f t="shared" si="12"/>
        <v>0</v>
      </c>
      <c r="K23" s="284">
        <f t="shared" ref="K23" si="14">SUM(K21:K22)</f>
        <v>0</v>
      </c>
      <c r="L23" s="284">
        <f t="shared" ref="L23" si="15">SUM(L21:L22)</f>
        <v>0</v>
      </c>
      <c r="M23" s="284">
        <f t="shared" si="12"/>
        <v>0</v>
      </c>
      <c r="N23" s="284">
        <f t="shared" si="12"/>
        <v>0</v>
      </c>
      <c r="O23" s="285">
        <f>SUM(B23:N23)</f>
        <v>11359</v>
      </c>
    </row>
    <row r="25" spans="1:15" ht="39" thickBot="1" x14ac:dyDescent="0.25">
      <c r="B25" s="12" t="s">
        <v>18</v>
      </c>
      <c r="C25" s="272" t="s">
        <v>51</v>
      </c>
      <c r="D25" s="434" t="s">
        <v>164</v>
      </c>
      <c r="E25" s="12" t="s">
        <v>121</v>
      </c>
      <c r="F25" s="12" t="s">
        <v>101</v>
      </c>
      <c r="G25" s="272" t="s">
        <v>171</v>
      </c>
      <c r="H25" s="12" t="s">
        <v>143</v>
      </c>
      <c r="I25" s="12" t="s">
        <v>117</v>
      </c>
      <c r="J25" s="272" t="s">
        <v>197</v>
      </c>
      <c r="K25" s="518" t="s">
        <v>212</v>
      </c>
      <c r="L25" s="272" t="s">
        <v>170</v>
      </c>
      <c r="M25" s="12" t="s">
        <v>163</v>
      </c>
      <c r="N25" s="12" t="s">
        <v>144</v>
      </c>
      <c r="O25" s="272" t="s">
        <v>21</v>
      </c>
    </row>
    <row r="26" spans="1:15" ht="15" x14ac:dyDescent="0.25">
      <c r="A26" s="562" t="s">
        <v>148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4"/>
    </row>
    <row r="27" spans="1:15" x14ac:dyDescent="0.2">
      <c r="A27" s="62" t="s">
        <v>22</v>
      </c>
      <c r="B27" s="21">
        <f>[3]Delta!$FA$15</f>
        <v>459</v>
      </c>
      <c r="C27" s="21">
        <f>'[3]Atlantic Southeast'!$FA$15</f>
        <v>1</v>
      </c>
      <c r="D27" s="21">
        <f>[3]Pinnacle!$FA$15</f>
        <v>92</v>
      </c>
      <c r="E27" s="21">
        <f>[3]Compass!$FA$15</f>
        <v>137</v>
      </c>
      <c r="F27" s="21">
        <f>'[3]Sky West'!$FA$15</f>
        <v>78</v>
      </c>
      <c r="G27" s="21">
        <f>'[3]Go Jet'!$FA$15</f>
        <v>63</v>
      </c>
      <c r="H27" s="21">
        <f>'[3]Sun Country'!$FA$15</f>
        <v>278</v>
      </c>
      <c r="I27" s="21">
        <f>[3]Icelandair!$FA$15</f>
        <v>14</v>
      </c>
      <c r="J27" s="21">
        <f>'[3]Jazz Air'!$FA$15</f>
        <v>0</v>
      </c>
      <c r="K27" s="21">
        <f>'[3]Air Georgian'!$FA$15</f>
        <v>78</v>
      </c>
      <c r="L27" s="21">
        <f>[3]Condor!$FA$15</f>
        <v>0</v>
      </c>
      <c r="M27" s="21">
        <f>'[3]Air France'!$FA$15</f>
        <v>0</v>
      </c>
      <c r="N27" s="21">
        <f>'[3]Charter Misc'!$FA$15+[3]Ryan!$FA$15+[3]Omni!$FA$15</f>
        <v>1</v>
      </c>
      <c r="O27" s="281">
        <f>SUM(B27:N27)</f>
        <v>1201</v>
      </c>
    </row>
    <row r="28" spans="1:15" x14ac:dyDescent="0.2">
      <c r="A28" s="62" t="s">
        <v>23</v>
      </c>
      <c r="B28" s="21">
        <f>[3]Delta!$FA$16</f>
        <v>458</v>
      </c>
      <c r="C28" s="21">
        <f>'[3]Atlantic Southeast'!$FA$16</f>
        <v>0</v>
      </c>
      <c r="D28" s="21">
        <f>[3]Pinnacle!$FA$16</f>
        <v>97</v>
      </c>
      <c r="E28" s="21">
        <f>[3]Compass!$FA$16</f>
        <v>135</v>
      </c>
      <c r="F28" s="21">
        <f>'[3]Sky West'!$FA$16</f>
        <v>75</v>
      </c>
      <c r="G28" s="21">
        <f>'[3]Go Jet'!$FA$16</f>
        <v>64</v>
      </c>
      <c r="H28" s="21">
        <f>'[3]Sun Country'!$FA$16</f>
        <v>279</v>
      </c>
      <c r="I28" s="21">
        <f>[3]Icelandair!$FA$16</f>
        <v>14</v>
      </c>
      <c r="J28" s="21">
        <f>'[3]Jazz Air'!$FA$16</f>
        <v>0</v>
      </c>
      <c r="K28" s="21">
        <f>'[3]Air Georgian'!$FA$16</f>
        <v>78</v>
      </c>
      <c r="L28" s="21">
        <f>[3]Condor!$FA$16</f>
        <v>0</v>
      </c>
      <c r="M28" s="21">
        <f>'[3]Air France'!$FA$16</f>
        <v>0</v>
      </c>
      <c r="N28" s="21">
        <f>'[3]Charter Misc'!$FA$16+[3]Ryan!$FA$16+[3]Omni!$FA$16</f>
        <v>1</v>
      </c>
      <c r="O28" s="281">
        <f>SUM(B28:N28)</f>
        <v>1201</v>
      </c>
    </row>
    <row r="29" spans="1:15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81"/>
    </row>
    <row r="30" spans="1:15" ht="15.75" thickBot="1" x14ac:dyDescent="0.3">
      <c r="A30" s="63" t="s">
        <v>28</v>
      </c>
      <c r="B30" s="387">
        <f t="shared" ref="B30:J30" si="16">SUM(B27:B28)</f>
        <v>917</v>
      </c>
      <c r="C30" s="387">
        <f t="shared" si="16"/>
        <v>1</v>
      </c>
      <c r="D30" s="387">
        <f t="shared" si="16"/>
        <v>189</v>
      </c>
      <c r="E30" s="387">
        <f t="shared" si="16"/>
        <v>272</v>
      </c>
      <c r="F30" s="387">
        <f>SUM(F27:F28)</f>
        <v>153</v>
      </c>
      <c r="G30" s="387">
        <f>SUM(G27:G28)</f>
        <v>127</v>
      </c>
      <c r="H30" s="387">
        <f t="shared" si="16"/>
        <v>557</v>
      </c>
      <c r="I30" s="387">
        <f t="shared" si="16"/>
        <v>28</v>
      </c>
      <c r="J30" s="387">
        <f t="shared" si="16"/>
        <v>0</v>
      </c>
      <c r="K30" s="387">
        <f t="shared" ref="K30" si="17">SUM(K27:K28)</f>
        <v>156</v>
      </c>
      <c r="L30" s="387">
        <f>SUM(L27:L28)</f>
        <v>0</v>
      </c>
      <c r="M30" s="387">
        <f>SUM(M27:M28)</f>
        <v>0</v>
      </c>
      <c r="N30" s="387">
        <f>SUM(N27:N28)</f>
        <v>2</v>
      </c>
      <c r="O30" s="388">
        <f>SUM(B30:N30)</f>
        <v>2402</v>
      </c>
    </row>
    <row r="31" spans="1:15" ht="15" x14ac:dyDescent="0.25">
      <c r="A31" s="389"/>
    </row>
    <row r="32" spans="1:15" ht="39" thickBot="1" x14ac:dyDescent="0.25">
      <c r="B32" s="12" t="s">
        <v>18</v>
      </c>
      <c r="C32" s="272" t="s">
        <v>51</v>
      </c>
      <c r="D32" s="434" t="s">
        <v>164</v>
      </c>
      <c r="E32" s="12" t="s">
        <v>121</v>
      </c>
      <c r="F32" s="12" t="s">
        <v>101</v>
      </c>
      <c r="G32" s="272" t="s">
        <v>171</v>
      </c>
      <c r="H32" s="12" t="s">
        <v>143</v>
      </c>
      <c r="I32" s="12" t="s">
        <v>117</v>
      </c>
      <c r="J32" s="272" t="s">
        <v>197</v>
      </c>
      <c r="K32" s="518" t="s">
        <v>212</v>
      </c>
      <c r="L32" s="272" t="s">
        <v>170</v>
      </c>
      <c r="M32" s="12" t="s">
        <v>163</v>
      </c>
      <c r="N32" s="12" t="s">
        <v>144</v>
      </c>
      <c r="O32" s="272" t="s">
        <v>146</v>
      </c>
    </row>
    <row r="33" spans="1:15" ht="15" x14ac:dyDescent="0.25">
      <c r="A33" s="565" t="s">
        <v>149</v>
      </c>
      <c r="B33" s="566"/>
      <c r="C33" s="566"/>
      <c r="D33" s="566"/>
      <c r="E33" s="566"/>
      <c r="F33" s="566"/>
      <c r="G33" s="566"/>
      <c r="H33" s="566"/>
      <c r="I33" s="566"/>
      <c r="J33" s="566"/>
      <c r="K33" s="566"/>
      <c r="L33" s="566"/>
      <c r="M33" s="566"/>
      <c r="N33" s="566"/>
      <c r="O33" s="567"/>
    </row>
    <row r="34" spans="1:15" x14ac:dyDescent="0.2">
      <c r="A34" s="62" t="s">
        <v>22</v>
      </c>
      <c r="B34" s="21">
        <f>SUM([3]Delta!$EZ$15:$FA$15)</f>
        <v>938</v>
      </c>
      <c r="C34" s="21">
        <f>SUM('[3]Atlantic Southeast'!$EZ$15:$FA$15)</f>
        <v>2</v>
      </c>
      <c r="D34" s="21">
        <f>SUM([3]Pinnacle!$EZ$15:$FA$15)</f>
        <v>195</v>
      </c>
      <c r="E34" s="21">
        <f>SUM([3]Compass!$EZ$15:$FA$15)</f>
        <v>303</v>
      </c>
      <c r="F34" s="21">
        <f>SUM('[3]Sky West'!$EZ$15:$FA$15)</f>
        <v>163</v>
      </c>
      <c r="G34" s="21">
        <f>SUM('[3]Go Jet'!$EZ$15:$FA$15)</f>
        <v>117</v>
      </c>
      <c r="H34" s="21">
        <f>SUM('[3]Sun Country'!$EZ$15:$FA$15)</f>
        <v>483</v>
      </c>
      <c r="I34" s="21">
        <f>SUM([3]Icelandair!$EZ$15:$FA$15)</f>
        <v>30</v>
      </c>
      <c r="J34" s="21">
        <f>SUM('[3]Jazz Air'!$EZ$15:$FA$15)</f>
        <v>0</v>
      </c>
      <c r="K34" s="21">
        <f>SUM('[3]Air Georgian'!$EZ$15:$FA$15)</f>
        <v>164</v>
      </c>
      <c r="L34" s="21">
        <f>SUM([3]Condor!$EZ$15:$FA$15)</f>
        <v>0</v>
      </c>
      <c r="M34" s="21">
        <f>SUM('[3]Air France'!$EZ$15:$FA$15)</f>
        <v>0</v>
      </c>
      <c r="N34" s="21">
        <f>SUM('[3]Charter Misc'!$EZ$15:$FA$15)+SUM([3]Ryan!$EZ$15:$FA$15)+SUM([3]Omni!$EZ$15:$FA$15)</f>
        <v>1</v>
      </c>
      <c r="O34" s="281">
        <f>SUM(B34:N34)</f>
        <v>2396</v>
      </c>
    </row>
    <row r="35" spans="1:15" x14ac:dyDescent="0.2">
      <c r="A35" s="62" t="s">
        <v>23</v>
      </c>
      <c r="B35" s="21">
        <f>SUM([3]Delta!$EZ$16:$FA$16)</f>
        <v>940</v>
      </c>
      <c r="C35" s="21">
        <f>SUM('[3]Atlantic Southeast'!$EZ$16:$FA$16)</f>
        <v>1</v>
      </c>
      <c r="D35" s="21">
        <f>SUM([3]Pinnacle!$EZ$16:$FA$16)</f>
        <v>199</v>
      </c>
      <c r="E35" s="21">
        <f>SUM([3]Compass!$EZ$16:$FA$16)</f>
        <v>303</v>
      </c>
      <c r="F35" s="21">
        <f>SUM('[3]Sky West'!$EZ$16:$FA$16)</f>
        <v>161</v>
      </c>
      <c r="G35" s="21">
        <f>SUM('[3]Go Jet'!$EZ$16:$FA$16)</f>
        <v>113</v>
      </c>
      <c r="H35" s="21">
        <f>SUM('[3]Sun Country'!$EZ$16:$FA$16)</f>
        <v>484</v>
      </c>
      <c r="I35" s="21">
        <f>SUM([3]Icelandair!$EZ$16:$FA$16)</f>
        <v>30</v>
      </c>
      <c r="J35" s="21">
        <f>SUM('[3]Jazz Air'!$EZ$16:$FA$16)</f>
        <v>0</v>
      </c>
      <c r="K35" s="21">
        <f>SUM('[3]Air Georgian'!$EZ$16:$FA$16)</f>
        <v>164</v>
      </c>
      <c r="L35" s="21">
        <f>SUM([3]Condor!$EZ$16:$FA$16)</f>
        <v>0</v>
      </c>
      <c r="M35" s="21">
        <f>SUM('[3]Air France'!$EZ$16:$FA$16)</f>
        <v>0</v>
      </c>
      <c r="N35" s="21">
        <f>SUM('[3]Charter Misc'!$EZ$16:$FA$16)+SUM([3]Ryan!$EZ$16:$FA$16)+SUM([3]Omni!$EZ$16:$FA$16)</f>
        <v>1</v>
      </c>
      <c r="O35" s="281">
        <f>SUM(B35:N35)</f>
        <v>2396</v>
      </c>
    </row>
    <row r="36" spans="1:15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81"/>
    </row>
    <row r="37" spans="1:15" ht="15.75" thickBot="1" x14ac:dyDescent="0.3">
      <c r="A37" s="63" t="s">
        <v>28</v>
      </c>
      <c r="B37" s="387">
        <f t="shared" ref="B37:J37" si="18">+SUM(B34:B35)</f>
        <v>1878</v>
      </c>
      <c r="C37" s="387">
        <f t="shared" si="18"/>
        <v>3</v>
      </c>
      <c r="D37" s="387">
        <f t="shared" si="18"/>
        <v>394</v>
      </c>
      <c r="E37" s="387">
        <f t="shared" si="18"/>
        <v>606</v>
      </c>
      <c r="F37" s="387">
        <f>+SUM(F34:F35)</f>
        <v>324</v>
      </c>
      <c r="G37" s="387">
        <f>+SUM(G34:G35)</f>
        <v>230</v>
      </c>
      <c r="H37" s="387">
        <f t="shared" si="18"/>
        <v>967</v>
      </c>
      <c r="I37" s="387">
        <f t="shared" si="18"/>
        <v>60</v>
      </c>
      <c r="J37" s="387">
        <f t="shared" si="18"/>
        <v>0</v>
      </c>
      <c r="K37" s="387">
        <f t="shared" ref="K37" si="19">+SUM(K34:K35)</f>
        <v>328</v>
      </c>
      <c r="L37" s="387">
        <f>+SUM(L34:L35)</f>
        <v>0</v>
      </c>
      <c r="M37" s="387">
        <f>+SUM(M34:M35)</f>
        <v>0</v>
      </c>
      <c r="N37" s="387">
        <f>+SUM(N34:N35)</f>
        <v>2</v>
      </c>
      <c r="O37" s="388">
        <f>SUM(B37:N37)</f>
        <v>4792</v>
      </c>
    </row>
  </sheetData>
  <mergeCells count="4">
    <mergeCell ref="A2:O2"/>
    <mergeCell ref="A14:O14"/>
    <mergeCell ref="A26:O26"/>
    <mergeCell ref="A33:O33"/>
  </mergeCells>
  <phoneticPr fontId="6" type="noConversion"/>
  <pageMargins left="0.75" right="0.75" top="1" bottom="1" header="0.5" footer="0.5"/>
  <pageSetup scale="67" orientation="landscape" r:id="rId1"/>
  <headerFooter alignWithMargins="0">
    <oddHeader>&amp;LSchedule 9&amp;CMinneapolis-St. Paul International Airport
&amp;"Arial,Bold"International Detail&amp;"Arial,Regular"
&amp;"Arial,Bold"February 2017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08"/>
  <sheetViews>
    <sheetView zoomScaleNormal="100" zoomScaleSheetLayoutView="85"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S21" sqref="S21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8.85546875" style="3" bestFit="1" customWidth="1"/>
    <col min="6" max="6" width="8.5703125" style="225" bestFit="1" customWidth="1"/>
    <col min="7" max="7" width="8.5703125" style="2" bestFit="1" customWidth="1"/>
    <col min="8" max="8" width="8.8554687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9.7109375" bestFit="1" customWidth="1"/>
    <col min="17" max="17" width="8.8554687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71" t="s">
        <v>136</v>
      </c>
      <c r="B1" s="572"/>
      <c r="C1" s="469" t="s">
        <v>205</v>
      </c>
      <c r="D1" s="470" t="s">
        <v>178</v>
      </c>
      <c r="E1" s="267" t="s">
        <v>99</v>
      </c>
      <c r="F1" s="266" t="s">
        <v>206</v>
      </c>
      <c r="G1" s="470" t="s">
        <v>179</v>
      </c>
      <c r="H1" s="265" t="s">
        <v>100</v>
      </c>
      <c r="I1" s="267" t="s">
        <v>141</v>
      </c>
      <c r="J1" s="577" t="s">
        <v>140</v>
      </c>
      <c r="K1" s="578"/>
      <c r="L1" s="467" t="s">
        <v>207</v>
      </c>
      <c r="M1" s="468" t="s">
        <v>180</v>
      </c>
      <c r="N1" s="345" t="s">
        <v>100</v>
      </c>
      <c r="O1" s="508" t="s">
        <v>208</v>
      </c>
      <c r="P1" s="268" t="s">
        <v>181</v>
      </c>
      <c r="Q1" s="504" t="s">
        <v>100</v>
      </c>
      <c r="R1" s="509" t="s">
        <v>220</v>
      </c>
    </row>
    <row r="2" spans="1:19" s="224" customFormat="1" ht="13.5" customHeight="1" thickBot="1" x14ac:dyDescent="0.25">
      <c r="A2" s="573">
        <v>42767</v>
      </c>
      <c r="B2" s="574"/>
      <c r="C2" s="575" t="s">
        <v>9</v>
      </c>
      <c r="D2" s="576"/>
      <c r="E2" s="576"/>
      <c r="F2" s="576"/>
      <c r="G2" s="576"/>
      <c r="H2" s="576"/>
      <c r="I2" s="471"/>
      <c r="J2" s="573">
        <v>42767</v>
      </c>
      <c r="K2" s="574"/>
      <c r="L2" s="568" t="s">
        <v>142</v>
      </c>
      <c r="M2" s="569"/>
      <c r="N2" s="569"/>
      <c r="O2" s="569"/>
      <c r="P2" s="569"/>
      <c r="Q2" s="569"/>
      <c r="R2" s="570"/>
    </row>
    <row r="3" spans="1:19" x14ac:dyDescent="0.2">
      <c r="A3" s="346"/>
      <c r="B3" s="347"/>
      <c r="C3" s="348"/>
      <c r="D3" s="349"/>
      <c r="E3" s="350"/>
      <c r="F3" s="417"/>
      <c r="G3" s="418"/>
      <c r="H3" s="501"/>
      <c r="I3" s="350"/>
      <c r="J3" s="351"/>
      <c r="K3" s="347"/>
      <c r="L3" s="510"/>
      <c r="M3" s="5"/>
      <c r="N3" s="85"/>
      <c r="O3" s="346"/>
      <c r="P3" s="352"/>
      <c r="Q3" s="352"/>
      <c r="R3" s="347"/>
    </row>
    <row r="4" spans="1:19" ht="14.1" customHeight="1" x14ac:dyDescent="0.2">
      <c r="A4" s="353" t="s">
        <v>102</v>
      </c>
      <c r="B4" s="55"/>
      <c r="C4" s="354">
        <f>SUM(C5:C7)</f>
        <v>156</v>
      </c>
      <c r="D4" s="356">
        <f>SUM(D5:D7)</f>
        <v>164</v>
      </c>
      <c r="E4" s="357">
        <f>(C4-D4)/D4</f>
        <v>-4.878048780487805E-2</v>
      </c>
      <c r="F4" s="354">
        <f>SUM(F5:F7)</f>
        <v>328</v>
      </c>
      <c r="G4" s="356">
        <f>SUM(G5:G7)</f>
        <v>342</v>
      </c>
      <c r="H4" s="355">
        <f>(F4-G4)/G4</f>
        <v>-4.0935672514619881E-2</v>
      </c>
      <c r="I4" s="357">
        <f>F4/$F$64</f>
        <v>5.8206597930826427E-3</v>
      </c>
      <c r="J4" s="353" t="s">
        <v>102</v>
      </c>
      <c r="K4" s="55"/>
      <c r="L4" s="354">
        <f>SUM(L5:L7)</f>
        <v>5762</v>
      </c>
      <c r="M4" s="356">
        <f>SUM(M5:M7)</f>
        <v>6157</v>
      </c>
      <c r="N4" s="357">
        <f>(L4-M4)/M4</f>
        <v>-6.415462075686211E-2</v>
      </c>
      <c r="O4" s="354">
        <f>SUM(O5:O7)</f>
        <v>12091</v>
      </c>
      <c r="P4" s="356">
        <f>SUM(P5:P7)</f>
        <v>12646</v>
      </c>
      <c r="Q4" s="355">
        <f>(O4-P4)/P4</f>
        <v>-4.388739522378618E-2</v>
      </c>
      <c r="R4" s="357">
        <f>O4/$O$64</f>
        <v>2.3606165365766705E-3</v>
      </c>
      <c r="S4" s="20"/>
    </row>
    <row r="5" spans="1:19" ht="14.1" customHeight="1" x14ac:dyDescent="0.2">
      <c r="A5" s="353"/>
      <c r="B5" s="436" t="s">
        <v>102</v>
      </c>
      <c r="C5" s="358">
        <v>0</v>
      </c>
      <c r="D5" s="9">
        <v>0</v>
      </c>
      <c r="E5" s="86" t="e">
        <f>(C5-D5)/D5</f>
        <v>#DIV/0!</v>
      </c>
      <c r="F5" s="295">
        <v>0</v>
      </c>
      <c r="G5" s="295">
        <v>0</v>
      </c>
      <c r="H5" s="443" t="e">
        <f>(F5-G5)/G5</f>
        <v>#DIV/0!</v>
      </c>
      <c r="I5" s="86">
        <f>F5/$F$64</f>
        <v>0</v>
      </c>
      <c r="J5" s="353"/>
      <c r="K5" s="436" t="s">
        <v>102</v>
      </c>
      <c r="L5" s="442">
        <v>0</v>
      </c>
      <c r="M5" s="295">
        <v>0</v>
      </c>
      <c r="N5" s="444" t="e">
        <f>(L5-M5)/M5</f>
        <v>#DIV/0!</v>
      </c>
      <c r="O5" s="442">
        <v>0</v>
      </c>
      <c r="P5" s="295">
        <v>0</v>
      </c>
      <c r="Q5" s="443" t="e">
        <f>(O5-P5)/P5</f>
        <v>#DIV/0!</v>
      </c>
      <c r="R5" s="444">
        <f>O5/$O$64</f>
        <v>0</v>
      </c>
      <c r="S5" s="20"/>
    </row>
    <row r="6" spans="1:19" ht="14.1" customHeight="1" x14ac:dyDescent="0.2">
      <c r="A6" s="353"/>
      <c r="B6" s="465" t="s">
        <v>182</v>
      </c>
      <c r="C6" s="442">
        <f>'[3]Jazz Air'!$FA$19</f>
        <v>0</v>
      </c>
      <c r="D6" s="295">
        <f>'[3]Jazz Air'!$EM$19</f>
        <v>7</v>
      </c>
      <c r="E6" s="444">
        <f>(C6-D6)/D6</f>
        <v>-1</v>
      </c>
      <c r="F6" s="295">
        <f>SUM('[3]Jazz Air'!$EZ$19:$FA$19)</f>
        <v>0</v>
      </c>
      <c r="G6" s="295">
        <f>SUM('[3]Jazz Air'!$EL$19:$EM$19)</f>
        <v>185</v>
      </c>
      <c r="H6" s="443">
        <f>(F6-G6)/G6</f>
        <v>-1</v>
      </c>
      <c r="I6" s="444">
        <f>F6/$F$64</f>
        <v>0</v>
      </c>
      <c r="J6" s="445"/>
      <c r="K6" s="436" t="s">
        <v>182</v>
      </c>
      <c r="L6" s="442">
        <f>'[3]Jazz Air'!$FA$41</f>
        <v>0</v>
      </c>
      <c r="M6" s="295">
        <f>'[3]Jazz Air'!$EM$41</f>
        <v>270</v>
      </c>
      <c r="N6" s="444">
        <f>(L6-M6)/M6</f>
        <v>-1</v>
      </c>
      <c r="O6" s="442">
        <f>SUM('[3]Jazz Air'!$EZ$41:$FA$41)</f>
        <v>0</v>
      </c>
      <c r="P6" s="295">
        <f>SUM('[3]Jazz Air'!$EL$41:$EM$41)</f>
        <v>6759</v>
      </c>
      <c r="Q6" s="443">
        <f>(O6-P6)/P6</f>
        <v>-1</v>
      </c>
      <c r="R6" s="444">
        <f>O6/$O$64</f>
        <v>0</v>
      </c>
      <c r="S6" s="20"/>
    </row>
    <row r="7" spans="1:19" ht="14.1" customHeight="1" x14ac:dyDescent="0.2">
      <c r="A7" s="353"/>
      <c r="B7" s="436" t="s">
        <v>183</v>
      </c>
      <c r="C7" s="358">
        <f>'[3]Air Georgian'!$FA$19</f>
        <v>156</v>
      </c>
      <c r="D7" s="9">
        <f>'[3]Air Georgian'!$EM$19</f>
        <v>157</v>
      </c>
      <c r="E7" s="86">
        <f>(C7-D7)/D7</f>
        <v>-6.369426751592357E-3</v>
      </c>
      <c r="F7" s="295">
        <f>SUM('[3]Air Georgian'!$EZ$19:$FA$19)</f>
        <v>328</v>
      </c>
      <c r="G7" s="295">
        <f>SUM('[3]Air Georgian'!$EL$19:$EM$19)</f>
        <v>157</v>
      </c>
      <c r="H7" s="443">
        <f>(F7-G7)/G7</f>
        <v>1.089171974522293</v>
      </c>
      <c r="I7" s="86">
        <f>F7/$F$64</f>
        <v>5.8206597930826427E-3</v>
      </c>
      <c r="J7" s="353"/>
      <c r="K7" s="436" t="s">
        <v>183</v>
      </c>
      <c r="L7" s="358">
        <f>'[3]Air Georgian'!$FA$41</f>
        <v>5762</v>
      </c>
      <c r="M7" s="9">
        <f>'[3]Air Georgian'!$EM$41</f>
        <v>5887</v>
      </c>
      <c r="N7" s="86">
        <f>(L7-M7)/M7</f>
        <v>-2.123322575165619E-2</v>
      </c>
      <c r="O7" s="358">
        <f>SUM('[3]Air Georgian'!$EZ$41:$FA$41)</f>
        <v>12091</v>
      </c>
      <c r="P7" s="9">
        <f>SUM('[3]Air Georgian'!$EL$41:$EM$41)</f>
        <v>5887</v>
      </c>
      <c r="Q7" s="39">
        <f>(O7-P7)/P7</f>
        <v>1.0538474605062</v>
      </c>
      <c r="R7" s="86">
        <f>O7/$O$64</f>
        <v>2.3606165365766705E-3</v>
      </c>
      <c r="S7" s="20"/>
    </row>
    <row r="8" spans="1:19" ht="14.1" customHeight="1" x14ac:dyDescent="0.2">
      <c r="A8" s="353"/>
      <c r="B8" s="55"/>
      <c r="C8" s="354"/>
      <c r="D8" s="356"/>
      <c r="E8" s="357"/>
      <c r="F8" s="356"/>
      <c r="G8" s="356"/>
      <c r="H8" s="355"/>
      <c r="I8" s="357"/>
      <c r="J8" s="353"/>
      <c r="K8" s="55"/>
      <c r="L8" s="358"/>
      <c r="M8" s="9"/>
      <c r="N8" s="86"/>
      <c r="O8" s="358"/>
      <c r="P8" s="9"/>
      <c r="Q8" s="39"/>
      <c r="R8" s="86"/>
      <c r="S8" s="20"/>
    </row>
    <row r="9" spans="1:19" ht="14.1" customHeight="1" x14ac:dyDescent="0.2">
      <c r="A9" s="353" t="s">
        <v>209</v>
      </c>
      <c r="B9" s="55"/>
      <c r="C9" s="354">
        <f>'[3]Air Choice One'!$FA$19</f>
        <v>232</v>
      </c>
      <c r="D9" s="356">
        <f>'[3]Air Choice One'!$EM$19</f>
        <v>0</v>
      </c>
      <c r="E9" s="357" t="e">
        <f>(C9-D9)/D9</f>
        <v>#DIV/0!</v>
      </c>
      <c r="F9" s="356">
        <f>SUM('[3]Air Choice One'!$EZ$19:$FA$19)</f>
        <v>464</v>
      </c>
      <c r="G9" s="356">
        <f>SUM('[3]Air Choice One'!$EL$19:$EM$19)</f>
        <v>0</v>
      </c>
      <c r="H9" s="355" t="e">
        <f>(F9-G9)/G9</f>
        <v>#DIV/0!</v>
      </c>
      <c r="I9" s="357">
        <f>F9/$F$64</f>
        <v>8.2341040975315426E-3</v>
      </c>
      <c r="J9" s="353" t="s">
        <v>209</v>
      </c>
      <c r="K9" s="55"/>
      <c r="L9" s="354">
        <f>'[3]Air Choice One'!$FA$41</f>
        <v>811</v>
      </c>
      <c r="M9" s="356">
        <f>'[3]Air Choice One'!$EM$41</f>
        <v>0</v>
      </c>
      <c r="N9" s="357" t="e">
        <f>(L9-M9)/M9</f>
        <v>#DIV/0!</v>
      </c>
      <c r="O9" s="354">
        <f>SUM('[3]Air Choice One'!$EZ$41:$FA$41)</f>
        <v>1474</v>
      </c>
      <c r="P9" s="356">
        <f>SUM('[3]Air Choice One'!$EL$41:$EM$41)</f>
        <v>0</v>
      </c>
      <c r="Q9" s="355" t="e">
        <f>(O9-P9)/P9</f>
        <v>#DIV/0!</v>
      </c>
      <c r="R9" s="357">
        <f>O9/$O$64</f>
        <v>2.8778006574427364E-4</v>
      </c>
      <c r="S9" s="20"/>
    </row>
    <row r="10" spans="1:19" ht="14.1" customHeight="1" x14ac:dyDescent="0.2">
      <c r="A10" s="353"/>
      <c r="B10" s="55"/>
      <c r="C10" s="354"/>
      <c r="D10" s="356"/>
      <c r="E10" s="357"/>
      <c r="F10" s="356"/>
      <c r="G10" s="356"/>
      <c r="H10" s="355"/>
      <c r="I10" s="357"/>
      <c r="J10" s="353"/>
      <c r="K10" s="55"/>
      <c r="L10" s="358"/>
      <c r="M10" s="9"/>
      <c r="N10" s="86"/>
      <c r="O10" s="358"/>
      <c r="P10" s="9"/>
      <c r="Q10" s="39"/>
      <c r="R10" s="86"/>
      <c r="S10" s="20"/>
    </row>
    <row r="11" spans="1:19" ht="14.1" customHeight="1" x14ac:dyDescent="0.2">
      <c r="A11" s="353" t="s">
        <v>163</v>
      </c>
      <c r="B11" s="55"/>
      <c r="C11" s="354">
        <f>'[3]Air France'!$FA$19</f>
        <v>0</v>
      </c>
      <c r="D11" s="356">
        <f>'[3]Air France'!$EM$19</f>
        <v>0</v>
      </c>
      <c r="E11" s="357" t="e">
        <f>(C11-D11)/D11</f>
        <v>#DIV/0!</v>
      </c>
      <c r="F11" s="356">
        <f>SUM('[3]Air France'!$EZ$19:$FA$19)</f>
        <v>0</v>
      </c>
      <c r="G11" s="356">
        <f>SUM('[3]Air France'!$EL$19:$EM$19)</f>
        <v>0</v>
      </c>
      <c r="H11" s="355" t="e">
        <f>(F11-G11)/G11</f>
        <v>#DIV/0!</v>
      </c>
      <c r="I11" s="357">
        <f>F11/$F$64</f>
        <v>0</v>
      </c>
      <c r="J11" s="353" t="s">
        <v>163</v>
      </c>
      <c r="K11" s="55"/>
      <c r="L11" s="354">
        <f>'[3]Air France'!$FA$41</f>
        <v>0</v>
      </c>
      <c r="M11" s="356">
        <f>'[3]Air France'!$EM$41</f>
        <v>0</v>
      </c>
      <c r="N11" s="357" t="e">
        <f>(L11-M11)/M11</f>
        <v>#DIV/0!</v>
      </c>
      <c r="O11" s="354">
        <f>SUM('[3]Air France'!$EZ$41:$FA$41)</f>
        <v>0</v>
      </c>
      <c r="P11" s="356">
        <f>SUM('[3]Air France'!$EL$41:$EM$41)</f>
        <v>0</v>
      </c>
      <c r="Q11" s="355" t="e">
        <f>(O11-P11)/P11</f>
        <v>#DIV/0!</v>
      </c>
      <c r="R11" s="357">
        <f>O11/$O$64</f>
        <v>0</v>
      </c>
      <c r="S11" s="20"/>
    </row>
    <row r="12" spans="1:19" ht="14.1" customHeight="1" x14ac:dyDescent="0.2">
      <c r="A12" s="353"/>
      <c r="B12" s="55"/>
      <c r="C12" s="354"/>
      <c r="D12" s="356"/>
      <c r="E12" s="357"/>
      <c r="F12" s="356"/>
      <c r="G12" s="356"/>
      <c r="H12" s="355"/>
      <c r="I12" s="357"/>
      <c r="J12" s="353"/>
      <c r="K12" s="55"/>
      <c r="L12" s="358"/>
      <c r="M12" s="9"/>
      <c r="N12" s="86"/>
      <c r="O12" s="358"/>
      <c r="P12" s="9"/>
      <c r="Q12" s="39"/>
      <c r="R12" s="86"/>
      <c r="S12" s="20"/>
    </row>
    <row r="13" spans="1:19" ht="14.1" customHeight="1" x14ac:dyDescent="0.2">
      <c r="A13" s="353" t="s">
        <v>132</v>
      </c>
      <c r="B13" s="55"/>
      <c r="C13" s="354">
        <f>SUM(C14:C15)</f>
        <v>118</v>
      </c>
      <c r="D13" s="356">
        <f>SUM(D14:D15)</f>
        <v>142</v>
      </c>
      <c r="E13" s="357">
        <f>(C13-D13)/D13</f>
        <v>-0.16901408450704225</v>
      </c>
      <c r="F13" s="356">
        <f>SUM(F14:F15)</f>
        <v>289</v>
      </c>
      <c r="G13" s="356">
        <f>SUM(G14:G15)</f>
        <v>266</v>
      </c>
      <c r="H13" s="355">
        <f>(F13-G13)/G13</f>
        <v>8.646616541353383E-2</v>
      </c>
      <c r="I13" s="357">
        <f>F13/$F$64</f>
        <v>5.1285691469539138E-3</v>
      </c>
      <c r="J13" s="353" t="s">
        <v>132</v>
      </c>
      <c r="K13" s="55"/>
      <c r="L13" s="354">
        <f>SUM(L14:L15)</f>
        <v>11927</v>
      </c>
      <c r="M13" s="356">
        <f>SUM(M14:M15)</f>
        <v>17722</v>
      </c>
      <c r="N13" s="357">
        <f>(L13-M13)/M13</f>
        <v>-0.3269946958582553</v>
      </c>
      <c r="O13" s="354">
        <f>SUM(O14:O15)</f>
        <v>30622</v>
      </c>
      <c r="P13" s="356">
        <f>SUM(P14:P15)</f>
        <v>36376</v>
      </c>
      <c r="Q13" s="355">
        <f>(O13-P13)/P13</f>
        <v>-0.15818121838574883</v>
      </c>
      <c r="R13" s="357">
        <f>O13/$O$64</f>
        <v>5.9785625327144825E-3</v>
      </c>
      <c r="S13" s="20"/>
    </row>
    <row r="14" spans="1:19" ht="14.1" customHeight="1" x14ac:dyDescent="0.2">
      <c r="A14" s="353"/>
      <c r="B14" s="436" t="s">
        <v>132</v>
      </c>
      <c r="C14" s="442">
        <f>[3]Alaska!$FA$19</f>
        <v>62</v>
      </c>
      <c r="D14" s="295">
        <f>[3]Alaska!$EM$19</f>
        <v>142</v>
      </c>
      <c r="E14" s="444">
        <f>(C14-D14)/D14</f>
        <v>-0.56338028169014087</v>
      </c>
      <c r="F14" s="295">
        <f>SUM([3]Alaska!$EZ$19:$FA$19)</f>
        <v>176</v>
      </c>
      <c r="G14" s="295">
        <f>SUM([3]Alaska!$EL$19:$EM$19)</f>
        <v>266</v>
      </c>
      <c r="H14" s="443">
        <f>(F14-G14)/G14</f>
        <v>-0.33834586466165412</v>
      </c>
      <c r="I14" s="444">
        <f>F14/$F$64</f>
        <v>3.1232808645809303E-3</v>
      </c>
      <c r="J14" s="353"/>
      <c r="K14" s="436" t="s">
        <v>132</v>
      </c>
      <c r="L14" s="442">
        <f>[3]Alaska!$FA$41</f>
        <v>8520</v>
      </c>
      <c r="M14" s="295">
        <f>[3]Alaska!$EM$41</f>
        <v>17722</v>
      </c>
      <c r="N14" s="444">
        <f>(L14-M14)/M14</f>
        <v>-0.51924162058458412</v>
      </c>
      <c r="O14" s="442">
        <f>SUM([3]Alaska!$EZ$41:$FA$41)</f>
        <v>23705</v>
      </c>
      <c r="P14" s="295">
        <f>SUM([3]Alaska!$EL$41:$EM$41)</f>
        <v>36376</v>
      </c>
      <c r="Q14" s="443">
        <f>(O14-P14)/P14</f>
        <v>-0.3483340664174181</v>
      </c>
      <c r="R14" s="444">
        <f>O14/$O$64</f>
        <v>4.6281047886485797E-3</v>
      </c>
      <c r="S14" s="20"/>
    </row>
    <row r="15" spans="1:19" ht="14.1" customHeight="1" x14ac:dyDescent="0.2">
      <c r="A15" s="353"/>
      <c r="B15" s="436" t="s">
        <v>101</v>
      </c>
      <c r="C15" s="358">
        <f>'[3]Sky West_AS'!$FA$19</f>
        <v>56</v>
      </c>
      <c r="D15" s="9">
        <f>'[3]Sky West_AS'!$EM$19</f>
        <v>0</v>
      </c>
      <c r="E15" s="86" t="e">
        <f>(C15-D15)/D15</f>
        <v>#DIV/0!</v>
      </c>
      <c r="F15" s="9">
        <f>SUM('[3]Sky West_AS'!$EZ$19:$FA$19)</f>
        <v>113</v>
      </c>
      <c r="G15" s="9">
        <f>SUM('[3]Sky West_AS'!$EL$19:$EM$19)</f>
        <v>0</v>
      </c>
      <c r="H15" s="39" t="e">
        <f>(F15-G15)/G15</f>
        <v>#DIV/0!</v>
      </c>
      <c r="I15" s="86">
        <f>F15/$F$64</f>
        <v>2.0052882823729835E-3</v>
      </c>
      <c r="J15" s="353"/>
      <c r="K15" s="436" t="s">
        <v>101</v>
      </c>
      <c r="L15" s="358">
        <f>'[3]Sky West_AS'!$FA$41</f>
        <v>3407</v>
      </c>
      <c r="M15" s="9">
        <f>'[3]Sky West_AS'!$EM$41</f>
        <v>0</v>
      </c>
      <c r="N15" s="86" t="e">
        <f>(L15-M15)/M15</f>
        <v>#DIV/0!</v>
      </c>
      <c r="O15" s="358">
        <f>SUM('[3]Sky West_AS'!$EZ$41:$FA$41)</f>
        <v>6917</v>
      </c>
      <c r="P15" s="9">
        <f>SUM('[3]Sky West_AS'!$EL$41:$EM$41)</f>
        <v>0</v>
      </c>
      <c r="Q15" s="39" t="e">
        <f>(O15-P15)/P15</f>
        <v>#DIV/0!</v>
      </c>
      <c r="R15" s="444">
        <f>O15/$O$64</f>
        <v>1.3504577440659029E-3</v>
      </c>
      <c r="S15" s="20"/>
    </row>
    <row r="16" spans="1:19" ht="14.1" customHeight="1" x14ac:dyDescent="0.2">
      <c r="A16" s="353"/>
      <c r="B16" s="55"/>
      <c r="C16" s="354"/>
      <c r="D16" s="359"/>
      <c r="E16" s="357"/>
      <c r="F16" s="359"/>
      <c r="G16" s="359"/>
      <c r="H16" s="355"/>
      <c r="I16" s="357"/>
      <c r="J16" s="353"/>
      <c r="K16" s="55"/>
      <c r="L16" s="360"/>
      <c r="M16" s="146"/>
      <c r="N16" s="86"/>
      <c r="O16" s="360"/>
      <c r="P16" s="146"/>
      <c r="Q16" s="39"/>
      <c r="R16" s="86"/>
      <c r="S16" s="20"/>
    </row>
    <row r="17" spans="1:22" ht="14.1" customHeight="1" x14ac:dyDescent="0.2">
      <c r="A17" s="353" t="s">
        <v>17</v>
      </c>
      <c r="B17" s="366"/>
      <c r="C17" s="354">
        <f>SUM(C18:C24)</f>
        <v>1695</v>
      </c>
      <c r="D17" s="356">
        <f>SUM(D18:D24)</f>
        <v>1582</v>
      </c>
      <c r="E17" s="357">
        <f t="shared" ref="E17:E24" si="0">(C17-D17)/D17</f>
        <v>7.1428571428571425E-2</v>
      </c>
      <c r="F17" s="354">
        <f>SUM(F18:F24)</f>
        <v>3506</v>
      </c>
      <c r="G17" s="356">
        <f>SUM(G18:G24)</f>
        <v>3283</v>
      </c>
      <c r="H17" s="355">
        <f t="shared" ref="H17:H24" si="1">(F17-G17)/G17</f>
        <v>6.7925677733780082E-2</v>
      </c>
      <c r="I17" s="357">
        <f t="shared" ref="I17:I24" si="2">F17/$F$64</f>
        <v>6.2217174495572396E-2</v>
      </c>
      <c r="J17" s="353" t="s">
        <v>17</v>
      </c>
      <c r="K17" s="361"/>
      <c r="L17" s="354">
        <f>SUM(L18:L24)</f>
        <v>173917</v>
      </c>
      <c r="M17" s="356">
        <f>SUM(M18:M24)</f>
        <v>176431</v>
      </c>
      <c r="N17" s="357">
        <f t="shared" ref="N17:N24" si="3">(L17-M17)/M17</f>
        <v>-1.4249196569763816E-2</v>
      </c>
      <c r="O17" s="354">
        <f>SUM(O18:O24)</f>
        <v>345202</v>
      </c>
      <c r="P17" s="356">
        <f>SUM(P18:P24)</f>
        <v>366072</v>
      </c>
      <c r="Q17" s="355">
        <f t="shared" ref="Q17:Q24" si="4">(O17-P17)/P17</f>
        <v>-5.7010642715094297E-2</v>
      </c>
      <c r="R17" s="357">
        <f t="shared" ref="R17:R24" si="5">O17/$O$64</f>
        <v>6.7396373307364144E-2</v>
      </c>
      <c r="S17" s="20"/>
    </row>
    <row r="18" spans="1:22" ht="14.1" customHeight="1" x14ac:dyDescent="0.2">
      <c r="A18" s="53"/>
      <c r="B18" s="363" t="s">
        <v>17</v>
      </c>
      <c r="C18" s="358">
        <f>[3]American!$FA$19</f>
        <v>1390</v>
      </c>
      <c r="D18" s="9">
        <f>[3]American!$EM$19</f>
        <v>1348</v>
      </c>
      <c r="E18" s="86">
        <f t="shared" si="0"/>
        <v>3.1157270029673591E-2</v>
      </c>
      <c r="F18" s="9">
        <f>SUM([3]American!$EZ$19:$FA$19)</f>
        <v>2875</v>
      </c>
      <c r="G18" s="9">
        <f>SUM([3]American!$EL$19:$EM$19)</f>
        <v>2799</v>
      </c>
      <c r="H18" s="39">
        <f t="shared" si="1"/>
        <v>2.7152554483744193E-2</v>
      </c>
      <c r="I18" s="86">
        <f t="shared" si="2"/>
        <v>5.1019502759489625E-2</v>
      </c>
      <c r="J18" s="53"/>
      <c r="K18" s="362" t="s">
        <v>17</v>
      </c>
      <c r="L18" s="358">
        <f>[3]American!$FA$41</f>
        <v>160767</v>
      </c>
      <c r="M18" s="9">
        <f>[3]American!$EM$41</f>
        <v>165408</v>
      </c>
      <c r="N18" s="86">
        <f t="shared" si="3"/>
        <v>-2.8057893209518282E-2</v>
      </c>
      <c r="O18" s="358">
        <f>SUM([3]American!$EZ$41:$FA$41)</f>
        <v>320239</v>
      </c>
      <c r="P18" s="9">
        <f>SUM([3]American!$EL$41:$EM$41)</f>
        <v>343518</v>
      </c>
      <c r="Q18" s="39">
        <f t="shared" si="4"/>
        <v>-6.77664634749853E-2</v>
      </c>
      <c r="R18" s="86">
        <f t="shared" si="5"/>
        <v>6.2522659751614959E-2</v>
      </c>
      <c r="S18" s="20"/>
    </row>
    <row r="19" spans="1:22" ht="14.1" customHeight="1" x14ac:dyDescent="0.2">
      <c r="A19" s="53"/>
      <c r="B19" s="437" t="s">
        <v>184</v>
      </c>
      <c r="C19" s="358">
        <f>'[3]American Eagle'!$FA$19</f>
        <v>17</v>
      </c>
      <c r="D19" s="9">
        <f>'[3]American Eagle'!$EM$19</f>
        <v>8</v>
      </c>
      <c r="E19" s="86">
        <f t="shared" si="0"/>
        <v>1.125</v>
      </c>
      <c r="F19" s="9">
        <f>SUM('[3]American Eagle'!$EZ$19:$FA$19)</f>
        <v>39</v>
      </c>
      <c r="G19" s="9">
        <f>SUM('[3]American Eagle'!$EL$19:$EM$19)</f>
        <v>28</v>
      </c>
      <c r="H19" s="39">
        <f t="shared" si="1"/>
        <v>0.39285714285714285</v>
      </c>
      <c r="I19" s="86">
        <f t="shared" si="2"/>
        <v>6.9209064612872889E-4</v>
      </c>
      <c r="J19" s="53"/>
      <c r="K19" s="435" t="s">
        <v>184</v>
      </c>
      <c r="L19" s="358">
        <f>'[3]American Eagle'!$FA$41</f>
        <v>897</v>
      </c>
      <c r="M19" s="9">
        <f>'[3]American Eagle'!$EM$41</f>
        <v>436</v>
      </c>
      <c r="N19" s="86">
        <f t="shared" si="3"/>
        <v>1.0573394495412844</v>
      </c>
      <c r="O19" s="358">
        <f>SUM('[3]American Eagle'!$EZ$41:$FA$41)</f>
        <v>1818</v>
      </c>
      <c r="P19" s="9">
        <f>SUM('[3]American Eagle'!$EL$41:$EM$41)</f>
        <v>1449</v>
      </c>
      <c r="Q19" s="39">
        <f t="shared" si="4"/>
        <v>0.25465838509316768</v>
      </c>
      <c r="R19" s="86">
        <f t="shared" si="5"/>
        <v>3.5494176358418552E-4</v>
      </c>
      <c r="S19" s="20"/>
    </row>
    <row r="20" spans="1:22" ht="14.1" customHeight="1" x14ac:dyDescent="0.2">
      <c r="A20" s="53"/>
      <c r="B20" s="437" t="s">
        <v>53</v>
      </c>
      <c r="C20" s="358">
        <f>[3]Republic!$FA$19</f>
        <v>242</v>
      </c>
      <c r="D20" s="9">
        <f>[3]Republic!$EM$19</f>
        <v>202</v>
      </c>
      <c r="E20" s="86">
        <f t="shared" si="0"/>
        <v>0.19801980198019803</v>
      </c>
      <c r="F20" s="9">
        <f>SUM([3]Republic!$EZ$19:$FA$19)</f>
        <v>512</v>
      </c>
      <c r="G20" s="9">
        <f>SUM([3]Republic!$EL$19:$EM$19)</f>
        <v>358</v>
      </c>
      <c r="H20" s="39">
        <f t="shared" si="1"/>
        <v>0.43016759776536312</v>
      </c>
      <c r="I20" s="86">
        <f t="shared" si="2"/>
        <v>9.0859079696899783E-3</v>
      </c>
      <c r="J20" s="369"/>
      <c r="K20" s="364" t="s">
        <v>53</v>
      </c>
      <c r="L20" s="358">
        <f>[3]Republic!$FA$41</f>
        <v>10413</v>
      </c>
      <c r="M20" s="9">
        <f>[3]Republic!$EM$41</f>
        <v>9738</v>
      </c>
      <c r="N20" s="86">
        <f t="shared" si="3"/>
        <v>6.9316081330868765E-2</v>
      </c>
      <c r="O20" s="358">
        <f>SUM([3]Republic!$EZ$41:$FA$41)</f>
        <v>19991</v>
      </c>
      <c r="P20" s="9">
        <f>SUM([3]Republic!$EL$41:$EM$41)</f>
        <v>16886</v>
      </c>
      <c r="Q20" s="39">
        <f t="shared" si="4"/>
        <v>0.1838801373919223</v>
      </c>
      <c r="R20" s="86">
        <f t="shared" si="5"/>
        <v>3.902992736969996E-3</v>
      </c>
      <c r="S20" s="20"/>
    </row>
    <row r="21" spans="1:22" ht="14.1" customHeight="1" x14ac:dyDescent="0.2">
      <c r="A21" s="53"/>
      <c r="B21" s="437" t="s">
        <v>214</v>
      </c>
      <c r="C21" s="358">
        <f>[3]PSA!$FA$19</f>
        <v>40</v>
      </c>
      <c r="D21" s="9">
        <f>[3]PSA!$EM$19</f>
        <v>0</v>
      </c>
      <c r="E21" s="86" t="e">
        <f t="shared" si="0"/>
        <v>#DIV/0!</v>
      </c>
      <c r="F21" s="9">
        <f>SUM([3]PSA!$EZ$19:$FA$19)</f>
        <v>74</v>
      </c>
      <c r="G21" s="9">
        <f>SUM([3]PSA!$EL$19:$EM$19)</f>
        <v>0</v>
      </c>
      <c r="H21" s="39" t="e">
        <f t="shared" ref="H21" si="6">(F21-G21)/G21</f>
        <v>#DIV/0!</v>
      </c>
      <c r="I21" s="86">
        <f t="shared" si="2"/>
        <v>1.3131976362442547E-3</v>
      </c>
      <c r="J21" s="369"/>
      <c r="K21" s="437" t="s">
        <v>214</v>
      </c>
      <c r="L21" s="358">
        <f>[3]PSA!$FA$41</f>
        <v>1518</v>
      </c>
      <c r="M21" s="9">
        <f>[3]PSA!$EM$41</f>
        <v>0</v>
      </c>
      <c r="N21" s="86" t="e">
        <f t="shared" si="3"/>
        <v>#DIV/0!</v>
      </c>
      <c r="O21" s="358">
        <f>SUM([3]PSA!$EZ$41:$FA$41)</f>
        <v>2832</v>
      </c>
      <c r="P21" s="9">
        <f>SUM([3]PSA!$EL$41:$EM$41)</f>
        <v>0</v>
      </c>
      <c r="Q21" s="39" t="e">
        <f t="shared" ref="Q21" si="7">(O21-P21)/P21</f>
        <v>#DIV/0!</v>
      </c>
      <c r="R21" s="86">
        <f t="shared" si="5"/>
        <v>5.5291258221694904E-4</v>
      </c>
      <c r="S21" s="20"/>
    </row>
    <row r="22" spans="1:22" ht="14.1" customHeight="1" x14ac:dyDescent="0.2">
      <c r="A22" s="53"/>
      <c r="B22" s="436" t="s">
        <v>101</v>
      </c>
      <c r="C22" s="358">
        <f>'[3]Sky West_AA'!$FA$19</f>
        <v>4</v>
      </c>
      <c r="D22" s="9">
        <f>'[3]Sky West_AA'!$EM$19</f>
        <v>0</v>
      </c>
      <c r="E22" s="86" t="e">
        <f>(C22-D22)/D22</f>
        <v>#DIV/0!</v>
      </c>
      <c r="F22" s="9">
        <f>SUM('[3]Sky West_AA'!$EZ$19:$FA$19)</f>
        <v>4</v>
      </c>
      <c r="G22" s="9">
        <f>SUM('[3]Sky West_AA'!$EL$19:$EM$19)</f>
        <v>0</v>
      </c>
      <c r="H22" s="39" t="e">
        <f>(F22-G22)/G22</f>
        <v>#DIV/0!</v>
      </c>
      <c r="I22" s="86">
        <f t="shared" si="2"/>
        <v>7.0983656013202956E-5</v>
      </c>
      <c r="J22" s="369"/>
      <c r="K22" s="436" t="s">
        <v>101</v>
      </c>
      <c r="L22" s="358">
        <f>'[3]Sky West_AA'!$FA$41</f>
        <v>232</v>
      </c>
      <c r="M22" s="9">
        <f>'[3]Sky West_AA'!$EM$41</f>
        <v>0</v>
      </c>
      <c r="N22" s="86" t="e">
        <f>(L22-M22)/M22</f>
        <v>#DIV/0!</v>
      </c>
      <c r="O22" s="358">
        <f>SUM('[3]Sky West_AA'!$EZ$41:$FA$41)</f>
        <v>232</v>
      </c>
      <c r="P22" s="9">
        <f>SUM('[3]Sky West_AA'!$EL$41:$EM$41)</f>
        <v>0</v>
      </c>
      <c r="Q22" s="39" t="e">
        <f>(O22-P22)/P22</f>
        <v>#DIV/0!</v>
      </c>
      <c r="R22" s="444">
        <f t="shared" si="5"/>
        <v>4.5295098543196395E-5</v>
      </c>
      <c r="S22" s="20"/>
    </row>
    <row r="23" spans="1:22" ht="14.1" customHeight="1" x14ac:dyDescent="0.2">
      <c r="A23" s="53"/>
      <c r="B23" s="437" t="s">
        <v>52</v>
      </c>
      <c r="C23" s="358">
        <f>[3]MESA!$FA$19</f>
        <v>0</v>
      </c>
      <c r="D23" s="9">
        <f>[3]MESA!$EM$19</f>
        <v>0</v>
      </c>
      <c r="E23" s="86" t="e">
        <f t="shared" si="0"/>
        <v>#DIV/0!</v>
      </c>
      <c r="F23" s="9">
        <f>SUM([3]MESA!$EZ$19:$FA$19)</f>
        <v>0</v>
      </c>
      <c r="G23" s="9">
        <f>SUM([3]MESA!$EL$19:$EM$19)</f>
        <v>14</v>
      </c>
      <c r="H23" s="39">
        <f t="shared" si="1"/>
        <v>-1</v>
      </c>
      <c r="I23" s="86">
        <f t="shared" si="2"/>
        <v>0</v>
      </c>
      <c r="J23" s="369"/>
      <c r="K23" s="435" t="s">
        <v>52</v>
      </c>
      <c r="L23" s="358">
        <f>[3]MESA!$FA$41</f>
        <v>0</v>
      </c>
      <c r="M23" s="9">
        <f>[3]MESA!$EM$41</f>
        <v>0</v>
      </c>
      <c r="N23" s="86" t="e">
        <f t="shared" si="3"/>
        <v>#DIV/0!</v>
      </c>
      <c r="O23" s="358">
        <f>SUM([3]MESA!$EZ$41:$FA$41)</f>
        <v>0</v>
      </c>
      <c r="P23" s="9">
        <f>SUM([3]MESA!$EL$41:$EM$41)</f>
        <v>1079</v>
      </c>
      <c r="Q23" s="39">
        <f t="shared" si="4"/>
        <v>-1</v>
      </c>
      <c r="R23" s="86">
        <f t="shared" si="5"/>
        <v>0</v>
      </c>
      <c r="S23" s="20"/>
    </row>
    <row r="24" spans="1:22" ht="14.1" customHeight="1" x14ac:dyDescent="0.2">
      <c r="A24" s="53"/>
      <c r="B24" s="437" t="s">
        <v>50</v>
      </c>
      <c r="C24" s="358">
        <f>'[3]Air Wisconsin'!$FA$19</f>
        <v>2</v>
      </c>
      <c r="D24" s="9">
        <f>'[3]Air Wisconsin'!$EM$19</f>
        <v>24</v>
      </c>
      <c r="E24" s="86">
        <f t="shared" si="0"/>
        <v>-0.91666666666666663</v>
      </c>
      <c r="F24" s="9">
        <f>SUM('[3]Air Wisconsin'!$EZ$19:$FA$19)</f>
        <v>2</v>
      </c>
      <c r="G24" s="9">
        <f>SUM('[3]Air Wisconsin'!$EL$19:$EM$19)</f>
        <v>84</v>
      </c>
      <c r="H24" s="502">
        <f t="shared" si="1"/>
        <v>-0.97619047619047616</v>
      </c>
      <c r="I24" s="86">
        <f t="shared" si="2"/>
        <v>3.5491828006601478E-5</v>
      </c>
      <c r="J24" s="53"/>
      <c r="K24" s="438" t="s">
        <v>50</v>
      </c>
      <c r="L24" s="358">
        <f>'[3]Air Wisconsin'!$FA$41</f>
        <v>90</v>
      </c>
      <c r="M24" s="9">
        <f>'[3]Air Wisconsin'!$EM$41</f>
        <v>849</v>
      </c>
      <c r="N24" s="86">
        <f t="shared" si="3"/>
        <v>-0.89399293286219084</v>
      </c>
      <c r="O24" s="358">
        <f>SUM('[3]Air Wisconsin'!$EZ$41:$FA$41)</f>
        <v>90</v>
      </c>
      <c r="P24" s="9">
        <f>SUM('[3]Air Wisconsin'!$EL$41:$EM$41)</f>
        <v>3140</v>
      </c>
      <c r="Q24" s="39">
        <f t="shared" si="4"/>
        <v>-0.9713375796178344</v>
      </c>
      <c r="R24" s="86">
        <f t="shared" si="5"/>
        <v>1.7571374434860669E-5</v>
      </c>
      <c r="S24" s="20"/>
    </row>
    <row r="25" spans="1:22" ht="14.1" customHeight="1" x14ac:dyDescent="0.2">
      <c r="A25" s="53"/>
      <c r="B25" s="363"/>
      <c r="C25" s="358"/>
      <c r="D25" s="9"/>
      <c r="E25" s="86"/>
      <c r="F25" s="9"/>
      <c r="G25" s="9"/>
      <c r="H25" s="39"/>
      <c r="I25" s="86"/>
      <c r="J25" s="53"/>
      <c r="K25" s="363"/>
      <c r="L25" s="358"/>
      <c r="M25" s="9"/>
      <c r="N25" s="86"/>
      <c r="O25" s="358"/>
      <c r="P25" s="9"/>
      <c r="Q25" s="39"/>
      <c r="R25" s="86"/>
      <c r="S25" s="20"/>
      <c r="T25" s="9"/>
      <c r="U25" s="11"/>
      <c r="V25" s="11"/>
    </row>
    <row r="26" spans="1:22" ht="14.1" customHeight="1" x14ac:dyDescent="0.2">
      <c r="A26" s="353" t="s">
        <v>210</v>
      </c>
      <c r="B26" s="363"/>
      <c r="C26" s="354">
        <f>'[3]Boutique Air'!$FA$19</f>
        <v>145</v>
      </c>
      <c r="D26" s="356">
        <f>'[3]Boutique Air'!$EM$19</f>
        <v>0</v>
      </c>
      <c r="E26" s="357" t="e">
        <f>(C26-D26)/D26</f>
        <v>#DIV/0!</v>
      </c>
      <c r="F26" s="356">
        <f>SUM('[3]Boutique Air'!$EZ$19:$FA$19)</f>
        <v>296</v>
      </c>
      <c r="G26" s="356">
        <f>SUM('[3]Boutique Air'!$EL$19:$EM$19)</f>
        <v>0</v>
      </c>
      <c r="H26" s="355" t="e">
        <f>(F26-G26)/G26</f>
        <v>#DIV/0!</v>
      </c>
      <c r="I26" s="357">
        <f>F26/$F$64</f>
        <v>5.2527905449770186E-3</v>
      </c>
      <c r="J26" s="353" t="s">
        <v>210</v>
      </c>
      <c r="K26" s="363"/>
      <c r="L26" s="354">
        <f>'[3]Boutique Air'!$FA$41</f>
        <v>983</v>
      </c>
      <c r="M26" s="356">
        <f>'[3]Boutique Air'!$EM$41</f>
        <v>0</v>
      </c>
      <c r="N26" s="357" t="e">
        <f>(L26-M26)/M26</f>
        <v>#DIV/0!</v>
      </c>
      <c r="O26" s="354">
        <f>SUM('[3]Boutique Air'!$EZ$41:$FA$41)</f>
        <v>2037</v>
      </c>
      <c r="P26" s="356">
        <f>SUM('[3]Boutique Air'!$EL$41:$EM$41)</f>
        <v>0</v>
      </c>
      <c r="Q26" s="355" t="e">
        <f>(O26-P26)/P26</f>
        <v>#DIV/0!</v>
      </c>
      <c r="R26" s="357">
        <f>O26/$O$64</f>
        <v>3.9769877470901318E-4</v>
      </c>
      <c r="S26" s="20"/>
      <c r="T26" s="9"/>
      <c r="U26" s="11"/>
      <c r="V26" s="11"/>
    </row>
    <row r="27" spans="1:22" ht="14.1" customHeight="1" x14ac:dyDescent="0.2">
      <c r="A27" s="53"/>
      <c r="B27" s="363"/>
      <c r="C27" s="358"/>
      <c r="D27" s="9"/>
      <c r="E27" s="86"/>
      <c r="F27" s="9"/>
      <c r="G27" s="9"/>
      <c r="H27" s="39"/>
      <c r="I27" s="86"/>
      <c r="J27" s="53"/>
      <c r="K27" s="363"/>
      <c r="L27" s="358"/>
      <c r="M27" s="9"/>
      <c r="N27" s="86"/>
      <c r="O27" s="358"/>
      <c r="P27" s="9"/>
      <c r="Q27" s="39"/>
      <c r="R27" s="86"/>
      <c r="S27" s="20"/>
      <c r="T27" s="9"/>
      <c r="U27" s="11"/>
      <c r="V27" s="11"/>
    </row>
    <row r="28" spans="1:22" ht="14.1" customHeight="1" x14ac:dyDescent="0.2">
      <c r="A28" s="353" t="s">
        <v>170</v>
      </c>
      <c r="B28" s="363"/>
      <c r="C28" s="354">
        <f>[3]Condor!$FA$19</f>
        <v>0</v>
      </c>
      <c r="D28" s="356">
        <f>[3]Condor!$EM$19</f>
        <v>0</v>
      </c>
      <c r="E28" s="357" t="e">
        <f>(C28-D28)/D28</f>
        <v>#DIV/0!</v>
      </c>
      <c r="F28" s="356">
        <f>SUM([3]Condor!$EZ$19:$FA$19)</f>
        <v>0</v>
      </c>
      <c r="G28" s="356">
        <f>SUM([3]Condor!$EL$19:$EM$19)</f>
        <v>0</v>
      </c>
      <c r="H28" s="355" t="e">
        <f>(F28-G28)/G28</f>
        <v>#DIV/0!</v>
      </c>
      <c r="I28" s="357">
        <f>F28/$F$64</f>
        <v>0</v>
      </c>
      <c r="J28" s="353" t="s">
        <v>170</v>
      </c>
      <c r="K28" s="363"/>
      <c r="L28" s="354">
        <f>[3]Condor!$FA$41</f>
        <v>0</v>
      </c>
      <c r="M28" s="356">
        <f>[3]Condor!$EM$41</f>
        <v>0</v>
      </c>
      <c r="N28" s="357" t="e">
        <f>(L28-M28)/M28</f>
        <v>#DIV/0!</v>
      </c>
      <c r="O28" s="354">
        <f>SUM([3]Condor!$EZ$41:$FA$41)</f>
        <v>0</v>
      </c>
      <c r="P28" s="356">
        <f>SUM([3]Condor!$EL$41:$EM$41)</f>
        <v>0</v>
      </c>
      <c r="Q28" s="355" t="e">
        <f>(O28-P28)/P28</f>
        <v>#DIV/0!</v>
      </c>
      <c r="R28" s="357">
        <f>O28/$O$64</f>
        <v>0</v>
      </c>
      <c r="S28" s="20"/>
      <c r="T28" s="9"/>
      <c r="U28" s="11"/>
      <c r="V28" s="11"/>
    </row>
    <row r="29" spans="1:22" ht="14.1" customHeight="1" x14ac:dyDescent="0.2">
      <c r="A29" s="53"/>
      <c r="B29" s="363"/>
      <c r="C29" s="358"/>
      <c r="D29" s="9"/>
      <c r="E29" s="86"/>
      <c r="F29" s="9"/>
      <c r="G29" s="9"/>
      <c r="H29" s="39"/>
      <c r="I29" s="86"/>
      <c r="J29" s="53"/>
      <c r="K29" s="363"/>
      <c r="L29" s="358"/>
      <c r="M29" s="9"/>
      <c r="N29" s="86"/>
      <c r="O29" s="358"/>
      <c r="P29" s="9"/>
      <c r="Q29" s="39"/>
      <c r="R29" s="86"/>
      <c r="S29" s="20"/>
      <c r="T29" s="9"/>
      <c r="U29" s="11"/>
      <c r="V29" s="11"/>
    </row>
    <row r="30" spans="1:22" ht="14.1" customHeight="1" x14ac:dyDescent="0.2">
      <c r="A30" s="353" t="s">
        <v>18</v>
      </c>
      <c r="B30" s="366"/>
      <c r="C30" s="354">
        <f>SUM(C31:C37)</f>
        <v>19343</v>
      </c>
      <c r="D30" s="356">
        <f>SUM(D31:D37)</f>
        <v>20215</v>
      </c>
      <c r="E30" s="357">
        <f t="shared" ref="E30:E37" si="8">(C30-D30)/D30</f>
        <v>-4.3136284936928025E-2</v>
      </c>
      <c r="F30" s="359">
        <f>SUM(F31:F37)</f>
        <v>40153</v>
      </c>
      <c r="G30" s="359">
        <f>SUM(G31:G37)</f>
        <v>41656</v>
      </c>
      <c r="H30" s="355">
        <f>(F30-G30)/G30</f>
        <v>-3.6081236796619932E-2</v>
      </c>
      <c r="I30" s="357">
        <f t="shared" ref="I30:I37" si="9">F30/$F$64</f>
        <v>0.71255168497453458</v>
      </c>
      <c r="J30" s="353" t="s">
        <v>18</v>
      </c>
      <c r="K30" s="366"/>
      <c r="L30" s="354">
        <f>SUM(L31:L37)</f>
        <v>1722860</v>
      </c>
      <c r="M30" s="356">
        <f>SUM(M31:M37)</f>
        <v>1792579</v>
      </c>
      <c r="N30" s="357">
        <f t="shared" ref="N30:N37" si="10">(L30-M30)/M30</f>
        <v>-3.889312549126147E-2</v>
      </c>
      <c r="O30" s="354">
        <f>SUM(O31:O37)</f>
        <v>3529938</v>
      </c>
      <c r="P30" s="356">
        <f>SUM(P31:P37)</f>
        <v>3628919</v>
      </c>
      <c r="Q30" s="355">
        <f t="shared" ref="Q30:Q37" si="11">(O30-P30)/P30</f>
        <v>-2.7275615686103767E-2</v>
      </c>
      <c r="R30" s="357">
        <f t="shared" ref="R30:R37" si="12">O30/$O$64</f>
        <v>0.68917624810936895</v>
      </c>
      <c r="S30" s="421"/>
      <c r="U30" s="11"/>
      <c r="V30" s="11"/>
    </row>
    <row r="31" spans="1:22" ht="14.1" customHeight="1" x14ac:dyDescent="0.2">
      <c r="A31" s="53"/>
      <c r="B31" s="362" t="s">
        <v>18</v>
      </c>
      <c r="C31" s="358">
        <f>[3]Delta!$FA$19</f>
        <v>9416</v>
      </c>
      <c r="D31" s="9">
        <f>[3]Delta!$EM$19</f>
        <v>9522</v>
      </c>
      <c r="E31" s="86">
        <f t="shared" si="8"/>
        <v>-1.1132115101869355E-2</v>
      </c>
      <c r="F31" s="9">
        <f>SUM([3]Delta!$EZ$19:$FA$19)</f>
        <v>19429</v>
      </c>
      <c r="G31" s="9">
        <f>SUM([3]Delta!$EL$19:$EM$19)</f>
        <v>19239</v>
      </c>
      <c r="H31" s="39">
        <f t="shared" ref="H31:H37" si="13">(F31-G31)/G31</f>
        <v>9.8757731690836317E-3</v>
      </c>
      <c r="I31" s="86">
        <f t="shared" si="9"/>
        <v>0.34478536317013009</v>
      </c>
      <c r="J31" s="53"/>
      <c r="K31" s="362" t="s">
        <v>18</v>
      </c>
      <c r="L31" s="358">
        <f>[3]Delta!$FA$41</f>
        <v>1245416</v>
      </c>
      <c r="M31" s="9">
        <f>[3]Delta!$EM$41</f>
        <v>1266852</v>
      </c>
      <c r="N31" s="86">
        <f t="shared" si="10"/>
        <v>-1.6920682131772297E-2</v>
      </c>
      <c r="O31" s="358">
        <f>SUM([3]Delta!$EZ$41:$FA$41)</f>
        <v>2538568</v>
      </c>
      <c r="P31" s="9">
        <f>SUM([3]Delta!$EL$41:$EM$41)</f>
        <v>2547213</v>
      </c>
      <c r="Q31" s="39">
        <f t="shared" si="11"/>
        <v>-3.3939054174111079E-3</v>
      </c>
      <c r="R31" s="86">
        <f t="shared" si="12"/>
        <v>0.49562365395950425</v>
      </c>
      <c r="S31" s="20"/>
      <c r="T31" s="9"/>
      <c r="U31" s="11"/>
      <c r="V31" s="11"/>
    </row>
    <row r="32" spans="1:22" ht="14.1" customHeight="1" x14ac:dyDescent="0.2">
      <c r="A32" s="53"/>
      <c r="B32" s="364" t="s">
        <v>121</v>
      </c>
      <c r="C32" s="358">
        <f>[3]Compass!$FA$19</f>
        <v>1366</v>
      </c>
      <c r="D32" s="9">
        <f>[3]Compass!$EM$19</f>
        <v>1145</v>
      </c>
      <c r="E32" s="86">
        <f t="shared" si="8"/>
        <v>0.19301310043668121</v>
      </c>
      <c r="F32" s="9">
        <f>SUM([3]Compass!$EZ$19:$FA$19)</f>
        <v>2701</v>
      </c>
      <c r="G32" s="9">
        <f>SUM([3]Compass!$EL$19:$EM$19)</f>
        <v>2352</v>
      </c>
      <c r="H32" s="39">
        <f t="shared" si="13"/>
        <v>0.14838435374149661</v>
      </c>
      <c r="I32" s="86">
        <f t="shared" si="9"/>
        <v>4.7931713722915298E-2</v>
      </c>
      <c r="J32" s="53"/>
      <c r="K32" s="364" t="s">
        <v>121</v>
      </c>
      <c r="L32" s="358">
        <f>[3]Compass!$FA$41</f>
        <v>75801</v>
      </c>
      <c r="M32" s="9">
        <f>[3]Compass!$EM$41</f>
        <v>65710</v>
      </c>
      <c r="N32" s="86">
        <f t="shared" si="10"/>
        <v>0.15356871100289149</v>
      </c>
      <c r="O32" s="358">
        <f>SUM([3]Compass!$EZ$41:$FA$41)</f>
        <v>148475</v>
      </c>
      <c r="P32" s="9">
        <f>SUM([3]Compass!$EL$41:$EM$41)</f>
        <v>134619</v>
      </c>
      <c r="Q32" s="39">
        <f t="shared" si="11"/>
        <v>0.1029275213751402</v>
      </c>
      <c r="R32" s="86">
        <f t="shared" si="12"/>
        <v>2.8987886880177088E-2</v>
      </c>
      <c r="S32" s="9"/>
      <c r="T32" s="9"/>
      <c r="U32" s="11"/>
      <c r="V32" s="11"/>
    </row>
    <row r="33" spans="1:20" ht="14.1" customHeight="1" x14ac:dyDescent="0.2">
      <c r="A33" s="53"/>
      <c r="B33" s="363" t="s">
        <v>165</v>
      </c>
      <c r="C33" s="358">
        <f>[3]Pinnacle!$FA$19</f>
        <v>2955</v>
      </c>
      <c r="D33" s="9">
        <f>[3]Pinnacle!$EM$19</f>
        <v>3562</v>
      </c>
      <c r="E33" s="86">
        <f t="shared" si="8"/>
        <v>-0.17040988208871422</v>
      </c>
      <c r="F33" s="9">
        <f>SUM([3]Pinnacle!$EZ$19:$FA$19)</f>
        <v>6299</v>
      </c>
      <c r="G33" s="9">
        <f>SUM([3]Pinnacle!$EL$19:$EM$19)</f>
        <v>7687</v>
      </c>
      <c r="H33" s="39">
        <f t="shared" si="13"/>
        <v>-0.1805645895668011</v>
      </c>
      <c r="I33" s="86">
        <f t="shared" si="9"/>
        <v>0.11178151230679136</v>
      </c>
      <c r="J33" s="53"/>
      <c r="K33" s="363" t="s">
        <v>165</v>
      </c>
      <c r="L33" s="358">
        <f>[3]Pinnacle!$FA$41</f>
        <v>143573</v>
      </c>
      <c r="M33" s="9">
        <f>[3]Pinnacle!$EM$41</f>
        <v>198370</v>
      </c>
      <c r="N33" s="86">
        <f t="shared" si="10"/>
        <v>-0.27623632605736753</v>
      </c>
      <c r="O33" s="358">
        <f>SUM([3]Pinnacle!$EZ$41:$FA$41)</f>
        <v>306302</v>
      </c>
      <c r="P33" s="9">
        <f>SUM([3]Pinnacle!$EL$41:$EM$41)</f>
        <v>414945</v>
      </c>
      <c r="Q33" s="39">
        <f t="shared" si="11"/>
        <v>-0.26182506115268289</v>
      </c>
      <c r="R33" s="86">
        <f t="shared" si="12"/>
        <v>5.9801634801629922E-2</v>
      </c>
      <c r="S33" s="20"/>
      <c r="T33" s="11"/>
    </row>
    <row r="34" spans="1:20" ht="14.1" customHeight="1" x14ac:dyDescent="0.2">
      <c r="A34" s="53"/>
      <c r="B34" s="363" t="s">
        <v>161</v>
      </c>
      <c r="C34" s="358">
        <f>'[3]Go Jet'!$FA$19</f>
        <v>574</v>
      </c>
      <c r="D34" s="9">
        <f>'[3]Go Jet'!$EM$19</f>
        <v>0</v>
      </c>
      <c r="E34" s="86" t="e">
        <f t="shared" si="8"/>
        <v>#DIV/0!</v>
      </c>
      <c r="F34" s="9">
        <f>SUM('[3]Go Jet'!$EZ$19:$FA$19)</f>
        <v>1173</v>
      </c>
      <c r="G34" s="9">
        <f>SUM('[3]Go Jet'!$EL$19:$EM$19)</f>
        <v>0</v>
      </c>
      <c r="H34" s="39" t="e">
        <f>(F34-G34)/G34</f>
        <v>#DIV/0!</v>
      </c>
      <c r="I34" s="86">
        <f t="shared" si="9"/>
        <v>2.0815957125871767E-2</v>
      </c>
      <c r="J34" s="53"/>
      <c r="K34" s="362" t="s">
        <v>161</v>
      </c>
      <c r="L34" s="358">
        <f>'[3]Go Jet'!$FA$41</f>
        <v>30347</v>
      </c>
      <c r="M34" s="9">
        <f>'[3]Go Jet'!$EM$41</f>
        <v>0</v>
      </c>
      <c r="N34" s="86" t="e">
        <f t="shared" si="10"/>
        <v>#DIV/0!</v>
      </c>
      <c r="O34" s="358">
        <f>SUM('[3]Go Jet'!$EZ$41:$FA$41)</f>
        <v>61483</v>
      </c>
      <c r="P34" s="9">
        <f>SUM('[3]Go Jet'!$EL$41:$EM$41)</f>
        <v>0</v>
      </c>
      <c r="Q34" s="39" t="e">
        <f>(O34-P34)/P34</f>
        <v>#DIV/0!</v>
      </c>
      <c r="R34" s="86">
        <f t="shared" si="12"/>
        <v>1.2003786826428206E-2</v>
      </c>
      <c r="S34" s="331"/>
      <c r="T34" s="329"/>
    </row>
    <row r="35" spans="1:20" ht="14.1" customHeight="1" x14ac:dyDescent="0.2">
      <c r="A35" s="53"/>
      <c r="B35" s="363" t="s">
        <v>101</v>
      </c>
      <c r="C35" s="358">
        <f>'[3]Sky West'!$FA$19</f>
        <v>4481</v>
      </c>
      <c r="D35" s="9">
        <f>'[3]Sky West'!$EM$19</f>
        <v>5242</v>
      </c>
      <c r="E35" s="86">
        <f t="shared" si="8"/>
        <v>-0.14517359786341091</v>
      </c>
      <c r="F35" s="9">
        <f>SUM('[3]Sky West'!$EZ$19:$FA$19)</f>
        <v>9196</v>
      </c>
      <c r="G35" s="9">
        <f>SUM('[3]Sky West'!$EL$19:$EM$19)</f>
        <v>10473</v>
      </c>
      <c r="H35" s="39">
        <f t="shared" si="13"/>
        <v>-0.12193258856106177</v>
      </c>
      <c r="I35" s="86">
        <f t="shared" si="9"/>
        <v>0.16319142517435362</v>
      </c>
      <c r="J35" s="53"/>
      <c r="K35" s="363" t="s">
        <v>101</v>
      </c>
      <c r="L35" s="358">
        <f>'[3]Sky West'!$FA$41</f>
        <v>198392</v>
      </c>
      <c r="M35" s="9">
        <f>'[3]Sky West'!$EM$41</f>
        <v>226213</v>
      </c>
      <c r="N35" s="86">
        <f t="shared" si="10"/>
        <v>-0.12298585846083117</v>
      </c>
      <c r="O35" s="358">
        <f>SUM('[3]Sky West'!$EZ$41:$FA$41)</f>
        <v>402477</v>
      </c>
      <c r="P35" s="9">
        <f>SUM('[3]Sky West'!$EL$41:$EM$41)</f>
        <v>439401</v>
      </c>
      <c r="Q35" s="39">
        <f t="shared" si="11"/>
        <v>-8.403258071784088E-2</v>
      </c>
      <c r="R35" s="86">
        <f t="shared" si="12"/>
        <v>7.857860076021575E-2</v>
      </c>
      <c r="S35" s="20"/>
    </row>
    <row r="36" spans="1:20" ht="14.1" customHeight="1" x14ac:dyDescent="0.2">
      <c r="A36" s="53"/>
      <c r="B36" s="363" t="s">
        <v>135</v>
      </c>
      <c r="C36" s="358">
        <f>'[3]Shuttle America_Delta'!$FA$19</f>
        <v>6</v>
      </c>
      <c r="D36" s="9">
        <f>'[3]Shuttle America_Delta'!$EM$19</f>
        <v>138</v>
      </c>
      <c r="E36" s="86">
        <f t="shared" si="8"/>
        <v>-0.95652173913043481</v>
      </c>
      <c r="F36" s="9">
        <f>SUM('[3]Shuttle America_Delta'!$EZ$19:$FA$19)</f>
        <v>144</v>
      </c>
      <c r="G36" s="9">
        <f>SUM('[3]Shuttle America_Delta'!$EL$19:$EM$19)</f>
        <v>274</v>
      </c>
      <c r="H36" s="39">
        <f t="shared" si="13"/>
        <v>-0.47445255474452552</v>
      </c>
      <c r="I36" s="86">
        <f t="shared" si="9"/>
        <v>2.5554116164753066E-3</v>
      </c>
      <c r="J36" s="53"/>
      <c r="K36" s="363" t="s">
        <v>135</v>
      </c>
      <c r="L36" s="358">
        <f>'[3]Shuttle America_Delta'!$FA$41</f>
        <v>241</v>
      </c>
      <c r="M36" s="9">
        <f>'[3]Shuttle America_Delta'!$EM$41</f>
        <v>6170</v>
      </c>
      <c r="N36" s="86">
        <f t="shared" si="10"/>
        <v>-0.96094003241491088</v>
      </c>
      <c r="O36" s="358">
        <f>SUM('[3]Shuttle America_Delta'!$EZ$41:$FA$41)</f>
        <v>7818</v>
      </c>
      <c r="P36" s="9">
        <f>SUM('[3]Shuttle America_Delta'!$EL$41:$EM$41)</f>
        <v>12322</v>
      </c>
      <c r="Q36" s="39">
        <f t="shared" si="11"/>
        <v>-0.36552507709787374</v>
      </c>
      <c r="R36" s="86">
        <f t="shared" si="12"/>
        <v>1.5263667259082301E-3</v>
      </c>
      <c r="S36" s="20"/>
    </row>
    <row r="37" spans="1:20" ht="14.1" customHeight="1" x14ac:dyDescent="0.2">
      <c r="A37" s="53"/>
      <c r="B37" s="437" t="s">
        <v>185</v>
      </c>
      <c r="C37" s="358">
        <f>'[3]Atlantic Southeast'!$FA$19</f>
        <v>545</v>
      </c>
      <c r="D37" s="9">
        <f>'[3]Atlantic Southeast'!$EM$19</f>
        <v>606</v>
      </c>
      <c r="E37" s="86">
        <f t="shared" si="8"/>
        <v>-0.10066006600660066</v>
      </c>
      <c r="F37" s="9">
        <f>SUM('[3]Atlantic Southeast'!$EZ$19:$FA$19)</f>
        <v>1211</v>
      </c>
      <c r="G37" s="9">
        <f>SUM('[3]Atlantic Southeast'!$EL$19:$EM$19)</f>
        <v>1631</v>
      </c>
      <c r="H37" s="39">
        <f t="shared" si="13"/>
        <v>-0.25751072961373389</v>
      </c>
      <c r="I37" s="86">
        <f t="shared" si="9"/>
        <v>2.1490301857997197E-2</v>
      </c>
      <c r="J37" s="53"/>
      <c r="K37" s="437" t="s">
        <v>185</v>
      </c>
      <c r="L37" s="358">
        <f>'[3]Atlantic Southeast'!$FA$41</f>
        <v>29090</v>
      </c>
      <c r="M37" s="9">
        <f>'[3]Atlantic Southeast'!$EM$41</f>
        <v>29264</v>
      </c>
      <c r="N37" s="86">
        <f t="shared" si="10"/>
        <v>-5.9458720612356481E-3</v>
      </c>
      <c r="O37" s="358">
        <f>SUM('[3]Atlantic Southeast'!$EZ$41:$FA$41)</f>
        <v>64815</v>
      </c>
      <c r="P37" s="9">
        <f>SUM('[3]Atlantic Southeast'!$EL$41:$EM$41)</f>
        <v>80419</v>
      </c>
      <c r="Q37" s="39">
        <f t="shared" si="11"/>
        <v>-0.19403374824357428</v>
      </c>
      <c r="R37" s="86">
        <f t="shared" si="12"/>
        <v>1.2654318155505492E-2</v>
      </c>
      <c r="S37" s="328"/>
    </row>
    <row r="38" spans="1:20" ht="14.1" customHeight="1" x14ac:dyDescent="0.2">
      <c r="A38" s="53"/>
      <c r="B38" s="367"/>
      <c r="C38" s="358"/>
      <c r="D38" s="9"/>
      <c r="E38" s="86"/>
      <c r="F38" s="9"/>
      <c r="G38" s="9"/>
      <c r="H38" s="39"/>
      <c r="I38" s="86"/>
      <c r="J38" s="53"/>
      <c r="K38" s="367"/>
      <c r="L38" s="358"/>
      <c r="M38" s="9"/>
      <c r="N38" s="86"/>
      <c r="O38" s="358"/>
      <c r="P38" s="9"/>
      <c r="Q38" s="39"/>
      <c r="R38" s="86"/>
      <c r="S38" s="328"/>
    </row>
    <row r="39" spans="1:20" s="7" customFormat="1" ht="14.1" customHeight="1" x14ac:dyDescent="0.2">
      <c r="A39" s="353" t="s">
        <v>47</v>
      </c>
      <c r="B39" s="368"/>
      <c r="C39" s="354">
        <f>[3]Frontier!$FA$19</f>
        <v>160</v>
      </c>
      <c r="D39" s="356">
        <f>[3]Frontier!$EM$19</f>
        <v>158</v>
      </c>
      <c r="E39" s="357">
        <f>(C39-D39)/D39</f>
        <v>1.2658227848101266E-2</v>
      </c>
      <c r="F39" s="356">
        <f>SUM([3]Frontier!$EZ$19:$FA$19)</f>
        <v>338</v>
      </c>
      <c r="G39" s="356">
        <f>SUM([3]Frontier!$EL$19:$EM$19)</f>
        <v>306</v>
      </c>
      <c r="H39" s="355">
        <f>(F39-G39)/G39</f>
        <v>0.10457516339869281</v>
      </c>
      <c r="I39" s="357">
        <f>F39/$F$64</f>
        <v>5.9981189331156501E-3</v>
      </c>
      <c r="J39" s="353" t="s">
        <v>47</v>
      </c>
      <c r="K39" s="368"/>
      <c r="L39" s="354">
        <f>[3]Frontier!$FA$41</f>
        <v>27143</v>
      </c>
      <c r="M39" s="356">
        <f>[3]Frontier!$EM$41</f>
        <v>22648</v>
      </c>
      <c r="N39" s="357">
        <f>(L39-M39)/M39</f>
        <v>0.19847227128223244</v>
      </c>
      <c r="O39" s="354">
        <f>SUM([3]Frontier!$EZ$41:$FA$41)</f>
        <v>56350</v>
      </c>
      <c r="P39" s="356">
        <f>SUM([3]Frontier!$EL$41:$EM$41)</f>
        <v>45712</v>
      </c>
      <c r="Q39" s="355">
        <f>(O39-P39)/P39</f>
        <v>0.23271788589429471</v>
      </c>
      <c r="R39" s="357">
        <f>O39/$O$64</f>
        <v>1.1001632771159986E-2</v>
      </c>
      <c r="S39" s="330"/>
      <c r="T39"/>
    </row>
    <row r="40" spans="1:20" s="7" customFormat="1" ht="14.1" customHeight="1" x14ac:dyDescent="0.2">
      <c r="A40" s="353"/>
      <c r="B40" s="368"/>
      <c r="C40" s="354"/>
      <c r="D40" s="356"/>
      <c r="E40" s="357"/>
      <c r="F40" s="356"/>
      <c r="G40" s="356"/>
      <c r="H40" s="355"/>
      <c r="I40" s="357"/>
      <c r="J40" s="353"/>
      <c r="K40" s="368"/>
      <c r="L40" s="358"/>
      <c r="M40" s="9"/>
      <c r="N40" s="86"/>
      <c r="O40" s="358"/>
      <c r="P40" s="9"/>
      <c r="Q40" s="39"/>
      <c r="R40" s="86"/>
      <c r="S40" s="330"/>
    </row>
    <row r="41" spans="1:20" s="7" customFormat="1" ht="14.1" customHeight="1" x14ac:dyDescent="0.2">
      <c r="A41" s="353" t="s">
        <v>160</v>
      </c>
      <c r="B41" s="368"/>
      <c r="C41" s="354">
        <f>'[3]Great Lakes'!$FA$19</f>
        <v>0</v>
      </c>
      <c r="D41" s="356">
        <f>'[3]Great Lakes'!$EM$19</f>
        <v>134</v>
      </c>
      <c r="E41" s="357">
        <f>(C41-D41)/D41</f>
        <v>-1</v>
      </c>
      <c r="F41" s="356">
        <f>SUM('[3]Great Lakes'!$EZ$19:$FA$19)</f>
        <v>0</v>
      </c>
      <c r="G41" s="356">
        <f>SUM('[3]Great Lakes'!$EL$19:$EM$19)</f>
        <v>277</v>
      </c>
      <c r="H41" s="355">
        <f>(F41-G41)/G41</f>
        <v>-1</v>
      </c>
      <c r="I41" s="357">
        <f>F41/$F$64</f>
        <v>0</v>
      </c>
      <c r="J41" s="353" t="s">
        <v>160</v>
      </c>
      <c r="K41" s="368"/>
      <c r="L41" s="354">
        <f>'[3]Great Lakes'!$FA$41</f>
        <v>0</v>
      </c>
      <c r="M41" s="356">
        <f>'[3]Great Lakes'!$EM$41</f>
        <v>402</v>
      </c>
      <c r="N41" s="357">
        <f>(L41-M41)/M41</f>
        <v>-1</v>
      </c>
      <c r="O41" s="354">
        <f>SUM('[3]Great Lakes'!$EZ$41:$FA$41)</f>
        <v>0</v>
      </c>
      <c r="P41" s="356">
        <f>SUM('[3]Great Lakes'!$EL$41:$EM$41)</f>
        <v>778</v>
      </c>
      <c r="Q41" s="355">
        <f>(O41-P41)/P41</f>
        <v>-1</v>
      </c>
      <c r="R41" s="357">
        <f>O41/$O$64</f>
        <v>0</v>
      </c>
      <c r="S41" s="330"/>
    </row>
    <row r="42" spans="1:20" s="7" customFormat="1" ht="14.1" customHeight="1" x14ac:dyDescent="0.2">
      <c r="A42" s="353"/>
      <c r="B42" s="368"/>
      <c r="C42" s="354"/>
      <c r="D42" s="356"/>
      <c r="E42" s="357"/>
      <c r="F42" s="356"/>
      <c r="G42" s="356"/>
      <c r="H42" s="355"/>
      <c r="I42" s="357"/>
      <c r="J42" s="353"/>
      <c r="K42" s="368"/>
      <c r="L42" s="358"/>
      <c r="M42" s="9"/>
      <c r="N42" s="86"/>
      <c r="O42" s="358"/>
      <c r="P42" s="9"/>
      <c r="Q42" s="39"/>
      <c r="R42" s="86"/>
      <c r="S42" s="330"/>
    </row>
    <row r="43" spans="1:20" s="7" customFormat="1" ht="14.1" customHeight="1" x14ac:dyDescent="0.2">
      <c r="A43" s="353" t="s">
        <v>48</v>
      </c>
      <c r="B43" s="368"/>
      <c r="C43" s="354">
        <f>[3]Icelandair!$FA$19</f>
        <v>28</v>
      </c>
      <c r="D43" s="356">
        <f>[3]Icelandair!$EM$19</f>
        <v>0</v>
      </c>
      <c r="E43" s="357" t="e">
        <f>(C43-D43)/D43</f>
        <v>#DIV/0!</v>
      </c>
      <c r="F43" s="356">
        <f>SUM([3]Icelandair!$EZ$19:$FA$19)</f>
        <v>60</v>
      </c>
      <c r="G43" s="356">
        <f>SUM([3]Icelandair!$EL$19:$EM$19)</f>
        <v>12</v>
      </c>
      <c r="H43" s="355">
        <f>(F43-G43)/G43</f>
        <v>4</v>
      </c>
      <c r="I43" s="357">
        <f>F43/$F$64</f>
        <v>1.0647548401980444E-3</v>
      </c>
      <c r="J43" s="353" t="s">
        <v>48</v>
      </c>
      <c r="K43" s="368"/>
      <c r="L43" s="354">
        <f>[3]Icelandair!$FA$41</f>
        <v>3399</v>
      </c>
      <c r="M43" s="356">
        <f>[3]Icelandair!$EM$41</f>
        <v>0</v>
      </c>
      <c r="N43" s="357" t="e">
        <f>(L43-M43)/M43</f>
        <v>#DIV/0!</v>
      </c>
      <c r="O43" s="354">
        <f>SUM([3]Icelandair!$EZ$41:$FA$41)</f>
        <v>7728</v>
      </c>
      <c r="P43" s="356">
        <f>SUM([3]Icelandair!$EL$41:$EM$41)</f>
        <v>1473</v>
      </c>
      <c r="Q43" s="355">
        <f>(O43-P43)/P43</f>
        <v>4.2464358452138491</v>
      </c>
      <c r="R43" s="357">
        <f>O43/$O$64</f>
        <v>1.5087953514733696E-3</v>
      </c>
      <c r="S43" s="20"/>
    </row>
    <row r="44" spans="1:20" s="7" customFormat="1" ht="14.1" customHeight="1" x14ac:dyDescent="0.2">
      <c r="A44" s="353"/>
      <c r="B44" s="368"/>
      <c r="C44" s="354"/>
      <c r="D44" s="356"/>
      <c r="E44" s="357"/>
      <c r="F44" s="356"/>
      <c r="G44" s="356"/>
      <c r="H44" s="355"/>
      <c r="I44" s="357"/>
      <c r="J44" s="353"/>
      <c r="K44" s="368"/>
      <c r="L44" s="358"/>
      <c r="M44" s="9"/>
      <c r="N44" s="86"/>
      <c r="O44" s="358"/>
      <c r="P44" s="9"/>
      <c r="Q44" s="39"/>
      <c r="R44" s="86"/>
      <c r="S44" s="20"/>
    </row>
    <row r="45" spans="1:20" ht="14.1" customHeight="1" x14ac:dyDescent="0.2">
      <c r="A45" s="365" t="s">
        <v>133</v>
      </c>
      <c r="B45" s="55"/>
      <c r="C45" s="354">
        <f>SUM(C46:C46)</f>
        <v>1315</v>
      </c>
      <c r="D45" s="356">
        <f>SUM(D46:D46)</f>
        <v>1235</v>
      </c>
      <c r="E45" s="357">
        <f>(C45-D45)/D45</f>
        <v>6.4777327935222673E-2</v>
      </c>
      <c r="F45" s="354">
        <f>SUM(F46:F46)</f>
        <v>2756</v>
      </c>
      <c r="G45" s="356">
        <f>SUM(G46:G46)</f>
        <v>2545</v>
      </c>
      <c r="H45" s="355">
        <f>(F45-G45)/G45</f>
        <v>8.2907662082514738E-2</v>
      </c>
      <c r="I45" s="357">
        <f>F45/$F$64</f>
        <v>4.890773899309684E-2</v>
      </c>
      <c r="J45" s="353" t="s">
        <v>133</v>
      </c>
      <c r="K45" s="55"/>
      <c r="L45" s="354">
        <f>SUM(L46:L46)</f>
        <v>144226</v>
      </c>
      <c r="M45" s="356">
        <f>SUM(M46:M46)</f>
        <v>139213</v>
      </c>
      <c r="N45" s="357">
        <f>(L45-M45)/M45</f>
        <v>3.6009568071947301E-2</v>
      </c>
      <c r="O45" s="354">
        <f>SUM(O46:O46)</f>
        <v>297119</v>
      </c>
      <c r="P45" s="356">
        <f>SUM(P46:P46)</f>
        <v>286432</v>
      </c>
      <c r="Q45" s="355">
        <f>(O45-P45)/P45</f>
        <v>3.7310775332365098E-2</v>
      </c>
      <c r="R45" s="357">
        <f>O45/$O$64</f>
        <v>5.8008768896792968E-2</v>
      </c>
      <c r="S45" s="20"/>
    </row>
    <row r="46" spans="1:20" ht="14.1" customHeight="1" x14ac:dyDescent="0.2">
      <c r="A46" s="365"/>
      <c r="B46" s="55" t="s">
        <v>133</v>
      </c>
      <c r="C46" s="431">
        <f>[3]Southwest!$FA$19</f>
        <v>1315</v>
      </c>
      <c r="D46" s="296">
        <f>[3]Southwest!$EM$19</f>
        <v>1235</v>
      </c>
      <c r="E46" s="433">
        <f>(C46-D46)/D46</f>
        <v>6.4777327935222673E-2</v>
      </c>
      <c r="F46" s="296">
        <f>SUM([3]Southwest!$EZ$19:$FA$19)</f>
        <v>2756</v>
      </c>
      <c r="G46" s="296">
        <f>SUM([3]Southwest!$EL$19:$EM$19)</f>
        <v>2545</v>
      </c>
      <c r="H46" s="432">
        <f>(F46-G46)/G46</f>
        <v>8.2907662082514738E-2</v>
      </c>
      <c r="I46" s="433">
        <f>F46/$F$64</f>
        <v>4.890773899309684E-2</v>
      </c>
      <c r="J46" s="353"/>
      <c r="K46" s="55" t="s">
        <v>133</v>
      </c>
      <c r="L46" s="431">
        <f>[3]Southwest!$FA$41</f>
        <v>144226</v>
      </c>
      <c r="M46" s="296">
        <f>[3]Southwest!$EM$41</f>
        <v>139213</v>
      </c>
      <c r="N46" s="433">
        <f>(L46-M46)/M46</f>
        <v>3.6009568071947301E-2</v>
      </c>
      <c r="O46" s="431">
        <f>SUM([3]Southwest!$EZ$41:$FA$41)</f>
        <v>297119</v>
      </c>
      <c r="P46" s="296">
        <f>SUM([3]Southwest!$EL$41:$EM$41)</f>
        <v>286432</v>
      </c>
      <c r="Q46" s="432">
        <f>(O46-P46)/P46</f>
        <v>3.7310775332365098E-2</v>
      </c>
      <c r="R46" s="433">
        <f>O46/$O$64</f>
        <v>5.8008768896792968E-2</v>
      </c>
      <c r="S46" s="20"/>
    </row>
    <row r="47" spans="1:20" ht="14.1" customHeight="1" x14ac:dyDescent="0.2">
      <c r="A47" s="353"/>
      <c r="B47" s="55"/>
      <c r="C47" s="354"/>
      <c r="D47" s="356"/>
      <c r="E47" s="357"/>
      <c r="F47" s="356"/>
      <c r="G47" s="356"/>
      <c r="H47" s="355"/>
      <c r="I47" s="357"/>
      <c r="J47" s="353"/>
      <c r="K47" s="55"/>
      <c r="L47" s="358"/>
      <c r="M47" s="9"/>
      <c r="N47" s="86"/>
      <c r="O47" s="358"/>
      <c r="P47" s="9"/>
      <c r="Q47" s="39"/>
      <c r="R47" s="86"/>
      <c r="S47" s="20"/>
      <c r="T47" s="7"/>
    </row>
    <row r="48" spans="1:20" ht="14.1" customHeight="1" x14ac:dyDescent="0.2">
      <c r="A48" s="353" t="s">
        <v>162</v>
      </c>
      <c r="B48" s="55"/>
      <c r="C48" s="354">
        <f>[3]Spirit!$FA$19</f>
        <v>721</v>
      </c>
      <c r="D48" s="356">
        <f>[3]Spirit!$EM$19</f>
        <v>612</v>
      </c>
      <c r="E48" s="357">
        <f>(C48-D48)/D48</f>
        <v>0.1781045751633987</v>
      </c>
      <c r="F48" s="356">
        <f>SUM([3]Spirit!$EZ$19:$FA$19)</f>
        <v>1513</v>
      </c>
      <c r="G48" s="356">
        <f>SUM([3]Spirit!$EL$19:$EM$19)</f>
        <v>1292</v>
      </c>
      <c r="H48" s="355">
        <f>(F48-G48)/G48</f>
        <v>0.17105263157894737</v>
      </c>
      <c r="I48" s="357">
        <f>F48/$F$64</f>
        <v>2.6849567886994021E-2</v>
      </c>
      <c r="J48" s="353" t="s">
        <v>162</v>
      </c>
      <c r="K48" s="55"/>
      <c r="L48" s="354">
        <f>[3]Spirit!$FA$41</f>
        <v>98383</v>
      </c>
      <c r="M48" s="356">
        <f>[3]Spirit!$EM$41</f>
        <v>92339</v>
      </c>
      <c r="N48" s="357">
        <f>(L48-M48)/M48</f>
        <v>6.5454466693379829E-2</v>
      </c>
      <c r="O48" s="354">
        <f>SUM([3]Spirit!$EZ$41:$FA$41)</f>
        <v>195760</v>
      </c>
      <c r="P48" s="356">
        <f>SUM([3]Spirit!$EL$41:$EM$41)</f>
        <v>190206</v>
      </c>
      <c r="Q48" s="355">
        <f>(O48-P48)/P48</f>
        <v>2.9199920086642902E-2</v>
      </c>
      <c r="R48" s="357">
        <f>O48/$O$64</f>
        <v>3.8219691770759165E-2</v>
      </c>
      <c r="S48" s="20"/>
      <c r="T48" s="7"/>
    </row>
    <row r="49" spans="1:20" ht="14.1" customHeight="1" x14ac:dyDescent="0.2">
      <c r="A49" s="353"/>
      <c r="B49" s="55"/>
      <c r="C49" s="354"/>
      <c r="D49" s="356"/>
      <c r="E49" s="357"/>
      <c r="F49" s="356"/>
      <c r="G49" s="356"/>
      <c r="H49" s="355"/>
      <c r="I49" s="357"/>
      <c r="J49" s="353"/>
      <c r="K49" s="55"/>
      <c r="L49" s="358"/>
      <c r="M49" s="9"/>
      <c r="N49" s="86"/>
      <c r="O49" s="358"/>
      <c r="P49" s="9"/>
      <c r="Q49" s="39"/>
      <c r="R49" s="86">
        <f>O49/$O$64</f>
        <v>0</v>
      </c>
      <c r="S49" s="20"/>
      <c r="T49" s="7"/>
    </row>
    <row r="50" spans="1:20" s="7" customFormat="1" ht="14.1" customHeight="1" x14ac:dyDescent="0.2">
      <c r="A50" s="353" t="s">
        <v>49</v>
      </c>
      <c r="B50" s="368"/>
      <c r="C50" s="354">
        <f>'[3]Sun Country'!$FA$19</f>
        <v>1909</v>
      </c>
      <c r="D50" s="356">
        <f>'[3]Sun Country'!$EM$19</f>
        <v>1694</v>
      </c>
      <c r="E50" s="357">
        <f>(C50-D50)/D50</f>
        <v>0.12691853600944511</v>
      </c>
      <c r="F50" s="356">
        <f>SUM('[3]Sun Country'!$EZ$19:$FA$19)</f>
        <v>3810</v>
      </c>
      <c r="G50" s="356">
        <f>SUM('[3]Sun Country'!$EL$19:$EM$19)</f>
        <v>3392</v>
      </c>
      <c r="H50" s="355">
        <f>(F50-G50)/G50</f>
        <v>0.12323113207547169</v>
      </c>
      <c r="I50" s="357">
        <f>F50/$F$64</f>
        <v>6.7611932352575815E-2</v>
      </c>
      <c r="J50" s="353" t="s">
        <v>49</v>
      </c>
      <c r="K50" s="368"/>
      <c r="L50" s="354">
        <f>'[3]Sun Country'!$FA$41</f>
        <v>220246</v>
      </c>
      <c r="M50" s="356">
        <f>'[3]Sun Country'!$EM$41</f>
        <v>194645</v>
      </c>
      <c r="N50" s="357">
        <f>(L50-M50)/M50</f>
        <v>0.13152662539494978</v>
      </c>
      <c r="O50" s="354">
        <f>SUM('[3]Sun Country'!$EZ$41:$FA$41)</f>
        <v>409910</v>
      </c>
      <c r="P50" s="356">
        <f>SUM('[3]Sun Country'!$EL$41:$EM$41)</f>
        <v>365068</v>
      </c>
      <c r="Q50" s="355">
        <f>(O50-P50)/P50</f>
        <v>0.12283191076730911</v>
      </c>
      <c r="R50" s="357">
        <f>O50/$O$64</f>
        <v>8.002980105104153E-2</v>
      </c>
      <c r="S50" s="20"/>
    </row>
    <row r="51" spans="1:20" s="7" customFormat="1" ht="14.1" customHeight="1" x14ac:dyDescent="0.2">
      <c r="A51" s="353"/>
      <c r="B51" s="368"/>
      <c r="C51" s="354"/>
      <c r="D51" s="356"/>
      <c r="E51" s="357"/>
      <c r="F51" s="356"/>
      <c r="G51" s="356"/>
      <c r="H51" s="355"/>
      <c r="I51" s="357"/>
      <c r="J51" s="353"/>
      <c r="K51" s="368"/>
      <c r="L51" s="358"/>
      <c r="M51" s="9"/>
      <c r="N51" s="86"/>
      <c r="O51" s="358"/>
      <c r="P51" s="9"/>
      <c r="Q51" s="39"/>
      <c r="R51" s="86"/>
      <c r="S51" s="20"/>
    </row>
    <row r="52" spans="1:20" s="7" customFormat="1" ht="14.1" customHeight="1" x14ac:dyDescent="0.2">
      <c r="A52" s="353" t="s">
        <v>19</v>
      </c>
      <c r="B52" s="361"/>
      <c r="C52" s="354">
        <f>SUM(C53:C59)</f>
        <v>1368</v>
      </c>
      <c r="D52" s="356">
        <f>SUM(D53:D59)</f>
        <v>1442</v>
      </c>
      <c r="E52" s="357">
        <f t="shared" ref="E52:E59" si="14">(C52-D52)/D52</f>
        <v>-5.1317614424410539E-2</v>
      </c>
      <c r="F52" s="356">
        <f>SUM(F53:F59)</f>
        <v>2838</v>
      </c>
      <c r="G52" s="356">
        <f>SUM(G53:G59)</f>
        <v>2954</v>
      </c>
      <c r="H52" s="355">
        <f t="shared" ref="H52:H59" si="15">(F52-G52)/G52</f>
        <v>-3.9268788083953961E-2</v>
      </c>
      <c r="I52" s="357">
        <f t="shared" ref="I52:I59" si="16">F52/$F$64</f>
        <v>5.0362903941367498E-2</v>
      </c>
      <c r="J52" s="353" t="s">
        <v>19</v>
      </c>
      <c r="K52" s="361"/>
      <c r="L52" s="354">
        <f>SUM(L53:L59)</f>
        <v>112667</v>
      </c>
      <c r="M52" s="356">
        <f>SUM(M53:M59)</f>
        <v>112012</v>
      </c>
      <c r="N52" s="357">
        <f t="shared" ref="N52:N59" si="17">(L52-M52)/M52</f>
        <v>5.8475877584544516E-3</v>
      </c>
      <c r="O52" s="354">
        <f>SUM(O53:O59)</f>
        <v>233736</v>
      </c>
      <c r="P52" s="356">
        <f>SUM(P53:P59)</f>
        <v>230040</v>
      </c>
      <c r="Q52" s="355">
        <f t="shared" ref="Q52:Q59" si="18">(O52-P52)/P52</f>
        <v>1.606677099634846E-2</v>
      </c>
      <c r="R52" s="357">
        <f t="shared" ref="R52:R59" si="19">O52/$O$64</f>
        <v>4.5634030832295482E-2</v>
      </c>
      <c r="S52" s="20"/>
      <c r="T52"/>
    </row>
    <row r="53" spans="1:20" s="7" customFormat="1" ht="14.1" customHeight="1" x14ac:dyDescent="0.2">
      <c r="A53" s="369"/>
      <c r="B53" s="435" t="s">
        <v>19</v>
      </c>
      <c r="C53" s="358">
        <f>[3]United!$FA$19</f>
        <v>594</v>
      </c>
      <c r="D53" s="9">
        <f>[3]United!$EM$19+[3]Continental!$EM$19</f>
        <v>476</v>
      </c>
      <c r="E53" s="86">
        <f t="shared" si="14"/>
        <v>0.24789915966386555</v>
      </c>
      <c r="F53" s="9">
        <f>SUM([3]United!$EZ$19:$FA$19)</f>
        <v>1174</v>
      </c>
      <c r="G53" s="9">
        <f>SUM([3]United!$EL$19:$EM$19)+SUM([3]Continental!$EL$19:$EM$19)</f>
        <v>922</v>
      </c>
      <c r="H53" s="39">
        <f t="shared" si="15"/>
        <v>0.27331887201735355</v>
      </c>
      <c r="I53" s="86">
        <f t="shared" si="16"/>
        <v>2.0833703039875067E-2</v>
      </c>
      <c r="J53" s="369"/>
      <c r="K53" s="435" t="s">
        <v>19</v>
      </c>
      <c r="L53" s="358">
        <f>[3]United!$FA$41</f>
        <v>67971</v>
      </c>
      <c r="M53" s="9">
        <f>[3]United!$EM$41+[3]Continental!$EM$41</f>
        <v>56144</v>
      </c>
      <c r="N53" s="86">
        <f t="shared" si="17"/>
        <v>0.21065474494157879</v>
      </c>
      <c r="O53" s="358">
        <f>SUM([3]United!$EZ$41:$FA$41)</f>
        <v>135078</v>
      </c>
      <c r="P53" s="9">
        <f>SUM([3]United!$EL$41:$EM$41)+SUM([3]Continental!$EL$41:$EM$41)</f>
        <v>109471</v>
      </c>
      <c r="Q53" s="39">
        <f t="shared" si="18"/>
        <v>0.23391583159010149</v>
      </c>
      <c r="R53" s="86">
        <f t="shared" si="19"/>
        <v>2.6372290176801216E-2</v>
      </c>
      <c r="S53" s="20"/>
    </row>
    <row r="54" spans="1:20" s="7" customFormat="1" ht="14.1" customHeight="1" x14ac:dyDescent="0.2">
      <c r="A54" s="369"/>
      <c r="B54" s="437" t="s">
        <v>185</v>
      </c>
      <c r="C54" s="358">
        <f>'[3]Continental Express'!$FA$19</f>
        <v>40</v>
      </c>
      <c r="D54" s="9">
        <f>'[3]Continental Express'!$EM$19</f>
        <v>46</v>
      </c>
      <c r="E54" s="86">
        <f t="shared" si="14"/>
        <v>-0.13043478260869565</v>
      </c>
      <c r="F54" s="9">
        <f>SUM('[3]Continental Express'!$EZ$19:$FA$19)</f>
        <v>64</v>
      </c>
      <c r="G54" s="9">
        <f>SUM('[3]Continental Express'!$EL$19:$EM$19)</f>
        <v>956</v>
      </c>
      <c r="H54" s="39">
        <f t="shared" si="15"/>
        <v>-0.93305439330543938</v>
      </c>
      <c r="I54" s="86">
        <f t="shared" si="16"/>
        <v>1.1357384962112473E-3</v>
      </c>
      <c r="J54" s="53"/>
      <c r="K54" s="435" t="s">
        <v>185</v>
      </c>
      <c r="L54" s="358">
        <f>'[3]Continental Express'!$FA$41</f>
        <v>1332</v>
      </c>
      <c r="M54" s="9">
        <f>'[3]Continental Express'!$EM$41</f>
        <v>1604</v>
      </c>
      <c r="N54" s="86">
        <f t="shared" si="17"/>
        <v>-0.16957605985037408</v>
      </c>
      <c r="O54" s="358">
        <f>SUM('[3]Continental Express'!$EZ$41:$FA$41)</f>
        <v>2326</v>
      </c>
      <c r="P54" s="9">
        <f>SUM('[3]Continental Express'!$EL$41:$EM$41)</f>
        <v>66305</v>
      </c>
      <c r="Q54" s="39">
        <f t="shared" si="18"/>
        <v>-0.96491968931453131</v>
      </c>
      <c r="R54" s="86">
        <f t="shared" si="19"/>
        <v>4.54122410394288E-4</v>
      </c>
      <c r="S54" s="20"/>
    </row>
    <row r="55" spans="1:20" s="7" customFormat="1" ht="14.1" customHeight="1" x14ac:dyDescent="0.2">
      <c r="A55" s="369"/>
      <c r="B55" s="363" t="s">
        <v>161</v>
      </c>
      <c r="C55" s="358">
        <f>'[3]Go Jet_UA'!$FA$19</f>
        <v>10</v>
      </c>
      <c r="D55" s="9">
        <f>'[3]Go Jet_UA'!$EM$19</f>
        <v>52</v>
      </c>
      <c r="E55" s="86">
        <f t="shared" si="14"/>
        <v>-0.80769230769230771</v>
      </c>
      <c r="F55" s="9">
        <f>SUM('[3]Go Jet_UA'!$EZ$19:$FA$19)</f>
        <v>36</v>
      </c>
      <c r="G55" s="9">
        <f>SUM('[3]Go Jet_UA'!$EL$19:$EM$19)</f>
        <v>52</v>
      </c>
      <c r="H55" s="39">
        <f t="shared" si="15"/>
        <v>-0.30769230769230771</v>
      </c>
      <c r="I55" s="86">
        <f t="shared" si="16"/>
        <v>6.3885290411882666E-4</v>
      </c>
      <c r="J55" s="369"/>
      <c r="K55" s="362" t="s">
        <v>161</v>
      </c>
      <c r="L55" s="358">
        <f>'[3]Go Jet_UA'!$FA$41</f>
        <v>590</v>
      </c>
      <c r="M55" s="9">
        <f>'[3]Go Jet_UA'!$EM$41</f>
        <v>3315</v>
      </c>
      <c r="N55" s="86">
        <f t="shared" si="17"/>
        <v>-0.82202111613876316</v>
      </c>
      <c r="O55" s="358">
        <f>SUM('[3]Go Jet_UA'!$EZ$41:$FA$41)</f>
        <v>2259</v>
      </c>
      <c r="P55" s="9">
        <f>SUM('[3]Go Jet_UA'!$EL$41:$EM$41)</f>
        <v>3315</v>
      </c>
      <c r="Q55" s="39">
        <f t="shared" si="18"/>
        <v>-0.318552036199095</v>
      </c>
      <c r="R55" s="86">
        <f t="shared" si="19"/>
        <v>4.4104149831500279E-4</v>
      </c>
      <c r="S55" s="20"/>
    </row>
    <row r="56" spans="1:20" s="7" customFormat="1" ht="14.1" customHeight="1" x14ac:dyDescent="0.2">
      <c r="A56" s="369"/>
      <c r="B56" s="363" t="s">
        <v>52</v>
      </c>
      <c r="C56" s="358">
        <f>[3]MESA_UA!$FA$19</f>
        <v>274</v>
      </c>
      <c r="D56" s="9">
        <f>[3]MESA_UA!$EM$19</f>
        <v>202</v>
      </c>
      <c r="E56" s="86">
        <f t="shared" si="14"/>
        <v>0.35643564356435642</v>
      </c>
      <c r="F56" s="9">
        <f>SUM([3]MESA_UA!$EZ$19:$FA$19)</f>
        <v>582</v>
      </c>
      <c r="G56" s="9">
        <f>SUM([3]MESA_UA!$EL$19:$EM$19)</f>
        <v>358</v>
      </c>
      <c r="H56" s="39">
        <f>(F56-G56)/G56</f>
        <v>0.62569832402234637</v>
      </c>
      <c r="I56" s="86">
        <f t="shared" si="16"/>
        <v>1.032812194992103E-2</v>
      </c>
      <c r="J56" s="369"/>
      <c r="K56" s="362" t="s">
        <v>52</v>
      </c>
      <c r="L56" s="358">
        <f>[3]MESA_UA!$FA$41</f>
        <v>15679</v>
      </c>
      <c r="M56" s="9">
        <f>[3]MESA_UA!$EM$41</f>
        <v>11308</v>
      </c>
      <c r="N56" s="86">
        <f t="shared" si="17"/>
        <v>0.38654050229925718</v>
      </c>
      <c r="O56" s="358">
        <f>SUM([3]MESA_UA!$EZ$41:$FA$41)</f>
        <v>33991</v>
      </c>
      <c r="P56" s="9">
        <f>SUM([3]MESA_UA!$EL$41:$EM$41)</f>
        <v>11308</v>
      </c>
      <c r="Q56" s="39">
        <f t="shared" si="18"/>
        <v>2.0059250088432967</v>
      </c>
      <c r="R56" s="86">
        <f t="shared" si="19"/>
        <v>6.6363176490594339E-3</v>
      </c>
      <c r="S56" s="20"/>
    </row>
    <row r="57" spans="1:20" s="7" customFormat="1" ht="14.1" customHeight="1" x14ac:dyDescent="0.2">
      <c r="A57" s="369"/>
      <c r="B57" s="437" t="s">
        <v>53</v>
      </c>
      <c r="C57" s="358">
        <f>[3]Republic_UA!$FA$19</f>
        <v>198</v>
      </c>
      <c r="D57" s="9">
        <f>[3]Republic_UA!$EM$19</f>
        <v>128</v>
      </c>
      <c r="E57" s="86">
        <f t="shared" si="14"/>
        <v>0.546875</v>
      </c>
      <c r="F57" s="9">
        <f>SUM([3]Republic_UA!$EZ$19:$FA$19)</f>
        <v>432</v>
      </c>
      <c r="G57" s="9">
        <f>SUM([3]Republic_UA!$EL$19:$EM$19)</f>
        <v>128</v>
      </c>
      <c r="H57" s="39">
        <f t="shared" ref="H57" si="20">(F57-G57)/G57</f>
        <v>2.375</v>
      </c>
      <c r="I57" s="86">
        <f t="shared" si="16"/>
        <v>7.6662348494259194E-3</v>
      </c>
      <c r="J57" s="369"/>
      <c r="K57" s="437" t="s">
        <v>53</v>
      </c>
      <c r="L57" s="358">
        <f>[3]Republic_UA!$FA$41</f>
        <v>10499</v>
      </c>
      <c r="M57" s="9">
        <f>[3]Republic_UA!$EM$41</f>
        <v>6656</v>
      </c>
      <c r="N57" s="86">
        <f t="shared" si="17"/>
        <v>0.57737379807692313</v>
      </c>
      <c r="O57" s="358">
        <f>SUM([3]Republic_UA!$EZ$41:$FA$41)</f>
        <v>23630</v>
      </c>
      <c r="P57" s="9">
        <f>SUM([3]Republic_UA!$EL$41:$EM$41)</f>
        <v>6656</v>
      </c>
      <c r="Q57" s="39">
        <f t="shared" si="18"/>
        <v>2.5501802884615383</v>
      </c>
      <c r="R57" s="86">
        <f t="shared" si="19"/>
        <v>4.6134619766195293E-3</v>
      </c>
      <c r="S57" s="20"/>
    </row>
    <row r="58" spans="1:20" s="7" customFormat="1" ht="14.1" customHeight="1" x14ac:dyDescent="0.2">
      <c r="A58" s="369"/>
      <c r="B58" s="363" t="s">
        <v>101</v>
      </c>
      <c r="C58" s="358">
        <f>'[3]Sky West_UA'!$FA$19</f>
        <v>252</v>
      </c>
      <c r="D58" s="9">
        <f>'[3]Sky West_UA'!$EM$19+'[3]Sky West_CO'!$EM$19</f>
        <v>362</v>
      </c>
      <c r="E58" s="86">
        <f t="shared" si="14"/>
        <v>-0.30386740331491713</v>
      </c>
      <c r="F58" s="9">
        <f>SUM('[3]Sky West_UA'!$EZ$19:$FA$19)</f>
        <v>526</v>
      </c>
      <c r="G58" s="9">
        <f>SUM('[3]Sky West_UA'!$EL$19:$EM$19)+SUM('[3]Sky West_CO'!$EL$19:$EM$19)</f>
        <v>362</v>
      </c>
      <c r="H58" s="39">
        <f t="shared" si="15"/>
        <v>0.45303867403314918</v>
      </c>
      <c r="I58" s="86">
        <f t="shared" si="16"/>
        <v>9.3343507657361897E-3</v>
      </c>
      <c r="J58" s="369"/>
      <c r="K58" s="362" t="s">
        <v>101</v>
      </c>
      <c r="L58" s="358">
        <f>'[3]Sky West_UA'!$FA$41</f>
        <v>16596</v>
      </c>
      <c r="M58" s="9">
        <f>'[3]Sky West_UA'!$EM$41+'[3]Sky West_CO'!$EM$41</f>
        <v>23445</v>
      </c>
      <c r="N58" s="86">
        <f t="shared" si="17"/>
        <v>-0.29213051823416508</v>
      </c>
      <c r="O58" s="358">
        <f>SUM('[3]Sky West_UA'!$EZ$41:$FA$41)</f>
        <v>35179</v>
      </c>
      <c r="P58" s="9">
        <f>SUM('[3]Sky West_UA'!$EL$41:$EM$41)+SUM('[3]Sky West_CO'!$EL$41:$EM$41)</f>
        <v>23445</v>
      </c>
      <c r="Q58" s="39">
        <f t="shared" si="18"/>
        <v>0.50049050970356157</v>
      </c>
      <c r="R58" s="86">
        <f t="shared" si="19"/>
        <v>6.8682597915995947E-3</v>
      </c>
      <c r="S58" s="20"/>
    </row>
    <row r="59" spans="1:20" s="7" customFormat="1" ht="14.1" customHeight="1" x14ac:dyDescent="0.2">
      <c r="A59" s="369"/>
      <c r="B59" s="364" t="s">
        <v>135</v>
      </c>
      <c r="C59" s="358">
        <f>'[3]Shuttle America'!$FA$19</f>
        <v>0</v>
      </c>
      <c r="D59" s="9">
        <f>'[3]Shuttle America'!$EM$19</f>
        <v>176</v>
      </c>
      <c r="E59" s="86">
        <f t="shared" si="14"/>
        <v>-1</v>
      </c>
      <c r="F59" s="9">
        <f>SUM('[3]Shuttle America'!$EZ$19:$FA$19)</f>
        <v>24</v>
      </c>
      <c r="G59" s="9">
        <f>SUM('[3]Shuttle America'!$EL$19:$EM$19)</f>
        <v>176</v>
      </c>
      <c r="H59" s="39">
        <f t="shared" si="15"/>
        <v>-0.86363636363636365</v>
      </c>
      <c r="I59" s="86">
        <f t="shared" si="16"/>
        <v>4.2590193607921773E-4</v>
      </c>
      <c r="J59" s="369"/>
      <c r="K59" s="364" t="s">
        <v>135</v>
      </c>
      <c r="L59" s="358">
        <f>'[3]Shuttle America'!$FA$41</f>
        <v>0</v>
      </c>
      <c r="M59" s="9">
        <f>'[3]Shuttle America'!$EM$41</f>
        <v>9540</v>
      </c>
      <c r="N59" s="86">
        <f t="shared" si="17"/>
        <v>-1</v>
      </c>
      <c r="O59" s="358">
        <f>SUM('[3]Shuttle America'!$EZ$41:$FA$41)</f>
        <v>1273</v>
      </c>
      <c r="P59" s="9">
        <f>SUM('[3]Shuttle America'!$EL$41:$EM$41)</f>
        <v>9540</v>
      </c>
      <c r="Q59" s="39">
        <f t="shared" si="18"/>
        <v>-0.86656184486373167</v>
      </c>
      <c r="R59" s="86">
        <f t="shared" si="19"/>
        <v>2.4853732950641815E-4</v>
      </c>
      <c r="S59" s="20"/>
    </row>
    <row r="60" spans="1:20" s="7" customFormat="1" ht="14.1" customHeight="1" thickBot="1" x14ac:dyDescent="0.25">
      <c r="A60" s="440"/>
      <c r="B60" s="441"/>
      <c r="C60" s="370"/>
      <c r="D60" s="372"/>
      <c r="E60" s="373"/>
      <c r="F60" s="374"/>
      <c r="G60" s="374"/>
      <c r="H60" s="371"/>
      <c r="I60" s="373"/>
      <c r="J60" s="440"/>
      <c r="K60" s="441"/>
      <c r="L60" s="370"/>
      <c r="M60" s="374"/>
      <c r="N60" s="373"/>
      <c r="O60" s="370"/>
      <c r="P60" s="374"/>
      <c r="Q60" s="371"/>
      <c r="R60" s="488"/>
      <c r="S60" s="20"/>
    </row>
    <row r="61" spans="1:20" s="229" customFormat="1" ht="14.1" customHeight="1" thickBot="1" x14ac:dyDescent="0.25">
      <c r="B61" s="264"/>
      <c r="C61" s="356"/>
      <c r="D61" s="356"/>
      <c r="E61" s="355"/>
      <c r="F61" s="439"/>
      <c r="G61" s="356"/>
      <c r="H61" s="355"/>
      <c r="I61" s="355"/>
      <c r="J61" s="375"/>
      <c r="K61" s="264"/>
      <c r="L61" s="376"/>
      <c r="M61" s="377"/>
      <c r="N61" s="375"/>
      <c r="O61" s="230"/>
      <c r="P61" s="230"/>
      <c r="Q61" s="230"/>
      <c r="R61" s="507"/>
      <c r="S61" s="228"/>
      <c r="T61"/>
    </row>
    <row r="62" spans="1:20" ht="14.1" customHeight="1" x14ac:dyDescent="0.2">
      <c r="B62" s="378" t="s">
        <v>137</v>
      </c>
      <c r="C62" s="452">
        <f>+C64-C63</f>
        <v>15972</v>
      </c>
      <c r="D62" s="453">
        <f>+D64-D63</f>
        <v>15321</v>
      </c>
      <c r="E62" s="454">
        <f>(C62-D62)/D62</f>
        <v>4.2490699040532605E-2</v>
      </c>
      <c r="F62" s="452">
        <f t="shared" ref="F62:G62" si="21">+F64-F63</f>
        <v>32891</v>
      </c>
      <c r="G62" s="453">
        <f t="shared" si="21"/>
        <v>31050</v>
      </c>
      <c r="H62" s="459">
        <f>(F62-G62)/G62</f>
        <v>5.92914653784219E-2</v>
      </c>
      <c r="I62" s="462">
        <f>F62/$F$64</f>
        <v>0.5836808574825646</v>
      </c>
      <c r="K62" s="378" t="s">
        <v>137</v>
      </c>
      <c r="L62" s="452">
        <f>+L64-L63</f>
        <v>1977865</v>
      </c>
      <c r="M62" s="453">
        <f>+M64-M63</f>
        <v>1955373</v>
      </c>
      <c r="N62" s="454">
        <f>(L62-M62)/M62</f>
        <v>1.1502664708983912E-2</v>
      </c>
      <c r="O62" s="452">
        <f t="shared" ref="O62:P62" si="22">+O64-O63</f>
        <v>3987968</v>
      </c>
      <c r="P62" s="453">
        <f t="shared" si="22"/>
        <v>3926247</v>
      </c>
      <c r="Q62" s="505">
        <f>(O62-P62)/P62</f>
        <v>1.5720101155123456E-2</v>
      </c>
      <c r="R62" s="511">
        <f>+O62/O64</f>
        <v>0.77860087735824923</v>
      </c>
    </row>
    <row r="63" spans="1:20" ht="14.1" customHeight="1" x14ac:dyDescent="0.2">
      <c r="B63" s="329" t="s">
        <v>138</v>
      </c>
      <c r="C63" s="455">
        <f>C59+C37+C35+C33+C32+C36+C19+C58+C55+C34+C54+C56+C24+C23+C20+C15+C7+C6+C57+C21+C22</f>
        <v>11218</v>
      </c>
      <c r="D63" s="379">
        <f>D59+D37+D35+D33+D32+D36+D19+D58+D55+D34+D54+D56+D24+D23+D20+D15+D7+D6+D57+D21+D22</f>
        <v>12057</v>
      </c>
      <c r="E63" s="380">
        <f>(C63-D63)/D63</f>
        <v>-6.9586132537115375E-2</v>
      </c>
      <c r="F63" s="455">
        <f>F59+F37+F35+F33+F32+F36+F19+F58+F55+F34+F54+F56+F24+F23+F20+F15+F7+F6+F57+F21+F22</f>
        <v>23460</v>
      </c>
      <c r="G63" s="379">
        <f>G59+G37+G35+G33+G32+G36+G19+G58+G55+G34+G54+G56+G24+G23+G20+G15+G7+G6+G57+G21+G22</f>
        <v>25275</v>
      </c>
      <c r="H63" s="460">
        <f>(F63-G63)/G63</f>
        <v>-7.1810089020771517E-2</v>
      </c>
      <c r="I63" s="430">
        <f>F63/$F$64</f>
        <v>0.41631914251743535</v>
      </c>
      <c r="K63" s="329" t="s">
        <v>138</v>
      </c>
      <c r="L63" s="455">
        <f>L59+L37+L35+L33+L32+L36+L19+L58+L55+L34+L54+L56+L24+L23+L20+L15+L7+L6+L57+L21+L22</f>
        <v>544459</v>
      </c>
      <c r="M63" s="379">
        <f>M59+M37+M35+M33+M32+M36+M19+M58+M55+M34+M54+M56+M24+M23+M20+M15+M7+M6+M57+M21+M22</f>
        <v>598775</v>
      </c>
      <c r="N63" s="380">
        <f>(L63-M63)/M63</f>
        <v>-9.0711870068055617E-2</v>
      </c>
      <c r="O63" s="455">
        <f>O59+O37+O35+O33+O32+O36+O19+O58+O55+O34+O54+O56+O24+O23+O20+O15+O7+O6+O57+O21+O22</f>
        <v>1133999</v>
      </c>
      <c r="P63" s="379">
        <f>P59+P37+P35+P33+P32+P36+P19+P58+P55+P34+P54+P56+P24+P23+P20+P15+P7+P6+P57+P21+P22</f>
        <v>1237475</v>
      </c>
      <c r="Q63" s="503">
        <f>(O63-P63)/P63</f>
        <v>-8.3618658962807332E-2</v>
      </c>
      <c r="R63" s="512">
        <f>+O63/O64</f>
        <v>0.22139912264175071</v>
      </c>
    </row>
    <row r="64" spans="1:20" ht="14.1" customHeight="1" thickBot="1" x14ac:dyDescent="0.25">
      <c r="B64" s="329" t="s">
        <v>139</v>
      </c>
      <c r="C64" s="456">
        <f>C52+C50+C45+C43+C39+C30+C17+C13+C4+C41+C48+C28+C26+C9</f>
        <v>27190</v>
      </c>
      <c r="D64" s="456">
        <f>D52+D50+D45+D43+D39+D30+D17+D13+D4+D41+D48+D28+D26+D9</f>
        <v>27378</v>
      </c>
      <c r="E64" s="458">
        <f>(C64-D64)/D64</f>
        <v>-6.8668273796478928E-3</v>
      </c>
      <c r="F64" s="456">
        <f t="shared" ref="F64:G64" si="23">F52+F50+F45+F43+F39+F30+F17+F13+F4+F41+F48+F28+F26+F9</f>
        <v>56351</v>
      </c>
      <c r="G64" s="457">
        <f t="shared" si="23"/>
        <v>56325</v>
      </c>
      <c r="H64" s="461">
        <f>(F64-G64)/G64</f>
        <v>4.6160674656014203E-4</v>
      </c>
      <c r="I64" s="463">
        <f>+H64/H64</f>
        <v>1</v>
      </c>
      <c r="K64" s="329" t="s">
        <v>139</v>
      </c>
      <c r="L64" s="456">
        <f>L52+L50+L45+L43+L39+L30+L17+L13+L4+L41+L48+L28+L26+L9</f>
        <v>2522324</v>
      </c>
      <c r="M64" s="457">
        <f>M52+M50+M45+M43+M39+M30+M17+M13+M4+M41+M48+M28+M26+M9</f>
        <v>2554148</v>
      </c>
      <c r="N64" s="458">
        <f>(L64-M64)/M64</f>
        <v>-1.2459732169005085E-2</v>
      </c>
      <c r="O64" s="456">
        <f t="shared" ref="O64:P64" si="24">O52+O50+O45+O43+O39+O30+O17+O13+O4+O41+O48+O28+O26+O9</f>
        <v>5121967</v>
      </c>
      <c r="P64" s="457">
        <f t="shared" si="24"/>
        <v>5163722</v>
      </c>
      <c r="Q64" s="506">
        <f>(O64-P64)/P64</f>
        <v>-8.0862215278049432E-3</v>
      </c>
      <c r="R64" s="513">
        <f>+O64/O64</f>
        <v>1</v>
      </c>
    </row>
    <row r="65" spans="2:17" x14ac:dyDescent="0.2">
      <c r="B65" s="329"/>
      <c r="E65" s="37"/>
      <c r="F65" s="231"/>
      <c r="G65" s="5"/>
      <c r="H65" s="37"/>
      <c r="I65" s="37"/>
      <c r="K65" s="11"/>
      <c r="L65" s="4"/>
      <c r="M65" s="4"/>
      <c r="N65" s="227"/>
      <c r="O65" s="4"/>
      <c r="P65" s="7"/>
      <c r="Q65" s="7"/>
    </row>
    <row r="66" spans="2:17" x14ac:dyDescent="0.2">
      <c r="B66" s="264"/>
      <c r="D66" s="420"/>
      <c r="E66" s="227"/>
      <c r="F66" s="4"/>
      <c r="G66" s="4"/>
      <c r="H66"/>
      <c r="I66"/>
      <c r="J66"/>
      <c r="K66"/>
      <c r="N66"/>
      <c r="O66" s="2"/>
      <c r="P66" s="2"/>
    </row>
    <row r="67" spans="2:17" x14ac:dyDescent="0.2">
      <c r="B67" s="329"/>
      <c r="C67" s="2">
        <f>+C62-'Monthly Summary'!D16</f>
        <v>0</v>
      </c>
      <c r="D67" s="2">
        <f>+D62-'Monthly Summary'!E16</f>
        <v>0</v>
      </c>
      <c r="E67" s="227"/>
      <c r="F67" s="4">
        <f>+F62-'Monthly Summary'!G16</f>
        <v>0</v>
      </c>
      <c r="G67" s="4">
        <f>+G62-'Monthly Summary'!H16</f>
        <v>0</v>
      </c>
      <c r="H67"/>
      <c r="I67"/>
      <c r="J67"/>
      <c r="K67"/>
      <c r="L67" s="2">
        <f>+L62-'Monthly Summary'!D5</f>
        <v>0</v>
      </c>
      <c r="M67" s="2">
        <f>+M62-'Monthly Summary'!E5</f>
        <v>0</v>
      </c>
      <c r="N67"/>
      <c r="O67" s="2">
        <f>+O62-'Monthly Summary'!G5</f>
        <v>0</v>
      </c>
      <c r="P67" s="2">
        <f>+P62-'Monthly Summary'!H5</f>
        <v>0</v>
      </c>
    </row>
    <row r="68" spans="2:17" x14ac:dyDescent="0.2">
      <c r="B68" s="264"/>
      <c r="C68" s="2">
        <f>+C63-'Monthly Summary'!D17</f>
        <v>0</v>
      </c>
      <c r="D68" s="2">
        <f>+D63-'Monthly Summary'!E17</f>
        <v>0</v>
      </c>
      <c r="E68" s="227"/>
      <c r="F68" s="4">
        <f>+F63-'Monthly Summary'!G17</f>
        <v>0</v>
      </c>
      <c r="G68" s="4">
        <f>+G63-'Monthly Summary'!H17</f>
        <v>0</v>
      </c>
      <c r="H68"/>
      <c r="I68"/>
      <c r="J68"/>
      <c r="K68"/>
      <c r="L68" s="2">
        <f>+L63-'Monthly Summary'!D6</f>
        <v>0</v>
      </c>
      <c r="M68" s="2">
        <f>+M63-'Monthly Summary'!E6</f>
        <v>0</v>
      </c>
      <c r="N68"/>
      <c r="O68" s="2">
        <f>+O63-'Monthly Summary'!G6</f>
        <v>0</v>
      </c>
      <c r="P68" s="2">
        <f>+P63-'Monthly Summary'!H6</f>
        <v>0</v>
      </c>
    </row>
    <row r="69" spans="2:17" x14ac:dyDescent="0.2">
      <c r="D69" s="227"/>
      <c r="E69" s="227"/>
      <c r="F69" s="4"/>
      <c r="G69" s="7"/>
      <c r="H69"/>
      <c r="I69"/>
      <c r="J69"/>
      <c r="K69"/>
      <c r="L69"/>
      <c r="M69"/>
      <c r="N69"/>
      <c r="O69" s="130"/>
    </row>
    <row r="70" spans="2:17" x14ac:dyDescent="0.2">
      <c r="D70" s="227"/>
      <c r="E70" s="227"/>
      <c r="F70" s="4"/>
      <c r="G70" s="7"/>
      <c r="H70"/>
      <c r="I70"/>
      <c r="J70"/>
      <c r="K70"/>
      <c r="M70"/>
      <c r="N70"/>
    </row>
    <row r="71" spans="2:17" x14ac:dyDescent="0.2">
      <c r="D71" s="3"/>
      <c r="F71" s="4"/>
      <c r="G71"/>
      <c r="H71"/>
      <c r="I71"/>
      <c r="J71"/>
      <c r="K71"/>
      <c r="L71"/>
      <c r="M71"/>
      <c r="N71"/>
    </row>
    <row r="72" spans="2:17" x14ac:dyDescent="0.2">
      <c r="D72" s="3"/>
      <c r="F72"/>
      <c r="G72"/>
      <c r="H72"/>
      <c r="I72"/>
      <c r="J72"/>
      <c r="K72"/>
      <c r="L72"/>
      <c r="M72"/>
      <c r="N72"/>
    </row>
    <row r="73" spans="2:17" x14ac:dyDescent="0.2">
      <c r="D73" s="3"/>
      <c r="F73"/>
      <c r="G73"/>
      <c r="H73"/>
      <c r="I73"/>
      <c r="J73"/>
      <c r="K73"/>
      <c r="L73"/>
      <c r="M73"/>
      <c r="N73"/>
    </row>
    <row r="74" spans="2:17" x14ac:dyDescent="0.2">
      <c r="D74" s="3"/>
      <c r="F74"/>
      <c r="G74"/>
      <c r="H74"/>
      <c r="I74"/>
      <c r="J74"/>
      <c r="K74"/>
      <c r="L74"/>
      <c r="M74"/>
      <c r="N74"/>
    </row>
    <row r="75" spans="2:17" x14ac:dyDescent="0.2">
      <c r="D75" s="3"/>
      <c r="F75"/>
      <c r="G75"/>
      <c r="H75"/>
      <c r="I75"/>
      <c r="J75"/>
      <c r="K75"/>
      <c r="L75"/>
      <c r="M75"/>
      <c r="N75"/>
    </row>
    <row r="76" spans="2:17" x14ac:dyDescent="0.2">
      <c r="D76" s="3"/>
      <c r="F76"/>
      <c r="G76"/>
      <c r="H76"/>
      <c r="I76"/>
      <c r="J76"/>
      <c r="K76"/>
      <c r="L76"/>
      <c r="M76"/>
      <c r="N76"/>
    </row>
    <row r="77" spans="2:17" x14ac:dyDescent="0.2">
      <c r="D77" s="3"/>
      <c r="F77"/>
      <c r="G77"/>
      <c r="H77"/>
      <c r="I77"/>
      <c r="J77"/>
      <c r="K77"/>
      <c r="L77"/>
      <c r="M77"/>
      <c r="N77"/>
    </row>
    <row r="78" spans="2:17" x14ac:dyDescent="0.2">
      <c r="D78" s="3"/>
      <c r="F78"/>
      <c r="G78"/>
      <c r="H78"/>
      <c r="I78"/>
      <c r="J78"/>
      <c r="K78"/>
      <c r="L78"/>
      <c r="M78"/>
      <c r="N78"/>
    </row>
    <row r="79" spans="2:17" x14ac:dyDescent="0.2">
      <c r="D79" s="3"/>
      <c r="F79"/>
      <c r="G79"/>
      <c r="H79"/>
      <c r="I79"/>
      <c r="J79"/>
      <c r="K79"/>
      <c r="L79"/>
      <c r="M79"/>
      <c r="N79"/>
    </row>
    <row r="80" spans="2:17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E1189" s="37"/>
      <c r="F1189" s="231"/>
      <c r="G1189" s="5"/>
      <c r="H1189" s="37"/>
      <c r="I1189" s="37"/>
      <c r="K1189" s="11"/>
    </row>
    <row r="1190" spans="5:11" x14ac:dyDescent="0.2">
      <c r="E1190" s="37"/>
      <c r="F1190" s="231"/>
      <c r="G1190" s="5"/>
      <c r="H1190" s="37"/>
      <c r="I1190" s="37"/>
      <c r="K1190" s="11"/>
    </row>
    <row r="1191" spans="5:11" x14ac:dyDescent="0.2">
      <c r="E1191" s="37"/>
      <c r="F1191" s="231"/>
      <c r="G1191" s="5"/>
      <c r="H1191" s="37"/>
      <c r="I1191" s="37"/>
      <c r="K1191" s="11"/>
    </row>
    <row r="1192" spans="5:11" x14ac:dyDescent="0.2">
      <c r="E1192" s="37"/>
      <c r="F1192" s="231"/>
      <c r="G1192" s="5"/>
      <c r="H1192" s="37"/>
      <c r="I1192" s="37"/>
      <c r="K1192" s="11"/>
    </row>
    <row r="1193" spans="5:11" x14ac:dyDescent="0.2">
      <c r="E1193" s="37"/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  <row r="4704" spans="6:11" x14ac:dyDescent="0.2">
      <c r="F4704" s="231"/>
      <c r="G4704" s="5"/>
      <c r="H4704" s="37"/>
      <c r="I4704" s="37"/>
      <c r="K4704" s="11"/>
    </row>
    <row r="4705" spans="6:11" x14ac:dyDescent="0.2">
      <c r="F4705" s="231"/>
      <c r="G4705" s="5"/>
      <c r="H4705" s="37"/>
      <c r="I4705" s="37"/>
      <c r="K4705" s="11"/>
    </row>
    <row r="4706" spans="6:11" x14ac:dyDescent="0.2">
      <c r="F4706" s="231"/>
      <c r="G4706" s="5"/>
      <c r="H4706" s="37"/>
      <c r="I4706" s="37"/>
      <c r="K4706" s="11"/>
    </row>
    <row r="4707" spans="6:11" x14ac:dyDescent="0.2">
      <c r="F4707" s="231"/>
      <c r="G4707" s="5"/>
      <c r="H4707" s="37"/>
      <c r="I4707" s="37"/>
      <c r="K4707" s="11"/>
    </row>
    <row r="4708" spans="6:11" x14ac:dyDescent="0.2">
      <c r="F4708" s="231"/>
      <c r="G4708" s="5"/>
      <c r="H4708" s="37"/>
      <c r="I4708" s="37"/>
      <c r="K4708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74" fitToWidth="2" orientation="portrait" r:id="rId1"/>
  <headerFooter alignWithMargins="0">
    <oddHeader>&amp;L
Schedule 10
&amp;CMinneapolis-St. Paul International Airport
&amp;"Arial,Bold"&amp;A
February 2017</oddHeader>
    <oddFooter>&amp;LPrinted on &amp;D&amp;RPage &amp;P of &amp;N</oddFooter>
  </headerFooter>
  <colBreaks count="1" manualBreakCount="1">
    <brk id="9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opLeftCell="A7" zoomScaleNormal="100" zoomScaleSheetLayoutView="100" workbookViewId="0">
      <selection activeCell="L12" sqref="L12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84">
        <v>42767</v>
      </c>
      <c r="B1" s="449" t="s">
        <v>17</v>
      </c>
      <c r="C1" s="449" t="s">
        <v>18</v>
      </c>
      <c r="D1" s="449" t="s">
        <v>19</v>
      </c>
      <c r="E1" s="449" t="s">
        <v>162</v>
      </c>
      <c r="F1" s="449" t="s">
        <v>170</v>
      </c>
      <c r="G1" s="449" t="s">
        <v>163</v>
      </c>
      <c r="H1" s="449" t="s">
        <v>20</v>
      </c>
      <c r="I1" s="450" t="s">
        <v>21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0"/>
    </row>
    <row r="3" spans="1:18" x14ac:dyDescent="0.2">
      <c r="A3" s="62" t="s">
        <v>29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30</v>
      </c>
      <c r="B4" s="21">
        <f>[3]American!$FA$22</f>
        <v>81130</v>
      </c>
      <c r="C4" s="21">
        <f>[3]Delta!$FA$22+[3]Delta!$FA$32</f>
        <v>619400</v>
      </c>
      <c r="D4" s="21">
        <f>[3]United!$FA$22</f>
        <v>34725</v>
      </c>
      <c r="E4" s="21">
        <f>[3]Spirit!$FA$22</f>
        <v>47675</v>
      </c>
      <c r="F4" s="21">
        <f>[3]Condor!$FA$22</f>
        <v>0</v>
      </c>
      <c r="G4" s="21">
        <f>'[3]Air France'!$FA$22</f>
        <v>0</v>
      </c>
      <c r="H4" s="21">
        <f>'Other Major Airline Stats'!J5</f>
        <v>197965</v>
      </c>
      <c r="I4" s="281">
        <f>SUM(B4:H4)</f>
        <v>980895</v>
      </c>
    </row>
    <row r="5" spans="1:18" x14ac:dyDescent="0.2">
      <c r="A5" s="62" t="s">
        <v>31</v>
      </c>
      <c r="B5" s="14">
        <f>[3]American!$FA$23</f>
        <v>79637</v>
      </c>
      <c r="C5" s="14">
        <f>[3]Delta!$FA$23+[3]Delta!$FA$33</f>
        <v>626016</v>
      </c>
      <c r="D5" s="14">
        <f>[3]United!$FA$23</f>
        <v>33246</v>
      </c>
      <c r="E5" s="14">
        <f>[3]Spirit!$FA$23</f>
        <v>50708</v>
      </c>
      <c r="F5" s="14">
        <f>[3]Condor!$FA$23</f>
        <v>0</v>
      </c>
      <c r="G5" s="14">
        <f>'[3]Air France'!$FA$23</f>
        <v>0</v>
      </c>
      <c r="H5" s="14">
        <f>'Other Major Airline Stats'!J6</f>
        <v>207363</v>
      </c>
      <c r="I5" s="282">
        <f>SUM(B5:H5)</f>
        <v>996970</v>
      </c>
      <c r="K5" s="309"/>
      <c r="L5" s="309"/>
      <c r="M5" s="309"/>
      <c r="N5" s="309"/>
      <c r="O5" s="309"/>
      <c r="P5" s="309"/>
      <c r="Q5" s="309"/>
      <c r="R5" s="309"/>
    </row>
    <row r="6" spans="1:18" ht="15" x14ac:dyDescent="0.25">
      <c r="A6" s="60" t="s">
        <v>7</v>
      </c>
      <c r="B6" s="34">
        <f t="shared" ref="B6:H6" si="0">SUM(B4:B5)</f>
        <v>160767</v>
      </c>
      <c r="C6" s="34">
        <f t="shared" si="0"/>
        <v>1245416</v>
      </c>
      <c r="D6" s="34">
        <f t="shared" si="0"/>
        <v>67971</v>
      </c>
      <c r="E6" s="34">
        <f t="shared" si="0"/>
        <v>98383</v>
      </c>
      <c r="F6" s="34">
        <f t="shared" ref="F6:G6" si="1">SUM(F4:F5)</f>
        <v>0</v>
      </c>
      <c r="G6" s="34">
        <f t="shared" si="1"/>
        <v>0</v>
      </c>
      <c r="H6" s="34">
        <f t="shared" si="0"/>
        <v>405328</v>
      </c>
      <c r="I6" s="283">
        <f>SUM(B6:H6)</f>
        <v>1977865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1"/>
    </row>
    <row r="8" spans="1:18" x14ac:dyDescent="0.2">
      <c r="A8" s="62" t="s">
        <v>32</v>
      </c>
      <c r="B8" s="21"/>
      <c r="C8" s="21"/>
      <c r="D8" s="21"/>
      <c r="E8" s="21"/>
      <c r="F8" s="21"/>
      <c r="G8" s="21"/>
      <c r="H8" s="21"/>
      <c r="I8" s="281">
        <f>SUM(B8:H8)</f>
        <v>0</v>
      </c>
    </row>
    <row r="9" spans="1:18" x14ac:dyDescent="0.2">
      <c r="A9" s="62" t="s">
        <v>30</v>
      </c>
      <c r="B9" s="21">
        <f>[3]American!$FA$27</f>
        <v>3007</v>
      </c>
      <c r="C9" s="21">
        <f>[3]Delta!$FA$27+[3]Delta!$FA$37</f>
        <v>25298</v>
      </c>
      <c r="D9" s="21">
        <f>[3]United!$FA$27</f>
        <v>1238</v>
      </c>
      <c r="E9" s="21">
        <f>[3]Spirit!$FA$27</f>
        <v>308</v>
      </c>
      <c r="F9" s="21">
        <f>[3]Condor!$FA$27</f>
        <v>0</v>
      </c>
      <c r="G9" s="21">
        <f>'[3]Air France'!$FA$27</f>
        <v>0</v>
      </c>
      <c r="H9" s="21">
        <f>'Other Major Airline Stats'!J10</f>
        <v>3233</v>
      </c>
      <c r="I9" s="281">
        <f>SUM(B9:H9)</f>
        <v>33084</v>
      </c>
    </row>
    <row r="10" spans="1:18" x14ac:dyDescent="0.2">
      <c r="A10" s="62" t="s">
        <v>33</v>
      </c>
      <c r="B10" s="14">
        <f>[3]American!$FA$28</f>
        <v>3215</v>
      </c>
      <c r="C10" s="14">
        <f>[3]Delta!$FA$28+[3]Delta!$FA$38</f>
        <v>24967</v>
      </c>
      <c r="D10" s="14">
        <f>[3]United!$FA$28</f>
        <v>1317</v>
      </c>
      <c r="E10" s="14">
        <f>[3]Spirit!$FA$28</f>
        <v>293</v>
      </c>
      <c r="F10" s="14">
        <f>[3]Condor!$FA$28</f>
        <v>0</v>
      </c>
      <c r="G10" s="14">
        <f>'[3]Air France'!$FA$28</f>
        <v>0</v>
      </c>
      <c r="H10" s="14">
        <f>'Other Major Airline Stats'!J11</f>
        <v>3502</v>
      </c>
      <c r="I10" s="282">
        <f>SUM(B10:H10)</f>
        <v>33294</v>
      </c>
    </row>
    <row r="11" spans="1:18" ht="15.75" thickBot="1" x14ac:dyDescent="0.3">
      <c r="A11" s="63" t="s">
        <v>34</v>
      </c>
      <c r="B11" s="284">
        <f t="shared" ref="B11:H11" si="2">SUM(B9:B10)</f>
        <v>6222</v>
      </c>
      <c r="C11" s="284">
        <f t="shared" si="2"/>
        <v>50265</v>
      </c>
      <c r="D11" s="284">
        <f t="shared" si="2"/>
        <v>2555</v>
      </c>
      <c r="E11" s="284">
        <f t="shared" si="2"/>
        <v>601</v>
      </c>
      <c r="F11" s="284">
        <f t="shared" ref="F11:G11" si="3">SUM(F9:F10)</f>
        <v>0</v>
      </c>
      <c r="G11" s="284">
        <f t="shared" si="3"/>
        <v>0</v>
      </c>
      <c r="H11" s="284">
        <f t="shared" si="2"/>
        <v>6735</v>
      </c>
      <c r="I11" s="285">
        <f>SUM(B11:H11)</f>
        <v>66378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22</v>
      </c>
      <c r="B15" s="21">
        <f>[3]American!$FA$4</f>
        <v>695</v>
      </c>
      <c r="C15" s="21">
        <f>[3]Delta!$FA$4+[3]Delta!$FA$15</f>
        <v>4701</v>
      </c>
      <c r="D15" s="21">
        <f>[3]United!$FA$4</f>
        <v>297</v>
      </c>
      <c r="E15" s="21">
        <f>[3]Spirit!$FA$4</f>
        <v>361</v>
      </c>
      <c r="F15" s="21">
        <f>[3]Condor!$FA$4</f>
        <v>0</v>
      </c>
      <c r="G15" s="21">
        <f>'[3]Air France'!$FA$4</f>
        <v>0</v>
      </c>
      <c r="H15" s="21">
        <f>'Other Major Airline Stats'!J16</f>
        <v>1878</v>
      </c>
      <c r="I15" s="27">
        <f>SUM(B15:H15)</f>
        <v>7932</v>
      </c>
    </row>
    <row r="16" spans="1:18" x14ac:dyDescent="0.2">
      <c r="A16" s="62" t="s">
        <v>23</v>
      </c>
      <c r="B16" s="14">
        <f>[3]American!$FA$5</f>
        <v>695</v>
      </c>
      <c r="C16" s="14">
        <f>[3]Delta!$FA$5+[3]Delta!$FA$16</f>
        <v>4702</v>
      </c>
      <c r="D16" s="14">
        <f>[3]United!$FA$5</f>
        <v>297</v>
      </c>
      <c r="E16" s="14">
        <f>[3]Spirit!$FA$5</f>
        <v>360</v>
      </c>
      <c r="F16" s="14">
        <f>[3]Condor!$FA$5</f>
        <v>0</v>
      </c>
      <c r="G16" s="14">
        <f>'[3]Air France'!$FA$5</f>
        <v>0</v>
      </c>
      <c r="H16" s="14">
        <f>'Other Major Airline Stats'!J17</f>
        <v>1882</v>
      </c>
      <c r="I16" s="33">
        <f>SUM(B16:H16)</f>
        <v>7936</v>
      </c>
    </row>
    <row r="17" spans="1:9" x14ac:dyDescent="0.2">
      <c r="A17" s="62" t="s">
        <v>24</v>
      </c>
      <c r="B17" s="288">
        <f t="shared" ref="B17:H17" si="4">SUM(B15:B16)</f>
        <v>1390</v>
      </c>
      <c r="C17" s="286">
        <f t="shared" si="4"/>
        <v>9403</v>
      </c>
      <c r="D17" s="286">
        <f t="shared" si="4"/>
        <v>594</v>
      </c>
      <c r="E17" s="286">
        <f t="shared" si="4"/>
        <v>721</v>
      </c>
      <c r="F17" s="286">
        <f t="shared" ref="F17:G17" si="5">SUM(F15:F16)</f>
        <v>0</v>
      </c>
      <c r="G17" s="286">
        <f t="shared" si="5"/>
        <v>0</v>
      </c>
      <c r="H17" s="286">
        <f t="shared" si="4"/>
        <v>3760</v>
      </c>
      <c r="I17" s="287">
        <f>SUM(B17:H17)</f>
        <v>15868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25</v>
      </c>
      <c r="B19" s="21">
        <f>[3]American!$FA$8</f>
        <v>0</v>
      </c>
      <c r="C19" s="21">
        <f>[3]Delta!$FA$8</f>
        <v>5</v>
      </c>
      <c r="D19" s="21">
        <f>[3]United!$FA$8</f>
        <v>0</v>
      </c>
      <c r="E19" s="21">
        <f>[3]Spirit!$FA$8</f>
        <v>0</v>
      </c>
      <c r="F19" s="21">
        <f>[3]Condor!$FA$8</f>
        <v>0</v>
      </c>
      <c r="G19" s="21">
        <f>'[3]Air France'!$FA$8</f>
        <v>0</v>
      </c>
      <c r="H19" s="21">
        <f>'Other Major Airline Stats'!J20</f>
        <v>49</v>
      </c>
      <c r="I19" s="27">
        <f>SUM(B19:H19)</f>
        <v>54</v>
      </c>
    </row>
    <row r="20" spans="1:9" x14ac:dyDescent="0.2">
      <c r="A20" s="62" t="s">
        <v>26</v>
      </c>
      <c r="B20" s="14">
        <f>[3]American!$FA$9</f>
        <v>0</v>
      </c>
      <c r="C20" s="14">
        <f>[3]Delta!$FA$9</f>
        <v>8</v>
      </c>
      <c r="D20" s="14">
        <f>[3]United!$FA$9</f>
        <v>0</v>
      </c>
      <c r="E20" s="14">
        <f>[3]Spirit!$FA$9</f>
        <v>0</v>
      </c>
      <c r="F20" s="14">
        <f>[3]Condor!$FA$9</f>
        <v>0</v>
      </c>
      <c r="G20" s="14">
        <f>'[3]Air France'!$FA$9</f>
        <v>0</v>
      </c>
      <c r="H20" s="14">
        <f>'Other Major Airline Stats'!J21</f>
        <v>42</v>
      </c>
      <c r="I20" s="33">
        <f>SUM(B20:H20)</f>
        <v>50</v>
      </c>
    </row>
    <row r="21" spans="1:9" x14ac:dyDescent="0.2">
      <c r="A21" s="62" t="s">
        <v>27</v>
      </c>
      <c r="B21" s="288">
        <f t="shared" ref="B21:H21" si="6">SUM(B19:B20)</f>
        <v>0</v>
      </c>
      <c r="C21" s="286">
        <f t="shared" si="6"/>
        <v>13</v>
      </c>
      <c r="D21" s="286">
        <f t="shared" si="6"/>
        <v>0</v>
      </c>
      <c r="E21" s="286">
        <f t="shared" si="6"/>
        <v>0</v>
      </c>
      <c r="F21" s="286">
        <f t="shared" ref="F21:G21" si="7">SUM(F19:F20)</f>
        <v>0</v>
      </c>
      <c r="G21" s="286">
        <f t="shared" si="7"/>
        <v>0</v>
      </c>
      <c r="H21" s="286">
        <f t="shared" si="6"/>
        <v>91</v>
      </c>
      <c r="I21" s="176">
        <f>SUM(B21:H21)</f>
        <v>104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28</v>
      </c>
      <c r="B23" s="28">
        <f t="shared" ref="B23:H23" si="8">B17+B21</f>
        <v>1390</v>
      </c>
      <c r="C23" s="28">
        <f t="shared" si="8"/>
        <v>9416</v>
      </c>
      <c r="D23" s="28">
        <f t="shared" si="8"/>
        <v>594</v>
      </c>
      <c r="E23" s="28">
        <f>E17+E21</f>
        <v>721</v>
      </c>
      <c r="F23" s="28">
        <f t="shared" ref="F23:G23" si="9">F17+F21</f>
        <v>0</v>
      </c>
      <c r="G23" s="28">
        <f t="shared" si="9"/>
        <v>0</v>
      </c>
      <c r="H23" s="28">
        <f t="shared" si="8"/>
        <v>3851</v>
      </c>
      <c r="I23" s="29">
        <f>SUM(B23:H23)</f>
        <v>15972</v>
      </c>
    </row>
    <row r="25" spans="1:9" ht="13.5" thickBot="1" x14ac:dyDescent="0.25">
      <c r="B25" s="419"/>
      <c r="C25" s="419"/>
      <c r="D25" s="419"/>
      <c r="E25" s="419"/>
      <c r="F25" s="419"/>
      <c r="G25" s="419"/>
      <c r="H25" s="419"/>
    </row>
    <row r="26" spans="1:9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37</v>
      </c>
      <c r="B28" s="21">
        <f>[3]American!$FA$47</f>
        <v>46619</v>
      </c>
      <c r="C28" s="21">
        <f>[3]Delta!$FA$47</f>
        <v>3928462</v>
      </c>
      <c r="D28" s="21">
        <f>[3]United!$FA$47</f>
        <v>19038</v>
      </c>
      <c r="E28" s="21">
        <f>[3]Spirit!$FA$47</f>
        <v>0</v>
      </c>
      <c r="F28" s="21">
        <f>[3]Condor!$FA$47</f>
        <v>0</v>
      </c>
      <c r="G28" s="21">
        <f>'[3]Air France'!$FA$47</f>
        <v>0</v>
      </c>
      <c r="H28" s="21">
        <f>'Other Major Airline Stats'!J28</f>
        <v>308320</v>
      </c>
      <c r="I28" s="27">
        <f>SUM(B28:H28)</f>
        <v>4302439</v>
      </c>
    </row>
    <row r="29" spans="1:9" x14ac:dyDescent="0.2">
      <c r="A29" s="62" t="s">
        <v>38</v>
      </c>
      <c r="B29" s="14">
        <f>[3]American!$FA$48</f>
        <v>75623</v>
      </c>
      <c r="C29" s="14">
        <f>[3]Delta!$FA$48</f>
        <v>1139501</v>
      </c>
      <c r="D29" s="14">
        <f>[3]United!$FA$48</f>
        <v>97362</v>
      </c>
      <c r="E29" s="14">
        <f>[3]Spirit!$FA$48</f>
        <v>0</v>
      </c>
      <c r="F29" s="14">
        <f>[3]Condor!$FA$48</f>
        <v>0</v>
      </c>
      <c r="G29" s="14">
        <f>'[3]Air France'!$FA$48</f>
        <v>0</v>
      </c>
      <c r="H29" s="14">
        <f>'Other Major Airline Stats'!J29</f>
        <v>249110</v>
      </c>
      <c r="I29" s="33">
        <f>SUM(B29:H29)</f>
        <v>1561596</v>
      </c>
    </row>
    <row r="30" spans="1:9" x14ac:dyDescent="0.2">
      <c r="A30" s="66" t="s">
        <v>39</v>
      </c>
      <c r="B30" s="288">
        <f t="shared" ref="B30:H30" si="10">SUM(B28:B29)</f>
        <v>122242</v>
      </c>
      <c r="C30" s="288">
        <f t="shared" si="10"/>
        <v>5067963</v>
      </c>
      <c r="D30" s="288">
        <f t="shared" si="10"/>
        <v>116400</v>
      </c>
      <c r="E30" s="288">
        <f t="shared" si="10"/>
        <v>0</v>
      </c>
      <c r="F30" s="288">
        <f t="shared" ref="F30:G30" si="11">SUM(F28:F29)</f>
        <v>0</v>
      </c>
      <c r="G30" s="288">
        <f t="shared" si="11"/>
        <v>0</v>
      </c>
      <c r="H30" s="288">
        <f t="shared" si="10"/>
        <v>557430</v>
      </c>
      <c r="I30" s="27">
        <f>SUM(B30:H30)</f>
        <v>5864035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37</v>
      </c>
      <c r="B33" s="21">
        <f>[3]American!$FA$52</f>
        <v>8363</v>
      </c>
      <c r="C33" s="21">
        <f>[3]Delta!$FA$52</f>
        <v>2493872</v>
      </c>
      <c r="D33" s="21">
        <f>[3]United!$FA$52</f>
        <v>5875</v>
      </c>
      <c r="E33" s="21">
        <f>[3]Spirit!$FA$52</f>
        <v>0</v>
      </c>
      <c r="F33" s="21">
        <f>[3]Condor!$FA$52</f>
        <v>0</v>
      </c>
      <c r="G33" s="21">
        <f>'[3]Air France'!$FA$52</f>
        <v>0</v>
      </c>
      <c r="H33" s="21">
        <f>'Other Major Airline Stats'!J33</f>
        <v>190146</v>
      </c>
      <c r="I33" s="27">
        <f t="shared" si="12"/>
        <v>2698256</v>
      </c>
    </row>
    <row r="34" spans="1:9" x14ac:dyDescent="0.2">
      <c r="A34" s="62" t="s">
        <v>38</v>
      </c>
      <c r="B34" s="14">
        <f>[3]American!$FA$53</f>
        <v>58088</v>
      </c>
      <c r="C34" s="14">
        <f>[3]Delta!$FA$53</f>
        <v>1349482</v>
      </c>
      <c r="D34" s="14">
        <f>[3]United!$FA$53</f>
        <v>71199</v>
      </c>
      <c r="E34" s="14">
        <f>[3]Spirit!$FA$53</f>
        <v>0</v>
      </c>
      <c r="F34" s="14">
        <f>[3]Condor!$FA$53</f>
        <v>0</v>
      </c>
      <c r="G34" s="14">
        <f>'[3]Air France'!$FA$53</f>
        <v>0</v>
      </c>
      <c r="H34" s="14">
        <f>'Other Major Airline Stats'!J34</f>
        <v>434852</v>
      </c>
      <c r="I34" s="33">
        <f t="shared" si="12"/>
        <v>1913621</v>
      </c>
    </row>
    <row r="35" spans="1:9" x14ac:dyDescent="0.2">
      <c r="A35" s="66" t="s">
        <v>41</v>
      </c>
      <c r="B35" s="288">
        <f t="shared" ref="B35:H35" si="13">SUM(B33:B34)</f>
        <v>66451</v>
      </c>
      <c r="C35" s="288">
        <f t="shared" si="13"/>
        <v>3843354</v>
      </c>
      <c r="D35" s="288">
        <f t="shared" si="13"/>
        <v>77074</v>
      </c>
      <c r="E35" s="288">
        <f t="shared" si="13"/>
        <v>0</v>
      </c>
      <c r="F35" s="288">
        <f t="shared" ref="F35:G35" si="14">SUM(F33:F34)</f>
        <v>0</v>
      </c>
      <c r="G35" s="288">
        <f t="shared" si="14"/>
        <v>0</v>
      </c>
      <c r="H35" s="288">
        <f t="shared" si="13"/>
        <v>624998</v>
      </c>
      <c r="I35" s="27">
        <f t="shared" si="12"/>
        <v>4611877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37</v>
      </c>
      <c r="B38" s="21">
        <f>[3]American!$FA$57</f>
        <v>0</v>
      </c>
      <c r="C38" s="21">
        <f>[3]Delta!$FA$57</f>
        <v>0</v>
      </c>
      <c r="D38" s="21">
        <f>[3]United!$FA$57</f>
        <v>0</v>
      </c>
      <c r="E38" s="21">
        <f>[3]Spirit!$FA$57</f>
        <v>0</v>
      </c>
      <c r="F38" s="21">
        <f>[3]Condor!$FA$57</f>
        <v>0</v>
      </c>
      <c r="G38" s="21">
        <f>'[3]Air France'!$FA$57</f>
        <v>0</v>
      </c>
      <c r="H38" s="21">
        <f>'Other Major Airline Stats'!J38</f>
        <v>0</v>
      </c>
      <c r="I38" s="27">
        <f t="shared" si="12"/>
        <v>0</v>
      </c>
    </row>
    <row r="39" spans="1:9" hidden="1" x14ac:dyDescent="0.2">
      <c r="A39" s="62" t="s">
        <v>38</v>
      </c>
      <c r="B39" s="14">
        <f>[3]American!$FA$58</f>
        <v>0</v>
      </c>
      <c r="C39" s="14">
        <f>[3]Delta!$FA$58</f>
        <v>0</v>
      </c>
      <c r="D39" s="14">
        <f>[3]United!$FA$58</f>
        <v>0</v>
      </c>
      <c r="E39" s="14">
        <f>[3]Spirit!$FA$58</f>
        <v>0</v>
      </c>
      <c r="F39" s="14">
        <f>[3]Condor!$FA$58</f>
        <v>0</v>
      </c>
      <c r="G39" s="14">
        <f>'[3]Air France'!$FA$58</f>
        <v>0</v>
      </c>
      <c r="H39" s="14">
        <f>'Other Major Airline Stats'!J39</f>
        <v>0</v>
      </c>
      <c r="I39" s="33">
        <f t="shared" si="12"/>
        <v>0</v>
      </c>
    </row>
    <row r="40" spans="1:9" hidden="1" x14ac:dyDescent="0.2">
      <c r="A40" s="66" t="s">
        <v>43</v>
      </c>
      <c r="B40" s="288">
        <f t="shared" ref="B40:H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G40" si="16">SUM(F38:F39)</f>
        <v>0</v>
      </c>
      <c r="G40" s="288">
        <f t="shared" si="16"/>
        <v>0</v>
      </c>
      <c r="H40" s="288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45</v>
      </c>
      <c r="B43" s="21">
        <f t="shared" ref="B43:H44" si="17">B28+B33+B38</f>
        <v>54982</v>
      </c>
      <c r="C43" s="21">
        <f t="shared" si="17"/>
        <v>6422334</v>
      </c>
      <c r="D43" s="21">
        <f t="shared" si="17"/>
        <v>24913</v>
      </c>
      <c r="E43" s="21">
        <f>E28+E33+E38</f>
        <v>0</v>
      </c>
      <c r="F43" s="21">
        <f t="shared" ref="F43:G43" si="18">F28+F33+F38</f>
        <v>0</v>
      </c>
      <c r="G43" s="21">
        <f t="shared" si="18"/>
        <v>0</v>
      </c>
      <c r="H43" s="21">
        <f t="shared" si="17"/>
        <v>498466</v>
      </c>
      <c r="I43" s="27">
        <f>SUM(B43:H43)</f>
        <v>7000695</v>
      </c>
    </row>
    <row r="44" spans="1:9" x14ac:dyDescent="0.2">
      <c r="A44" s="62" t="s">
        <v>38</v>
      </c>
      <c r="B44" s="14">
        <f t="shared" si="17"/>
        <v>133711</v>
      </c>
      <c r="C44" s="14">
        <f t="shared" si="17"/>
        <v>2488983</v>
      </c>
      <c r="D44" s="14">
        <f t="shared" si="17"/>
        <v>168561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683962</v>
      </c>
      <c r="I44" s="27">
        <f>SUM(B44:H44)</f>
        <v>3475217</v>
      </c>
    </row>
    <row r="45" spans="1:9" ht="15.75" thickBot="1" x14ac:dyDescent="0.3">
      <c r="A45" s="63" t="s">
        <v>46</v>
      </c>
      <c r="B45" s="289">
        <f t="shared" ref="B45:H45" si="20">SUM(B43:B44)</f>
        <v>188693</v>
      </c>
      <c r="C45" s="289">
        <f t="shared" si="20"/>
        <v>8911317</v>
      </c>
      <c r="D45" s="289">
        <f t="shared" si="20"/>
        <v>193474</v>
      </c>
      <c r="E45" s="289">
        <f t="shared" si="20"/>
        <v>0</v>
      </c>
      <c r="F45" s="289">
        <f t="shared" ref="F45:G45" si="21">SUM(F43:F44)</f>
        <v>0</v>
      </c>
      <c r="G45" s="289">
        <f t="shared" si="21"/>
        <v>0</v>
      </c>
      <c r="H45" s="289">
        <f t="shared" si="20"/>
        <v>1182428</v>
      </c>
      <c r="I45" s="290">
        <f>SUM(B45:H45)</f>
        <v>10475912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1" t="s">
        <v>125</v>
      </c>
      <c r="C47" s="319">
        <f>[3]Delta!$FA$70+[3]Delta!$FA$73</f>
        <v>331788</v>
      </c>
      <c r="D47" s="306"/>
      <c r="E47" s="306"/>
      <c r="F47" s="306"/>
      <c r="G47" s="306"/>
      <c r="H47" s="306"/>
      <c r="I47" s="307">
        <f>SUM(B47:H47)</f>
        <v>331788</v>
      </c>
    </row>
    <row r="48" spans="1:9" hidden="1" x14ac:dyDescent="0.2">
      <c r="A48" s="382" t="s">
        <v>126</v>
      </c>
      <c r="C48" s="319">
        <f>[3]Delta!$FA$71+[3]Delta!$FA$74</f>
        <v>294228</v>
      </c>
      <c r="D48" s="306"/>
      <c r="E48" s="306"/>
      <c r="F48" s="306"/>
      <c r="G48" s="306"/>
      <c r="H48" s="306"/>
      <c r="I48" s="307">
        <f>SUM(B48:H48)</f>
        <v>294228</v>
      </c>
    </row>
    <row r="49" spans="1:9" hidden="1" x14ac:dyDescent="0.2">
      <c r="A49" s="383" t="s">
        <v>127</v>
      </c>
      <c r="C49" s="320">
        <f>SUM(C47:C48)</f>
        <v>626016</v>
      </c>
      <c r="I49" s="307">
        <f>SUM(B49:H49)</f>
        <v>626016</v>
      </c>
    </row>
    <row r="50" spans="1:9" x14ac:dyDescent="0.2">
      <c r="A50" s="381" t="s">
        <v>125</v>
      </c>
      <c r="B50" s="393"/>
      <c r="C50" s="322">
        <f>[3]Delta!$FA$70+[3]Delta!$FA$73</f>
        <v>331788</v>
      </c>
      <c r="D50" s="393"/>
      <c r="E50" s="322">
        <f>[3]Spirit!$FA$70+[3]Spirit!$FA$73</f>
        <v>0</v>
      </c>
      <c r="F50" s="393"/>
      <c r="G50" s="393"/>
      <c r="H50" s="321">
        <f>'Other Major Airline Stats'!J48</f>
        <v>183960</v>
      </c>
      <c r="I50" s="310">
        <f>SUM(B50:H50)</f>
        <v>515748</v>
      </c>
    </row>
    <row r="51" spans="1:9" x14ac:dyDescent="0.2">
      <c r="A51" s="395" t="s">
        <v>126</v>
      </c>
      <c r="B51" s="393"/>
      <c r="C51" s="322">
        <f>[3]Delta!$FA$71+[3]Delta!$FA$74</f>
        <v>294228</v>
      </c>
      <c r="D51" s="393"/>
      <c r="E51" s="322">
        <f>[3]Spirit!$FA$71+[3]Spirit!$FA$74</f>
        <v>0</v>
      </c>
      <c r="F51" s="393"/>
      <c r="G51" s="393"/>
      <c r="H51" s="321">
        <f>+'Other Major Airline Stats'!J49</f>
        <v>2862</v>
      </c>
      <c r="I51" s="310">
        <f>SUM(B51:H51)</f>
        <v>297090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2017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topLeftCell="A7" zoomScaleNormal="100" workbookViewId="0">
      <selection activeCell="G48" sqref="G48:H49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4">
        <v>42767</v>
      </c>
      <c r="B2" s="448" t="s">
        <v>47</v>
      </c>
      <c r="C2" s="448" t="s">
        <v>160</v>
      </c>
      <c r="D2" s="447" t="s">
        <v>209</v>
      </c>
      <c r="E2" s="447" t="s">
        <v>210</v>
      </c>
      <c r="F2" s="448" t="s">
        <v>48</v>
      </c>
      <c r="G2" s="447" t="s">
        <v>133</v>
      </c>
      <c r="H2" s="447" t="s">
        <v>49</v>
      </c>
      <c r="I2" s="447" t="s">
        <v>132</v>
      </c>
      <c r="J2" s="272" t="s">
        <v>62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[3]Frontier!$FA$22</f>
        <v>13455</v>
      </c>
      <c r="C5" s="146">
        <f>'[3]Great Lakes'!$FA$22</f>
        <v>0</v>
      </c>
      <c r="D5" s="118">
        <f>'[3]Air Choice One'!$FA$22</f>
        <v>396</v>
      </c>
      <c r="E5" s="118">
        <f>'[3]Boutique Air'!$FA$22</f>
        <v>498</v>
      </c>
      <c r="F5" s="146">
        <f>[3]Icelandair!$FA$32</f>
        <v>1601</v>
      </c>
      <c r="G5" s="118">
        <f>[3]Southwest!$FA$22</f>
        <v>71800</v>
      </c>
      <c r="H5" s="118">
        <f>'[3]Sun Country'!$FA$22+'[3]Sun Country'!$FA$32</f>
        <v>105850</v>
      </c>
      <c r="I5" s="118">
        <f>[3]Alaska!$FA$22</f>
        <v>4365</v>
      </c>
      <c r="J5" s="147">
        <f>SUM(B5:I5)</f>
        <v>197965</v>
      </c>
      <c r="M5" s="130"/>
    </row>
    <row r="6" spans="1:13" x14ac:dyDescent="0.2">
      <c r="A6" s="62" t="s">
        <v>31</v>
      </c>
      <c r="B6" s="146">
        <f>[3]Frontier!$FA$23</f>
        <v>13688</v>
      </c>
      <c r="C6" s="146">
        <f>'[3]Great Lakes'!$FA$23</f>
        <v>0</v>
      </c>
      <c r="D6" s="118">
        <f>'[3]Air Choice One'!$FA$23</f>
        <v>415</v>
      </c>
      <c r="E6" s="118">
        <f>'[3]Boutique Air'!$FA$23</f>
        <v>485</v>
      </c>
      <c r="F6" s="146">
        <f>[3]Icelandair!$FA$33</f>
        <v>1798</v>
      </c>
      <c r="G6" s="118">
        <f>[3]Southwest!$FA$23</f>
        <v>72426</v>
      </c>
      <c r="H6" s="118">
        <f>'[3]Sun Country'!$FA$23+'[3]Sun Country'!$FA$33</f>
        <v>114396</v>
      </c>
      <c r="I6" s="118">
        <f>[3]Alaska!$FA$23</f>
        <v>4155</v>
      </c>
      <c r="J6" s="147">
        <f>SUM(B6:I6)</f>
        <v>207363</v>
      </c>
    </row>
    <row r="7" spans="1:13" ht="15" x14ac:dyDescent="0.25">
      <c r="A7" s="60" t="s">
        <v>7</v>
      </c>
      <c r="B7" s="155">
        <f t="shared" ref="B7:I7" si="0">SUM(B5:B6)</f>
        <v>27143</v>
      </c>
      <c r="C7" s="155">
        <f t="shared" si="0"/>
        <v>0</v>
      </c>
      <c r="D7" s="155">
        <f t="shared" ref="D7:E7" si="1">SUM(D5:D6)</f>
        <v>811</v>
      </c>
      <c r="E7" s="155">
        <f t="shared" si="1"/>
        <v>983</v>
      </c>
      <c r="F7" s="155">
        <f t="shared" si="0"/>
        <v>3399</v>
      </c>
      <c r="G7" s="155">
        <f t="shared" si="0"/>
        <v>144226</v>
      </c>
      <c r="H7" s="155">
        <f>SUM(H5:H6)</f>
        <v>220246</v>
      </c>
      <c r="I7" s="155">
        <f t="shared" si="0"/>
        <v>8520</v>
      </c>
      <c r="J7" s="156">
        <f>SUM(B7:I7)</f>
        <v>405328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[3]Frontier!$FA$27</f>
        <v>108</v>
      </c>
      <c r="C10" s="154">
        <f>'[3]Great Lakes'!$FA$27</f>
        <v>0</v>
      </c>
      <c r="D10" s="154">
        <f>'[3]Air Choice One'!$FA$27</f>
        <v>0</v>
      </c>
      <c r="E10" s="154">
        <f>'[3]Boutique Air'!$FA$27</f>
        <v>0</v>
      </c>
      <c r="F10" s="154">
        <f>[3]Icelandair!$FA$37</f>
        <v>50</v>
      </c>
      <c r="G10" s="154">
        <f>[3]Southwest!$FA$27</f>
        <v>1242</v>
      </c>
      <c r="H10" s="154">
        <f>'[3]Sun Country'!$FA$27+'[3]Sun Country'!$FA$37</f>
        <v>1669</v>
      </c>
      <c r="I10" s="154">
        <f>[3]Alaska!$FA$27</f>
        <v>164</v>
      </c>
      <c r="J10" s="147">
        <f>SUM(B10:I10)</f>
        <v>3233</v>
      </c>
    </row>
    <row r="11" spans="1:13" x14ac:dyDescent="0.2">
      <c r="A11" s="62" t="s">
        <v>33</v>
      </c>
      <c r="B11" s="157">
        <f>[3]Frontier!$FA$28</f>
        <v>148</v>
      </c>
      <c r="C11" s="157">
        <f>'[3]Great Lakes'!$FA$28</f>
        <v>0</v>
      </c>
      <c r="D11" s="157">
        <f>'[3]Air Choice One'!$FA$28</f>
        <v>0</v>
      </c>
      <c r="E11" s="157">
        <f>'[3]Boutique Air'!$FA$28</f>
        <v>0</v>
      </c>
      <c r="F11" s="157">
        <f>[3]Icelandair!$FA$38</f>
        <v>62</v>
      </c>
      <c r="G11" s="157">
        <f>[3]Southwest!$FA$28</f>
        <v>1281</v>
      </c>
      <c r="H11" s="157">
        <f>'[3]Sun Country'!$FA$28+'[3]Sun Country'!$FA$38</f>
        <v>1776</v>
      </c>
      <c r="I11" s="157">
        <f>[3]Alaska!$FA$28</f>
        <v>235</v>
      </c>
      <c r="J11" s="147">
        <f>SUM(B11:I11)</f>
        <v>3502</v>
      </c>
    </row>
    <row r="12" spans="1:13" ht="15.75" thickBot="1" x14ac:dyDescent="0.3">
      <c r="A12" s="63" t="s">
        <v>34</v>
      </c>
      <c r="B12" s="150">
        <f t="shared" ref="B12:I12" si="2">SUM(B10:B11)</f>
        <v>256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112</v>
      </c>
      <c r="G12" s="150">
        <f t="shared" si="2"/>
        <v>2523</v>
      </c>
      <c r="H12" s="150">
        <f>SUM(H10:H11)</f>
        <v>3445</v>
      </c>
      <c r="I12" s="150">
        <f t="shared" si="2"/>
        <v>399</v>
      </c>
      <c r="J12" s="158">
        <f>SUM(B12:I12)</f>
        <v>6735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[3]Frontier!$FA$4</f>
        <v>80</v>
      </c>
      <c r="C16" s="146">
        <f>'[3]Great Lakes'!$FA$4</f>
        <v>0</v>
      </c>
      <c r="D16" s="106">
        <f>'[3]Air Choice One'!$FA$4</f>
        <v>116</v>
      </c>
      <c r="E16" s="106">
        <f>'[3]Boutique Air'!$FA$4</f>
        <v>72</v>
      </c>
      <c r="F16" s="146">
        <f>[3]Icelandair!$FA$15</f>
        <v>14</v>
      </c>
      <c r="G16" s="106">
        <f>[3]Southwest!$FA$4</f>
        <v>658</v>
      </c>
      <c r="H16" s="118">
        <f>'[3]Sun Country'!$FA$4+'[3]Sun Country'!$FA$15</f>
        <v>907</v>
      </c>
      <c r="I16" s="118">
        <f>[3]Alaska!$FA$4</f>
        <v>31</v>
      </c>
      <c r="J16" s="147">
        <f>SUM(B16:I16)</f>
        <v>1878</v>
      </c>
    </row>
    <row r="17" spans="1:257" x14ac:dyDescent="0.2">
      <c r="A17" s="62" t="s">
        <v>23</v>
      </c>
      <c r="B17" s="146">
        <f>[3]Frontier!$FA$5</f>
        <v>80</v>
      </c>
      <c r="C17" s="146">
        <f>'[3]Great Lakes'!$FA$5</f>
        <v>0</v>
      </c>
      <c r="D17" s="106">
        <f>'[3]Air Choice One'!$FA$5</f>
        <v>116</v>
      </c>
      <c r="E17" s="106">
        <f>'[3]Boutique Air'!$FA$5</f>
        <v>72</v>
      </c>
      <c r="F17" s="146">
        <f>[3]Icelandair!$FA$16</f>
        <v>14</v>
      </c>
      <c r="G17" s="106">
        <f>[3]Southwest!$FA$5</f>
        <v>657</v>
      </c>
      <c r="H17" s="118">
        <f>'[3]Sun Country'!$FA$5+'[3]Sun Country'!$FA$16</f>
        <v>912</v>
      </c>
      <c r="I17" s="118">
        <f>[3]Alaska!$FA$5</f>
        <v>31</v>
      </c>
      <c r="J17" s="147">
        <f>SUM(B17:I17)</f>
        <v>1882</v>
      </c>
    </row>
    <row r="18" spans="1:257" x14ac:dyDescent="0.2">
      <c r="A18" s="66" t="s">
        <v>24</v>
      </c>
      <c r="B18" s="148">
        <f t="shared" ref="B18:I18" si="4">SUM(B16:B17)</f>
        <v>160</v>
      </c>
      <c r="C18" s="148">
        <f t="shared" si="4"/>
        <v>0</v>
      </c>
      <c r="D18" s="148">
        <f t="shared" ref="D18:E18" si="5">SUM(D16:D17)</f>
        <v>232</v>
      </c>
      <c r="E18" s="148">
        <f t="shared" si="5"/>
        <v>144</v>
      </c>
      <c r="F18" s="148">
        <f t="shared" si="4"/>
        <v>28</v>
      </c>
      <c r="G18" s="148">
        <f t="shared" si="4"/>
        <v>1315</v>
      </c>
      <c r="H18" s="148">
        <f t="shared" si="4"/>
        <v>1819</v>
      </c>
      <c r="I18" s="148">
        <f t="shared" si="4"/>
        <v>62</v>
      </c>
      <c r="J18" s="149">
        <f>SUM(B18:I18)</f>
        <v>3760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[3]Frontier!$FA$8</f>
        <v>0</v>
      </c>
      <c r="C20" s="146">
        <f>'[3]Great Lakes'!$FA$8</f>
        <v>0</v>
      </c>
      <c r="D20" s="118">
        <f>'[3]Air Choice One'!$FA$8</f>
        <v>0</v>
      </c>
      <c r="E20" s="118">
        <f>'[3]Boutique Air'!$FA$8</f>
        <v>1</v>
      </c>
      <c r="F20" s="146">
        <f>[3]Icelandair!$FA$8</f>
        <v>0</v>
      </c>
      <c r="G20" s="118">
        <f>[3]Southwest!$FA$8</f>
        <v>0</v>
      </c>
      <c r="H20" s="118">
        <f>'[3]Sun Country'!$FA$8</f>
        <v>48</v>
      </c>
      <c r="I20" s="118">
        <f>[3]Alaska!$FA$8</f>
        <v>0</v>
      </c>
      <c r="J20" s="147">
        <f>SUM(B20:I20)</f>
        <v>49</v>
      </c>
    </row>
    <row r="21" spans="1:257" x14ac:dyDescent="0.2">
      <c r="A21" s="62" t="s">
        <v>26</v>
      </c>
      <c r="B21" s="146">
        <f>[3]Frontier!$FA$9</f>
        <v>0</v>
      </c>
      <c r="C21" s="146">
        <f>'[3]Great Lakes'!$FA$9</f>
        <v>0</v>
      </c>
      <c r="D21" s="118">
        <f>'[3]Air Choice One'!$FA$9</f>
        <v>0</v>
      </c>
      <c r="E21" s="118">
        <f>'[3]Boutique Air'!$FA$9</f>
        <v>0</v>
      </c>
      <c r="F21" s="146">
        <f>[3]Icelandair!$FA$9</f>
        <v>0</v>
      </c>
      <c r="G21" s="118">
        <f>[3]Southwest!$FA$9</f>
        <v>0</v>
      </c>
      <c r="H21" s="118">
        <f>'[3]Sun Country'!$FA$9</f>
        <v>42</v>
      </c>
      <c r="I21" s="118">
        <f>[3]Alaska!$FA$9</f>
        <v>0</v>
      </c>
      <c r="J21" s="147">
        <f>SUM(B21:I21)</f>
        <v>42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1</v>
      </c>
      <c r="F22" s="148">
        <f t="shared" si="6"/>
        <v>0</v>
      </c>
      <c r="G22" s="148">
        <f t="shared" si="6"/>
        <v>0</v>
      </c>
      <c r="H22" s="148">
        <f t="shared" si="6"/>
        <v>90</v>
      </c>
      <c r="I22" s="148">
        <f t="shared" si="6"/>
        <v>0</v>
      </c>
      <c r="J22" s="149">
        <f>SUM(B22:I22)</f>
        <v>91</v>
      </c>
    </row>
    <row r="23" spans="1:257" ht="15.75" thickBot="1" x14ac:dyDescent="0.3">
      <c r="A23" s="63" t="s">
        <v>28</v>
      </c>
      <c r="B23" s="150">
        <f t="shared" ref="B23:I23" si="8">B22+B18</f>
        <v>160</v>
      </c>
      <c r="C23" s="150">
        <f t="shared" si="8"/>
        <v>0</v>
      </c>
      <c r="D23" s="150">
        <f t="shared" ref="D23:E23" si="9">D22+D18</f>
        <v>232</v>
      </c>
      <c r="E23" s="150">
        <f t="shared" si="9"/>
        <v>145</v>
      </c>
      <c r="F23" s="150">
        <f t="shared" si="8"/>
        <v>28</v>
      </c>
      <c r="G23" s="150">
        <f t="shared" si="8"/>
        <v>1315</v>
      </c>
      <c r="H23" s="150">
        <f t="shared" si="8"/>
        <v>1909</v>
      </c>
      <c r="I23" s="150">
        <f t="shared" si="8"/>
        <v>62</v>
      </c>
      <c r="J23" s="151">
        <f>SUM(B23:I23)</f>
        <v>3851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9"/>
      <c r="C25" s="419"/>
      <c r="D25" s="419"/>
      <c r="E25" s="419"/>
      <c r="F25" s="419"/>
      <c r="G25" s="419"/>
      <c r="H25" s="419"/>
      <c r="I25" s="419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[3]Frontier!$FA$47</f>
        <v>0</v>
      </c>
      <c r="C28" s="146">
        <f>'[3]Great Lakes'!$FA$47</f>
        <v>0</v>
      </c>
      <c r="D28" s="118">
        <f>'[3]Air Choice One'!$FA$47</f>
        <v>0</v>
      </c>
      <c r="E28" s="118">
        <f>'[3]Boutique Air'!$FA$47</f>
        <v>0</v>
      </c>
      <c r="F28" s="146">
        <f>[3]Icelandair!$FA$47</f>
        <v>9427</v>
      </c>
      <c r="G28" s="118">
        <f>[3]Southwest!$FA$47</f>
        <v>164035</v>
      </c>
      <c r="H28" s="118">
        <f>'[3]Sun Country'!$FA$47</f>
        <v>127444</v>
      </c>
      <c r="I28" s="118">
        <f>[3]Alaska!$FA$47</f>
        <v>7414</v>
      </c>
      <c r="J28" s="147">
        <f>SUM(B28:I28)</f>
        <v>308320</v>
      </c>
    </row>
    <row r="29" spans="1:257" x14ac:dyDescent="0.2">
      <c r="A29" s="62" t="s">
        <v>38</v>
      </c>
      <c r="B29" s="146">
        <f>[3]Frontier!$FA$48</f>
        <v>0</v>
      </c>
      <c r="C29" s="146">
        <f>'[3]Great Lakes'!$FA$48</f>
        <v>0</v>
      </c>
      <c r="D29" s="118">
        <f>'[3]Air Choice One'!$FA$48</f>
        <v>0</v>
      </c>
      <c r="E29" s="118">
        <f>'[3]Boutique Air'!$FA$48</f>
        <v>0</v>
      </c>
      <c r="F29" s="146">
        <f>[3]Icelandair!$FA$48</f>
        <v>0</v>
      </c>
      <c r="G29" s="118">
        <f>[3]Southwest!$FA$48</f>
        <v>0</v>
      </c>
      <c r="H29" s="118">
        <f>'[3]Sun Country'!$FA$48</f>
        <v>224705</v>
      </c>
      <c r="I29" s="118">
        <f>[3]Alaska!$FA$48</f>
        <v>24405</v>
      </c>
      <c r="J29" s="147">
        <f>SUM(B29:I29)</f>
        <v>249110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9427</v>
      </c>
      <c r="G30" s="162">
        <f t="shared" si="10"/>
        <v>164035</v>
      </c>
      <c r="H30" s="162">
        <f t="shared" si="10"/>
        <v>352149</v>
      </c>
      <c r="I30" s="162">
        <f t="shared" si="10"/>
        <v>31819</v>
      </c>
      <c r="J30" s="165">
        <f>SUM(B30:I30)</f>
        <v>557430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[3]Frontier!$FA$52</f>
        <v>0</v>
      </c>
      <c r="C33" s="146">
        <f>'[3]Great Lakes'!$FA$52</f>
        <v>0</v>
      </c>
      <c r="D33" s="118">
        <f>'[3]Air Choice One'!$FA$52</f>
        <v>0</v>
      </c>
      <c r="E33" s="118">
        <f>'[3]Boutique Air'!$FA$52</f>
        <v>0</v>
      </c>
      <c r="F33" s="146">
        <f>[3]Icelandair!$FA$52</f>
        <v>0</v>
      </c>
      <c r="G33" s="118">
        <f>[3]Southwest!$FA$52</f>
        <v>111931</v>
      </c>
      <c r="H33" s="118">
        <f>'[3]Sun Country'!$FA$52</f>
        <v>71684</v>
      </c>
      <c r="I33" s="118">
        <f>[3]Alaska!$FA$52</f>
        <v>6531</v>
      </c>
      <c r="J33" s="147">
        <f>SUM(B33:I33)</f>
        <v>190146</v>
      </c>
    </row>
    <row r="34" spans="1:10" x14ac:dyDescent="0.2">
      <c r="A34" s="62" t="s">
        <v>38</v>
      </c>
      <c r="B34" s="146">
        <f>[3]Frontier!$FA$53</f>
        <v>0</v>
      </c>
      <c r="C34" s="146">
        <f>'[3]Great Lakes'!$FA$53</f>
        <v>0</v>
      </c>
      <c r="D34" s="118">
        <f>'[3]Air Choice One'!$FA$53</f>
        <v>0</v>
      </c>
      <c r="E34" s="118">
        <f>'[3]Boutique Air'!$FA$53</f>
        <v>0</v>
      </c>
      <c r="F34" s="146">
        <f>[3]Icelandair!$FA$53</f>
        <v>0</v>
      </c>
      <c r="G34" s="118">
        <f>[3]Southwest!$FA$53</f>
        <v>0</v>
      </c>
      <c r="H34" s="118">
        <f>'[3]Sun Country'!$FA$53</f>
        <v>428034</v>
      </c>
      <c r="I34" s="118">
        <f>[3]Alaska!$FA$53</f>
        <v>6818</v>
      </c>
      <c r="J34" s="163">
        <f>SUM(B34:I34)</f>
        <v>434852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0</v>
      </c>
      <c r="G35" s="164">
        <f t="shared" si="12"/>
        <v>111931</v>
      </c>
      <c r="H35" s="164">
        <f t="shared" si="12"/>
        <v>499718</v>
      </c>
      <c r="I35" s="164">
        <f t="shared" si="12"/>
        <v>13349</v>
      </c>
      <c r="J35" s="165">
        <f>SUM(B35:I35)</f>
        <v>624998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[3]Frontier!$FA$57</f>
        <v>0</v>
      </c>
      <c r="C38" s="154">
        <f>'[3]Great Lakes'!$FA$57</f>
        <v>0</v>
      </c>
      <c r="D38" s="154">
        <f>'[3]Air Choice One'!$FA$57</f>
        <v>0</v>
      </c>
      <c r="E38" s="154">
        <f>'[3]Boutique Air'!$FA$57</f>
        <v>0</v>
      </c>
      <c r="F38" s="154">
        <f>[3]Icelandair!$FA$57</f>
        <v>0</v>
      </c>
      <c r="G38" s="154">
        <f>[3]Southwest!$FA$57</f>
        <v>0</v>
      </c>
      <c r="H38" s="154">
        <f>'[3]Sun Country'!$FA$57</f>
        <v>0</v>
      </c>
      <c r="I38" s="154">
        <f>[3]Alaska!$FA$57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[3]Frontier!$FA$58</f>
        <v>0</v>
      </c>
      <c r="C39" s="157">
        <f>'[3]Great Lakes'!$FA$58</f>
        <v>0</v>
      </c>
      <c r="D39" s="157">
        <f>'[3]Air Choice One'!$FA$58</f>
        <v>0</v>
      </c>
      <c r="E39" s="157">
        <f>'[3]Boutique Air'!$FA$58</f>
        <v>0</v>
      </c>
      <c r="F39" s="157">
        <f>[3]Icelandair!$FA$58</f>
        <v>0</v>
      </c>
      <c r="G39" s="157">
        <f>[3]Southwest!$FA$58</f>
        <v>0</v>
      </c>
      <c r="H39" s="157">
        <f>'[3]Sun Country'!$FA$58</f>
        <v>0</v>
      </c>
      <c r="I39" s="157">
        <f>[3]Alaska!$FA$58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9427</v>
      </c>
      <c r="G43" s="154">
        <f t="shared" si="16"/>
        <v>275966</v>
      </c>
      <c r="H43" s="154">
        <f t="shared" si="16"/>
        <v>199128</v>
      </c>
      <c r="I43" s="154">
        <f t="shared" si="16"/>
        <v>13945</v>
      </c>
      <c r="J43" s="147">
        <f>SUM(B43:I43)</f>
        <v>498466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652739</v>
      </c>
      <c r="I44" s="157">
        <f t="shared" si="18"/>
        <v>31223</v>
      </c>
      <c r="J44" s="147">
        <f>SUM(B44:I44)</f>
        <v>683962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9427</v>
      </c>
      <c r="G45" s="167">
        <f t="shared" si="20"/>
        <v>275966</v>
      </c>
      <c r="H45" s="167">
        <f t="shared" si="20"/>
        <v>851867</v>
      </c>
      <c r="I45" s="167">
        <f t="shared" si="20"/>
        <v>45168</v>
      </c>
      <c r="J45" s="168">
        <f>SUM(B45:I45)</f>
        <v>1182428</v>
      </c>
    </row>
    <row r="48" spans="1:10" x14ac:dyDescent="0.2">
      <c r="A48" s="381" t="s">
        <v>125</v>
      </c>
      <c r="B48" s="393"/>
      <c r="C48" s="393"/>
      <c r="D48" s="393"/>
      <c r="E48" s="393"/>
      <c r="G48" s="322">
        <f>[3]Southwest!$FA$70+[3]Southwest!$FA$73</f>
        <v>71952</v>
      </c>
      <c r="H48" s="322">
        <f>'[3]Sun Country'!$FA$70+'[3]Sun Country'!$FA$73</f>
        <v>112008</v>
      </c>
      <c r="I48" s="393"/>
      <c r="J48" s="310">
        <f>SUM(B48:I48)</f>
        <v>183960</v>
      </c>
    </row>
    <row r="49" spans="1:10" x14ac:dyDescent="0.2">
      <c r="A49" s="395" t="s">
        <v>126</v>
      </c>
      <c r="B49" s="393"/>
      <c r="C49" s="393"/>
      <c r="D49" s="393"/>
      <c r="E49" s="393"/>
      <c r="G49" s="322">
        <f>[3]Southwest!$FA$71+[3]Southwest!$FA$74</f>
        <v>474</v>
      </c>
      <c r="H49" s="322">
        <f>'[3]Sun Country'!$FA$71+'[3]Sun Country'!$FA$74</f>
        <v>2388</v>
      </c>
      <c r="I49" s="393"/>
      <c r="J49" s="310">
        <f>SUM(B49:I49)</f>
        <v>2862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February 2017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G11" sqref="G11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91"/>
    </row>
    <row r="2" spans="1:13" s="7" customFormat="1" ht="51.75" thickBot="1" x14ac:dyDescent="0.25">
      <c r="A2" s="384">
        <v>42767</v>
      </c>
      <c r="B2" s="446" t="s">
        <v>164</v>
      </c>
      <c r="C2" s="446" t="s">
        <v>167</v>
      </c>
      <c r="D2" s="446" t="s">
        <v>187</v>
      </c>
      <c r="E2" s="446" t="s">
        <v>186</v>
      </c>
      <c r="F2" s="446" t="s">
        <v>188</v>
      </c>
      <c r="G2" s="446" t="s">
        <v>226</v>
      </c>
      <c r="H2" s="446" t="s">
        <v>192</v>
      </c>
      <c r="I2" s="446" t="s">
        <v>211</v>
      </c>
      <c r="J2" s="446" t="s">
        <v>212</v>
      </c>
      <c r="K2" s="446" t="s">
        <v>191</v>
      </c>
      <c r="L2" s="19" t="s">
        <v>119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[3]Pinnacle!$FA$22+[3]Pinnacle!$FA$32</f>
        <v>72545</v>
      </c>
      <c r="C5" s="132">
        <f>[3]MESA_UA!$FA$22</f>
        <v>7599</v>
      </c>
      <c r="D5" s="130">
        <f>'[3]Sky West'!$FA$22+'[3]Sky West'!$FA$32</f>
        <v>99725</v>
      </c>
      <c r="E5" s="130">
        <f>'[3]Sky West_UA'!$FA$22</f>
        <v>8263</v>
      </c>
      <c r="F5" s="130">
        <f>'[3]Sky West_AS'!$FA$22</f>
        <v>1679</v>
      </c>
      <c r="G5" s="130">
        <f>'[3]Sky West_AA'!$FA$22</f>
        <v>129</v>
      </c>
      <c r="H5" s="130">
        <f>[3]Republic!$FA$22</f>
        <v>5368</v>
      </c>
      <c r="I5" s="130">
        <f>[3]Republic_UA!$FA$22</f>
        <v>5027</v>
      </c>
      <c r="J5" s="130">
        <f>'[3]Air Georgian'!$FA$32</f>
        <v>2938</v>
      </c>
      <c r="K5" s="130">
        <f>'[3]American Eagle'!$FA$22</f>
        <v>464</v>
      </c>
      <c r="L5" s="130">
        <f>'Other Regional'!L5</f>
        <v>68431</v>
      </c>
      <c r="M5" s="110">
        <f>SUM(B5:L5)</f>
        <v>272168</v>
      </c>
    </row>
    <row r="6" spans="1:13" s="10" customFormat="1" x14ac:dyDescent="0.2">
      <c r="A6" s="62" t="s">
        <v>31</v>
      </c>
      <c r="B6" s="131">
        <f>[3]Pinnacle!$FA$23+[3]Pinnacle!$FA$33</f>
        <v>71028</v>
      </c>
      <c r="C6" s="132">
        <f>[3]MESA_UA!$FA$23</f>
        <v>8080</v>
      </c>
      <c r="D6" s="130">
        <f>'[3]Sky West'!$FA$23+'[3]Sky West'!$FA$33</f>
        <v>98667</v>
      </c>
      <c r="E6" s="130">
        <f>'[3]Sky West_UA'!$FA$23</f>
        <v>8333</v>
      </c>
      <c r="F6" s="130">
        <f>'[3]Sky West_AS'!$FA$23</f>
        <v>1728</v>
      </c>
      <c r="G6" s="130">
        <f>'[3]Sky West_AA'!$FA$23</f>
        <v>103</v>
      </c>
      <c r="H6" s="130">
        <f>[3]Republic!$FA$23</f>
        <v>5045</v>
      </c>
      <c r="I6" s="130">
        <f>[3]Republic_UA!$FA$23</f>
        <v>5472</v>
      </c>
      <c r="J6" s="130">
        <f>'[3]Air Georgian'!$FA$33</f>
        <v>2824</v>
      </c>
      <c r="K6" s="130">
        <f>'[3]American Eagle'!$FA$23</f>
        <v>433</v>
      </c>
      <c r="L6" s="130">
        <f>'Other Regional'!L6</f>
        <v>70578</v>
      </c>
      <c r="M6" s="115">
        <f>SUM(B6:L6)</f>
        <v>272291</v>
      </c>
    </row>
    <row r="7" spans="1:13" ht="15" thickBot="1" x14ac:dyDescent="0.25">
      <c r="A7" s="73" t="s">
        <v>7</v>
      </c>
      <c r="B7" s="133">
        <f>SUM(B5:B6)</f>
        <v>143573</v>
      </c>
      <c r="C7" s="133">
        <f t="shared" ref="C7:L7" si="0">SUM(C5:C6)</f>
        <v>15679</v>
      </c>
      <c r="D7" s="133">
        <f t="shared" si="0"/>
        <v>198392</v>
      </c>
      <c r="E7" s="133">
        <f t="shared" si="0"/>
        <v>16596</v>
      </c>
      <c r="F7" s="133">
        <f t="shared" ref="F7:G7" si="1">SUM(F5:F6)</f>
        <v>3407</v>
      </c>
      <c r="G7" s="133">
        <f t="shared" si="1"/>
        <v>232</v>
      </c>
      <c r="H7" s="133">
        <f t="shared" si="0"/>
        <v>10413</v>
      </c>
      <c r="I7" s="133">
        <f t="shared" si="0"/>
        <v>10499</v>
      </c>
      <c r="J7" s="133">
        <f t="shared" si="0"/>
        <v>5762</v>
      </c>
      <c r="K7" s="133">
        <f t="shared" si="0"/>
        <v>897</v>
      </c>
      <c r="L7" s="133">
        <f t="shared" si="0"/>
        <v>139009</v>
      </c>
      <c r="M7" s="134">
        <f>SUM(B7:L7)</f>
        <v>544459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[3]Pinnacle!$FA$27+[3]Pinnacle!$FA$37</f>
        <v>2785</v>
      </c>
      <c r="C10" s="132">
        <f>[3]MESA_UA!$FA$27</f>
        <v>270</v>
      </c>
      <c r="D10" s="130">
        <f>'[3]Sky West'!$FA$27+'[3]Sky West'!$FA$37</f>
        <v>4033</v>
      </c>
      <c r="E10" s="130">
        <f>'[3]Sky West_UA'!$FA$27</f>
        <v>137</v>
      </c>
      <c r="F10" s="130">
        <f>'[3]Sky West_AS'!$FA$27</f>
        <v>113</v>
      </c>
      <c r="G10" s="130">
        <f>'[3]Sky West_AA'!$FA$27</f>
        <v>11</v>
      </c>
      <c r="H10" s="130">
        <f>[3]Republic!$FA$27</f>
        <v>216</v>
      </c>
      <c r="I10" s="130">
        <f>[3]Republic_UA!$FA$27</f>
        <v>230</v>
      </c>
      <c r="J10" s="130">
        <f>'[3]Air Georgian'!$FA$37</f>
        <v>0</v>
      </c>
      <c r="K10" s="130">
        <f>'[3]American Eagle'!$FA$27</f>
        <v>35</v>
      </c>
      <c r="L10" s="130">
        <f>'Other Regional'!L10</f>
        <v>2853</v>
      </c>
      <c r="M10" s="110">
        <f>SUM(B10:L10)</f>
        <v>10683</v>
      </c>
    </row>
    <row r="11" spans="1:13" x14ac:dyDescent="0.2">
      <c r="A11" s="62" t="s">
        <v>33</v>
      </c>
      <c r="B11" s="131">
        <f>[3]Pinnacle!$FA$28+[3]Pinnacle!$FA$38</f>
        <v>2790</v>
      </c>
      <c r="C11" s="132">
        <f>[3]MESA_UA!$FA$28</f>
        <v>270</v>
      </c>
      <c r="D11" s="130">
        <f>'[3]Sky West'!$FA$28+'[3]Sky West'!$FA$38</f>
        <v>4087</v>
      </c>
      <c r="E11" s="130">
        <f>'[3]Sky West_UA'!$FA$28</f>
        <v>170</v>
      </c>
      <c r="F11" s="130">
        <f>'[3]Sky West_AS'!$FA$28</f>
        <v>108</v>
      </c>
      <c r="G11" s="130">
        <f>'[3]Sky West_AA'!$FA$28</f>
        <v>13</v>
      </c>
      <c r="H11" s="130">
        <f>[3]Republic!$FA$28</f>
        <v>219</v>
      </c>
      <c r="I11" s="130">
        <f>[3]Republic_UA!$FA$28</f>
        <v>194</v>
      </c>
      <c r="J11" s="130">
        <f>'[3]Air Georgian'!$FA$38</f>
        <v>0</v>
      </c>
      <c r="K11" s="130">
        <f>'[3]American Eagle'!$FA$28</f>
        <v>31</v>
      </c>
      <c r="L11" s="130">
        <f>'Other Regional'!L11</f>
        <v>2616</v>
      </c>
      <c r="M11" s="115">
        <f>SUM(B11:L11)</f>
        <v>10498</v>
      </c>
    </row>
    <row r="12" spans="1:13" ht="15" thickBot="1" x14ac:dyDescent="0.25">
      <c r="A12" s="74" t="s">
        <v>34</v>
      </c>
      <c r="B12" s="136">
        <f t="shared" ref="B12:L12" si="2">SUM(B10:B11)</f>
        <v>5575</v>
      </c>
      <c r="C12" s="136">
        <f t="shared" si="2"/>
        <v>540</v>
      </c>
      <c r="D12" s="136">
        <f t="shared" si="2"/>
        <v>8120</v>
      </c>
      <c r="E12" s="136">
        <f t="shared" si="2"/>
        <v>307</v>
      </c>
      <c r="F12" s="136">
        <f t="shared" ref="F12:G12" si="3">SUM(F10:F11)</f>
        <v>221</v>
      </c>
      <c r="G12" s="136">
        <f t="shared" si="3"/>
        <v>24</v>
      </c>
      <c r="H12" s="136">
        <f t="shared" si="2"/>
        <v>435</v>
      </c>
      <c r="I12" s="136">
        <f t="shared" si="2"/>
        <v>424</v>
      </c>
      <c r="J12" s="136">
        <f t="shared" si="2"/>
        <v>0</v>
      </c>
      <c r="K12" s="136">
        <f t="shared" si="2"/>
        <v>66</v>
      </c>
      <c r="L12" s="136">
        <f t="shared" si="2"/>
        <v>5469</v>
      </c>
      <c r="M12" s="137">
        <f>SUM(B12:L12)</f>
        <v>21181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54</v>
      </c>
      <c r="B15" s="21">
        <f>[3]Pinnacle!$FA$4+[3]Pinnacle!$FA$15</f>
        <v>1475</v>
      </c>
      <c r="C15" s="108">
        <f>[3]MESA_UA!$FA$4</f>
        <v>137</v>
      </c>
      <c r="D15" s="106">
        <f>'[3]Sky West'!$FA$4+'[3]Sky West'!$FA$15</f>
        <v>2240</v>
      </c>
      <c r="E15" s="106">
        <f>'[3]Sky West_UA'!$FA$4</f>
        <v>126</v>
      </c>
      <c r="F15" s="106">
        <f>'[3]Sky West_AS'!$FA$4</f>
        <v>28</v>
      </c>
      <c r="G15" s="106">
        <f>'[3]Sky West_AA'!$FA$4</f>
        <v>2</v>
      </c>
      <c r="H15" s="109">
        <f>[3]Republic!$FA$4</f>
        <v>121</v>
      </c>
      <c r="I15" s="472">
        <f>[3]Republic_UA!$FA$4</f>
        <v>99</v>
      </c>
      <c r="J15" s="472">
        <f>'[3]Air Georgian'!$FA$15</f>
        <v>78</v>
      </c>
      <c r="K15" s="109">
        <f>'[3]American Eagle'!$FA$4</f>
        <v>9</v>
      </c>
      <c r="L15" s="107">
        <f>'Other Regional'!L15</f>
        <v>1293</v>
      </c>
      <c r="M15" s="110">
        <f t="shared" ref="M15:M21" si="5">SUM(B15:L15)</f>
        <v>5608</v>
      </c>
    </row>
    <row r="16" spans="1:13" x14ac:dyDescent="0.2">
      <c r="A16" s="62" t="s">
        <v>55</v>
      </c>
      <c r="B16" s="14">
        <f>[3]Pinnacle!$FA$5+[3]Pinnacle!$FA$16</f>
        <v>1476</v>
      </c>
      <c r="C16" s="113">
        <f>[3]MESA_UA!$FA$5</f>
        <v>137</v>
      </c>
      <c r="D16" s="111">
        <f>'[3]Sky West'!$FA$5+'[3]Sky West'!$FA$16</f>
        <v>2237</v>
      </c>
      <c r="E16" s="111">
        <f>'[3]Sky West_UA'!$FA$5</f>
        <v>126</v>
      </c>
      <c r="F16" s="111">
        <f>'[3]Sky West_AS'!$FA$5</f>
        <v>28</v>
      </c>
      <c r="G16" s="111">
        <f>'[3]Sky West_AA'!$FA$5</f>
        <v>2</v>
      </c>
      <c r="H16" s="114">
        <f>[3]Republic!$FA$5</f>
        <v>121</v>
      </c>
      <c r="I16" s="297">
        <f>[3]Republic_UA!$FA$5</f>
        <v>99</v>
      </c>
      <c r="J16" s="297">
        <f>'[3]Air Georgian'!$FA$16</f>
        <v>78</v>
      </c>
      <c r="K16" s="114">
        <f>'[3]American Eagle'!$FA$5</f>
        <v>8</v>
      </c>
      <c r="L16" s="112">
        <f>'Other Regional'!L16</f>
        <v>1288</v>
      </c>
      <c r="M16" s="115">
        <f t="shared" si="5"/>
        <v>5600</v>
      </c>
    </row>
    <row r="17" spans="1:13" x14ac:dyDescent="0.2">
      <c r="A17" s="71" t="s">
        <v>56</v>
      </c>
      <c r="B17" s="116">
        <f t="shared" ref="B17:K17" si="6">SUM(B15:B16)</f>
        <v>2951</v>
      </c>
      <c r="C17" s="116">
        <f t="shared" si="6"/>
        <v>274</v>
      </c>
      <c r="D17" s="116">
        <f t="shared" si="6"/>
        <v>4477</v>
      </c>
      <c r="E17" s="116">
        <f t="shared" si="6"/>
        <v>252</v>
      </c>
      <c r="F17" s="116">
        <f t="shared" ref="F17:G17" si="7">SUM(F15:F16)</f>
        <v>56</v>
      </c>
      <c r="G17" s="116">
        <f t="shared" si="7"/>
        <v>4</v>
      </c>
      <c r="H17" s="116">
        <f t="shared" si="6"/>
        <v>242</v>
      </c>
      <c r="I17" s="116">
        <f t="shared" ref="I17:J17" si="8">SUM(I15:I16)</f>
        <v>198</v>
      </c>
      <c r="J17" s="116">
        <f t="shared" si="8"/>
        <v>156</v>
      </c>
      <c r="K17" s="116">
        <f t="shared" si="6"/>
        <v>17</v>
      </c>
      <c r="L17" s="116">
        <f>SUM(L15:L16)</f>
        <v>2581</v>
      </c>
      <c r="M17" s="117">
        <f t="shared" si="5"/>
        <v>11208</v>
      </c>
    </row>
    <row r="18" spans="1:13" x14ac:dyDescent="0.2">
      <c r="A18" s="62" t="s">
        <v>57</v>
      </c>
      <c r="B18" s="118">
        <f>[3]Pinnacle!$FA$8</f>
        <v>1</v>
      </c>
      <c r="C18" s="119">
        <f>[3]MESA_UA!$FA$8</f>
        <v>0</v>
      </c>
      <c r="D18" s="118">
        <f>'[3]Sky West'!$FA$8</f>
        <v>0</v>
      </c>
      <c r="E18" s="118">
        <f>'[3]Sky West_UA'!$FA$8</f>
        <v>0</v>
      </c>
      <c r="F18" s="118">
        <f>'[3]Sky West_AS'!$FA$8</f>
        <v>0</v>
      </c>
      <c r="G18" s="118">
        <f>'[3]Sky West_AA'!$FA$8</f>
        <v>0</v>
      </c>
      <c r="H18" s="118">
        <f>[3]Republic!$FA$8</f>
        <v>0</v>
      </c>
      <c r="I18" s="118">
        <f>[3]Republic_UA!$FA$8</f>
        <v>0</v>
      </c>
      <c r="J18" s="118">
        <f>'[3]Air Georgian'!$FA$8</f>
        <v>0</v>
      </c>
      <c r="K18" s="118">
        <f>'[3]American Eagle'!$FA$8</f>
        <v>0</v>
      </c>
      <c r="L18" s="118">
        <f>'Other Regional'!L18</f>
        <v>0</v>
      </c>
      <c r="M18" s="110">
        <f t="shared" si="5"/>
        <v>1</v>
      </c>
    </row>
    <row r="19" spans="1:13" x14ac:dyDescent="0.2">
      <c r="A19" s="62" t="s">
        <v>58</v>
      </c>
      <c r="B19" s="120">
        <f>[3]Pinnacle!$FA$9</f>
        <v>3</v>
      </c>
      <c r="C19" s="121">
        <f>[3]MESA_UA!$FA$9</f>
        <v>0</v>
      </c>
      <c r="D19" s="120">
        <f>'[3]Sky West'!$FA$9</f>
        <v>4</v>
      </c>
      <c r="E19" s="120">
        <f>'[3]Sky West_UA'!$FA$9</f>
        <v>0</v>
      </c>
      <c r="F19" s="120">
        <f>'[3]Sky West_AS'!$FA$9</f>
        <v>0</v>
      </c>
      <c r="G19" s="120">
        <f>'[3]Sky West_AA'!$FA$9</f>
        <v>0</v>
      </c>
      <c r="H19" s="120">
        <f>[3]Republic!$FA$9</f>
        <v>0</v>
      </c>
      <c r="I19" s="120">
        <f>[3]Republic_UA!$FA$9</f>
        <v>0</v>
      </c>
      <c r="J19" s="120">
        <f>'[3]Air Georgian'!$FA$9</f>
        <v>0</v>
      </c>
      <c r="K19" s="120">
        <f>'[3]American Eagle'!$FA$9</f>
        <v>0</v>
      </c>
      <c r="L19" s="120">
        <f>'Other Regional'!L19</f>
        <v>2</v>
      </c>
      <c r="M19" s="115">
        <f t="shared" si="5"/>
        <v>9</v>
      </c>
    </row>
    <row r="20" spans="1:13" x14ac:dyDescent="0.2">
      <c r="A20" s="71" t="s">
        <v>59</v>
      </c>
      <c r="B20" s="116">
        <f t="shared" ref="B20:L20" si="9">SUM(B18:B19)</f>
        <v>4</v>
      </c>
      <c r="C20" s="116">
        <f t="shared" si="9"/>
        <v>0</v>
      </c>
      <c r="D20" s="116">
        <f t="shared" si="9"/>
        <v>4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2</v>
      </c>
      <c r="M20" s="117">
        <f t="shared" si="5"/>
        <v>10</v>
      </c>
    </row>
    <row r="21" spans="1:13" ht="15.75" thickBot="1" x14ac:dyDescent="0.3">
      <c r="A21" s="72" t="s">
        <v>28</v>
      </c>
      <c r="B21" s="122">
        <f t="shared" ref="B21:K21" si="11">SUM(B20,B17)</f>
        <v>2955</v>
      </c>
      <c r="C21" s="122">
        <f t="shared" si="11"/>
        <v>274</v>
      </c>
      <c r="D21" s="122">
        <f t="shared" si="11"/>
        <v>4481</v>
      </c>
      <c r="E21" s="122">
        <f t="shared" si="11"/>
        <v>252</v>
      </c>
      <c r="F21" s="122">
        <f t="shared" ref="F21:G21" si="12">SUM(F20,F17)</f>
        <v>56</v>
      </c>
      <c r="G21" s="122">
        <f t="shared" si="12"/>
        <v>4</v>
      </c>
      <c r="H21" s="122">
        <f t="shared" si="11"/>
        <v>242</v>
      </c>
      <c r="I21" s="122">
        <f t="shared" si="11"/>
        <v>198</v>
      </c>
      <c r="J21" s="122">
        <f t="shared" si="11"/>
        <v>156</v>
      </c>
      <c r="K21" s="122">
        <f t="shared" si="11"/>
        <v>17</v>
      </c>
      <c r="L21" s="122">
        <f>SUM(L20,L17)</f>
        <v>2583</v>
      </c>
      <c r="M21" s="123">
        <f t="shared" si="5"/>
        <v>11218</v>
      </c>
    </row>
    <row r="22" spans="1:13" ht="13.5" thickBot="1" x14ac:dyDescent="0.25"/>
    <row r="23" spans="1:13" ht="15.75" thickTop="1" x14ac:dyDescent="0.25">
      <c r="A23" s="65" t="s">
        <v>118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[3]Pinnacle!$FA$47</f>
        <v>0</v>
      </c>
      <c r="C25" s="132">
        <f>[3]MESA_UA!$FA$47</f>
        <v>0</v>
      </c>
      <c r="D25" s="130">
        <f>'[3]Sky West'!$FA$47</f>
        <v>0</v>
      </c>
      <c r="E25" s="130">
        <f>'[3]Sky West_UA'!$FA$47</f>
        <v>0</v>
      </c>
      <c r="F25" s="130">
        <f>'[3]Sky West_AS'!$FA$47</f>
        <v>918</v>
      </c>
      <c r="G25" s="130">
        <f>'[3]Sky West_AA'!$FA$47</f>
        <v>0</v>
      </c>
      <c r="H25" s="130">
        <f>[3]Republic!$FA$47</f>
        <v>0</v>
      </c>
      <c r="I25" s="130">
        <f>[3]Republic_UA!$FA$47</f>
        <v>0</v>
      </c>
      <c r="J25" s="130">
        <f>'[3]Air Georgian'!$FA$47</f>
        <v>0</v>
      </c>
      <c r="K25" s="130">
        <f>'[3]American Eagle'!$FA$47</f>
        <v>0</v>
      </c>
      <c r="L25" s="130">
        <f>'Other Regional'!L25</f>
        <v>0</v>
      </c>
      <c r="M25" s="110">
        <f>SUM(B25:L25)</f>
        <v>918</v>
      </c>
    </row>
    <row r="26" spans="1:13" x14ac:dyDescent="0.2">
      <c r="A26" s="75" t="s">
        <v>38</v>
      </c>
      <c r="B26" s="130">
        <f>[3]Pinnacle!$FA$48</f>
        <v>0</v>
      </c>
      <c r="C26" s="132">
        <f>[3]MESA_UA!$FA$48</f>
        <v>0</v>
      </c>
      <c r="D26" s="130">
        <f>'[3]Sky West'!$FA$48</f>
        <v>0</v>
      </c>
      <c r="E26" s="130">
        <f>'[3]Sky West_UA'!$FA$48</f>
        <v>0</v>
      </c>
      <c r="F26" s="130">
        <f>'[3]Sky West_AS'!$FA$48</f>
        <v>4805</v>
      </c>
      <c r="G26" s="130">
        <f>'[3]Sky West_AA'!$FA$48</f>
        <v>0</v>
      </c>
      <c r="H26" s="130">
        <f>[3]Republic!$FA$48</f>
        <v>0</v>
      </c>
      <c r="I26" s="130">
        <f>[3]Republic_UA!$FA$48</f>
        <v>0</v>
      </c>
      <c r="J26" s="130">
        <f>'[3]Air Georgian'!$FA$48</f>
        <v>0</v>
      </c>
      <c r="K26" s="130">
        <f>'[3]American Eagle'!$FA$48</f>
        <v>0</v>
      </c>
      <c r="L26" s="130">
        <f>'Other Regional'!L26</f>
        <v>0</v>
      </c>
      <c r="M26" s="110">
        <f>SUM(B26:L26)</f>
        <v>4805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5723</v>
      </c>
      <c r="G27" s="133">
        <f t="shared" si="14"/>
        <v>0</v>
      </c>
      <c r="H27" s="133">
        <f t="shared" si="13"/>
        <v>0</v>
      </c>
      <c r="I27" s="133">
        <f t="shared" si="13"/>
        <v>0</v>
      </c>
      <c r="J27" s="133">
        <f t="shared" si="13"/>
        <v>0</v>
      </c>
      <c r="K27" s="133">
        <f t="shared" si="13"/>
        <v>0</v>
      </c>
      <c r="L27" s="133">
        <f t="shared" si="13"/>
        <v>0</v>
      </c>
      <c r="M27" s="134">
        <f>SUM(B27:L27)</f>
        <v>5723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60</v>
      </c>
      <c r="B30" s="130">
        <f>[3]Pinnacle!$FA$52</f>
        <v>0</v>
      </c>
      <c r="C30" s="132">
        <f>[3]MESA_UA!$FA$52</f>
        <v>0</v>
      </c>
      <c r="D30" s="130">
        <f>'[3]Sky West'!$FA$52</f>
        <v>0</v>
      </c>
      <c r="E30" s="130">
        <f>'[3]Sky West_UA'!$FA$52</f>
        <v>0</v>
      </c>
      <c r="F30" s="130">
        <f>'[3]Sky West_AS'!$FA$52</f>
        <v>43</v>
      </c>
      <c r="G30" s="130">
        <f>'[3]Sky West_AA'!$FA$52</f>
        <v>0</v>
      </c>
      <c r="H30" s="130">
        <f>[3]Republic!$FA$52</f>
        <v>85</v>
      </c>
      <c r="I30" s="130">
        <f>[3]Republic_UA!$FA$52</f>
        <v>0</v>
      </c>
      <c r="J30" s="130">
        <f>'[3]Air Georgian'!$FA$52</f>
        <v>0</v>
      </c>
      <c r="K30" s="130">
        <f>'[3]American Eagle'!$FA$52</f>
        <v>0</v>
      </c>
      <c r="L30" s="130">
        <f>'Other Regional'!L30</f>
        <v>0</v>
      </c>
      <c r="M30" s="110">
        <f t="shared" ref="M30:M37" si="15">SUM(B30:L30)</f>
        <v>128</v>
      </c>
    </row>
    <row r="31" spans="1:13" x14ac:dyDescent="0.2">
      <c r="A31" s="75" t="s">
        <v>61</v>
      </c>
      <c r="B31" s="130">
        <f>[3]Pinnacle!$FA$53</f>
        <v>0</v>
      </c>
      <c r="C31" s="132">
        <f>[3]MESA_UA!$FA$53</f>
        <v>0</v>
      </c>
      <c r="D31" s="130">
        <f>'[3]Sky West'!$FA$53</f>
        <v>0</v>
      </c>
      <c r="E31" s="130">
        <f>'[3]Sky West_UA'!$FA$53</f>
        <v>0</v>
      </c>
      <c r="F31" s="130">
        <f>'[3]Sky West_AS'!$FA$53</f>
        <v>844</v>
      </c>
      <c r="G31" s="130">
        <f>'[3]Sky West_AA'!$FA$53</f>
        <v>0</v>
      </c>
      <c r="H31" s="130">
        <f>[3]Republic!$FA$53</f>
        <v>0</v>
      </c>
      <c r="I31" s="130">
        <f>[3]Republic_UA!$FA$53</f>
        <v>0</v>
      </c>
      <c r="J31" s="130">
        <f>'[3]Air Georgian'!$FA$53</f>
        <v>0</v>
      </c>
      <c r="K31" s="130">
        <f>'[3]American Eagle'!$FA$53</f>
        <v>0</v>
      </c>
      <c r="L31" s="130">
        <f>'Other Regional'!L31</f>
        <v>0</v>
      </c>
      <c r="M31" s="110">
        <f t="shared" si="15"/>
        <v>844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887</v>
      </c>
      <c r="G32" s="133">
        <f t="shared" si="17"/>
        <v>0</v>
      </c>
      <c r="H32" s="133">
        <f t="shared" si="16"/>
        <v>85</v>
      </c>
      <c r="I32" s="133">
        <f t="shared" si="16"/>
        <v>0</v>
      </c>
      <c r="J32" s="133">
        <f t="shared" si="16"/>
        <v>0</v>
      </c>
      <c r="K32" s="133">
        <f t="shared" si="16"/>
        <v>0</v>
      </c>
      <c r="L32" s="133">
        <f>SUM(L30:L31)</f>
        <v>0</v>
      </c>
      <c r="M32" s="134">
        <f t="shared" si="15"/>
        <v>972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[3]Pinnacle!$FA$57</f>
        <v>0</v>
      </c>
      <c r="C35" s="132">
        <f>[3]MESA_UA!$FA$57</f>
        <v>0</v>
      </c>
      <c r="D35" s="130">
        <f>'[3]Sky West'!$FA$57</f>
        <v>0</v>
      </c>
      <c r="E35" s="130">
        <f>'[3]Sky West_UA'!$FA$57</f>
        <v>0</v>
      </c>
      <c r="F35" s="130">
        <f>'[3]Sky West_AS'!$FA$57</f>
        <v>0</v>
      </c>
      <c r="G35" s="130">
        <f>'[3]Sky West_AA'!$FA$57</f>
        <v>0</v>
      </c>
      <c r="H35" s="130">
        <f>[3]Republic!$FA$57</f>
        <v>0</v>
      </c>
      <c r="I35" s="130">
        <f>[3]Republic!$FA$57</f>
        <v>0</v>
      </c>
      <c r="J35" s="130">
        <f>[3]Republic!$FA$57</f>
        <v>0</v>
      </c>
      <c r="K35" s="130">
        <f>'[3]American Eagle'!$FA$57</f>
        <v>0</v>
      </c>
      <c r="L35" s="130">
        <f>'Other Regional'!L35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[3]Pinnacle!$FA$58</f>
        <v>0</v>
      </c>
      <c r="C36" s="132">
        <f>[3]MESA_UA!$FA$58</f>
        <v>0</v>
      </c>
      <c r="D36" s="130">
        <f>'[3]Sky West'!$FA$58</f>
        <v>0</v>
      </c>
      <c r="E36" s="130">
        <f>'[3]Sky West_UA'!$FA$58</f>
        <v>0</v>
      </c>
      <c r="F36" s="130">
        <f>'[3]Sky West_AS'!$FA$58</f>
        <v>0</v>
      </c>
      <c r="G36" s="130">
        <f>'[3]Sky West_AA'!$FA$58</f>
        <v>0</v>
      </c>
      <c r="H36" s="130">
        <f>[3]Republic!$FA$58</f>
        <v>0</v>
      </c>
      <c r="I36" s="130">
        <f>[3]Republic!$FA$58</f>
        <v>0</v>
      </c>
      <c r="J36" s="130">
        <f>[3]Republic!$FA$58</f>
        <v>0</v>
      </c>
      <c r="K36" s="130">
        <f>'[3]American Eagle'!$FA$58</f>
        <v>0</v>
      </c>
      <c r="L36" s="130">
        <f>'Other Regional'!L36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961</v>
      </c>
      <c r="G40" s="130">
        <f t="shared" ref="G40" si="22">SUM(G35,G30,G25)</f>
        <v>0</v>
      </c>
      <c r="H40" s="130">
        <f t="shared" si="20"/>
        <v>85</v>
      </c>
      <c r="I40" s="130">
        <f t="shared" si="20"/>
        <v>0</v>
      </c>
      <c r="J40" s="130">
        <f t="shared" si="20"/>
        <v>0</v>
      </c>
      <c r="K40" s="130">
        <f>SUM(K35,K30,K25)</f>
        <v>0</v>
      </c>
      <c r="L40" s="130">
        <f>L35+L30+L25</f>
        <v>0</v>
      </c>
      <c r="M40" s="110">
        <f>SUM(B40:L40)</f>
        <v>1046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5649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0</v>
      </c>
      <c r="M41" s="110">
        <f>SUM(B41:L41)</f>
        <v>5649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6610</v>
      </c>
      <c r="G42" s="136">
        <f t="shared" ref="G42" si="24">SUM(G37,G32,G27)</f>
        <v>0</v>
      </c>
      <c r="H42" s="136">
        <f t="shared" si="20"/>
        <v>85</v>
      </c>
      <c r="I42" s="136">
        <f t="shared" si="20"/>
        <v>0</v>
      </c>
      <c r="J42" s="136">
        <f t="shared" si="20"/>
        <v>0</v>
      </c>
      <c r="K42" s="136">
        <f>SUM(K37,K32,K27)</f>
        <v>0</v>
      </c>
      <c r="L42" s="136">
        <f>SUM(L37,L32,L27)</f>
        <v>0</v>
      </c>
      <c r="M42" s="137">
        <f>SUM(B42:L42)</f>
        <v>6695</v>
      </c>
    </row>
    <row r="44" spans="1:13" x14ac:dyDescent="0.2">
      <c r="A44" s="381" t="s">
        <v>125</v>
      </c>
      <c r="B44" s="321">
        <f>[3]Pinnacle!$FA$70+[3]Pinnacle!$FA$73</f>
        <v>23369</v>
      </c>
      <c r="D44" s="322">
        <f>'[3]Sky West'!$FA$70+'[3]Sky West'!$FA$73</f>
        <v>28613</v>
      </c>
      <c r="E44" s="5"/>
      <c r="F44" s="5"/>
      <c r="G44" s="5"/>
      <c r="L44" s="322">
        <f>+'Other Regional'!L46</f>
        <v>30144</v>
      </c>
      <c r="M44" s="310">
        <f>SUM(B44:L44)</f>
        <v>82126</v>
      </c>
    </row>
    <row r="45" spans="1:13" x14ac:dyDescent="0.2">
      <c r="A45" s="395" t="s">
        <v>126</v>
      </c>
      <c r="B45" s="321">
        <f>[3]Pinnacle!$FA$71+[3]Pinnacle!$FA$74</f>
        <v>47659</v>
      </c>
      <c r="D45" s="322">
        <f>'[3]Sky West'!$FA$71+'[3]Sky West'!$FA$74</f>
        <v>70054</v>
      </c>
      <c r="E45" s="5"/>
      <c r="F45" s="5"/>
      <c r="G45" s="5"/>
      <c r="L45" s="322">
        <f>+'Other Regional'!L47</f>
        <v>38621</v>
      </c>
      <c r="M45" s="310">
        <f>SUM(B45:L45)</f>
        <v>156334</v>
      </c>
    </row>
    <row r="46" spans="1:13" x14ac:dyDescent="0.2">
      <c r="A46" s="312" t="s">
        <v>127</v>
      </c>
      <c r="B46" s="313">
        <f>SUM(B44:B45)</f>
        <v>71028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February 2017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zoomScaleSheetLayoutView="100" workbookViewId="0">
      <selection activeCell="H25" sqref="H2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10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6" customHeight="1" x14ac:dyDescent="0.2">
      <c r="A1" s="391"/>
    </row>
    <row r="2" spans="1:12" s="7" customFormat="1" ht="55.5" customHeight="1" thickBot="1" x14ac:dyDescent="0.25">
      <c r="A2" s="384">
        <v>42767</v>
      </c>
      <c r="B2" s="446" t="s">
        <v>190</v>
      </c>
      <c r="C2" s="446" t="s">
        <v>189</v>
      </c>
      <c r="D2" s="446" t="s">
        <v>213</v>
      </c>
      <c r="E2" s="446" t="s">
        <v>172</v>
      </c>
      <c r="F2" s="446" t="s">
        <v>195</v>
      </c>
      <c r="G2" s="446" t="s">
        <v>194</v>
      </c>
      <c r="H2" s="446" t="s">
        <v>166</v>
      </c>
      <c r="I2" s="446" t="s">
        <v>171</v>
      </c>
      <c r="J2" s="446" t="s">
        <v>196</v>
      </c>
      <c r="K2" s="446" t="s">
        <v>193</v>
      </c>
      <c r="L2" s="291" t="s">
        <v>21</v>
      </c>
    </row>
    <row r="3" spans="1:12" ht="15.75" thickTop="1" x14ac:dyDescent="0.25">
      <c r="A3" s="279" t="s">
        <v>3</v>
      </c>
      <c r="B3" s="407"/>
      <c r="C3" s="407"/>
      <c r="D3" s="407"/>
      <c r="E3" s="407"/>
      <c r="F3" s="408"/>
      <c r="G3" s="408"/>
      <c r="H3" s="408"/>
      <c r="I3" s="408"/>
      <c r="J3" s="408"/>
      <c r="K3" s="407"/>
      <c r="L3" s="127"/>
    </row>
    <row r="4" spans="1:12" x14ac:dyDescent="0.2">
      <c r="A4" s="62" t="s">
        <v>29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30</v>
      </c>
      <c r="B5" s="131">
        <f>'[3]Shuttle America'!$FA$22</f>
        <v>0</v>
      </c>
      <c r="C5" s="131">
        <f>'[3]Shuttle America_Delta'!$FA$22</f>
        <v>136</v>
      </c>
      <c r="D5" s="473">
        <f>[3]PSA!$FA$22</f>
        <v>704</v>
      </c>
      <c r="E5" s="21">
        <f>[3]Compass!$FA$22+[3]Compass!$FA$32</f>
        <v>37101</v>
      </c>
      <c r="F5" s="131">
        <f>'[3]Atlantic Southeast'!$FA$22+'[3]Atlantic Southeast'!$FA$32</f>
        <v>14433</v>
      </c>
      <c r="G5" s="131">
        <f>'[3]Continental Express'!$FA$22</f>
        <v>668</v>
      </c>
      <c r="H5" s="130">
        <f>'[3]Go Jet_UA'!$FA$22</f>
        <v>295</v>
      </c>
      <c r="I5" s="21">
        <f>'[3]Go Jet'!$FA$22+'[3]Go Jet'!$FA$32</f>
        <v>15044</v>
      </c>
      <c r="J5" s="132">
        <f>'[3]Air Wisconsin'!$FA$22</f>
        <v>50</v>
      </c>
      <c r="K5" s="130">
        <f>[3]MESA!$FA$22</f>
        <v>0</v>
      </c>
      <c r="L5" s="110">
        <f>SUM(B5:K5)</f>
        <v>68431</v>
      </c>
    </row>
    <row r="6" spans="1:12" s="10" customFormat="1" x14ac:dyDescent="0.2">
      <c r="A6" s="62" t="s">
        <v>31</v>
      </c>
      <c r="B6" s="131">
        <f>'[3]Shuttle America'!$FA$23</f>
        <v>0</v>
      </c>
      <c r="C6" s="131">
        <f>'[3]Shuttle America_Delta'!$FA$23</f>
        <v>105</v>
      </c>
      <c r="D6" s="473">
        <f>[3]PSA!$FA$23</f>
        <v>814</v>
      </c>
      <c r="E6" s="14">
        <f>[3]Compass!$FA$23+[3]Compass!$FA$33</f>
        <v>38700</v>
      </c>
      <c r="F6" s="131">
        <f>'[3]Atlantic Southeast'!$FA$23+'[3]Atlantic Southeast'!$FA$33</f>
        <v>14657</v>
      </c>
      <c r="G6" s="131">
        <f>'[3]Continental Express'!$FA$23</f>
        <v>664</v>
      </c>
      <c r="H6" s="130">
        <f>'[3]Go Jet_UA'!$FA$23</f>
        <v>295</v>
      </c>
      <c r="I6" s="14">
        <f>'[3]Go Jet'!$FA$23+'[3]Go Jet'!$FA$33</f>
        <v>15303</v>
      </c>
      <c r="J6" s="132">
        <f>'[3]Air Wisconsin'!$FA$23</f>
        <v>40</v>
      </c>
      <c r="K6" s="130">
        <f>[3]MESA!$FA$23</f>
        <v>0</v>
      </c>
      <c r="L6" s="115">
        <f>SUM(B6:K6)</f>
        <v>70578</v>
      </c>
    </row>
    <row r="7" spans="1:12" ht="15" thickBot="1" x14ac:dyDescent="0.25">
      <c r="A7" s="73" t="s">
        <v>7</v>
      </c>
      <c r="B7" s="133">
        <f t="shared" ref="B7:K7" si="0">SUM(B5:B6)</f>
        <v>0</v>
      </c>
      <c r="C7" s="133">
        <f t="shared" si="0"/>
        <v>241</v>
      </c>
      <c r="D7" s="133">
        <f t="shared" si="0"/>
        <v>1518</v>
      </c>
      <c r="E7" s="133">
        <f>SUM(E5:E6)</f>
        <v>75801</v>
      </c>
      <c r="F7" s="133">
        <f t="shared" si="0"/>
        <v>29090</v>
      </c>
      <c r="G7" s="133">
        <f t="shared" si="0"/>
        <v>1332</v>
      </c>
      <c r="H7" s="133">
        <f t="shared" si="0"/>
        <v>590</v>
      </c>
      <c r="I7" s="133">
        <f>SUM(I5:I6)</f>
        <v>30347</v>
      </c>
      <c r="J7" s="133">
        <f t="shared" si="0"/>
        <v>90</v>
      </c>
      <c r="K7" s="133">
        <f t="shared" si="0"/>
        <v>0</v>
      </c>
      <c r="L7" s="134">
        <f>SUM(B7:K7)</f>
        <v>139009</v>
      </c>
    </row>
    <row r="8" spans="1:12" ht="13.5" thickTop="1" x14ac:dyDescent="0.2">
      <c r="A8" s="62"/>
      <c r="B8" s="131"/>
      <c r="C8" s="131"/>
      <c r="D8" s="473"/>
      <c r="E8" s="344"/>
      <c r="F8" s="131"/>
      <c r="G8" s="131"/>
      <c r="H8" s="130"/>
      <c r="I8" s="344"/>
      <c r="J8" s="132"/>
      <c r="K8" s="130"/>
      <c r="L8" s="135"/>
    </row>
    <row r="9" spans="1:12" s="10" customFormat="1" x14ac:dyDescent="0.2">
      <c r="A9" s="62" t="s">
        <v>32</v>
      </c>
      <c r="B9" s="131"/>
      <c r="C9" s="131"/>
      <c r="D9" s="473"/>
      <c r="E9" s="21"/>
      <c r="F9" s="131"/>
      <c r="G9" s="131"/>
      <c r="H9" s="130"/>
      <c r="I9" s="21"/>
      <c r="J9" s="132"/>
      <c r="K9" s="130"/>
      <c r="L9" s="110"/>
    </row>
    <row r="10" spans="1:12" x14ac:dyDescent="0.2">
      <c r="A10" s="62" t="s">
        <v>30</v>
      </c>
      <c r="B10" s="131">
        <f>'[3]Shuttle America'!$FA$27</f>
        <v>0</v>
      </c>
      <c r="C10" s="131">
        <f>'[3]Shuttle America_Delta'!$FA$27</f>
        <v>13</v>
      </c>
      <c r="D10" s="473">
        <f>[3]PSA!$FA$27</f>
        <v>23</v>
      </c>
      <c r="E10" s="21">
        <f>[3]Compass!$FA$27+[3]Compass!$FA$37</f>
        <v>1582</v>
      </c>
      <c r="F10" s="21">
        <f>'[3]Atlantic Southeast'!$FA$27+'[3]Atlantic Southeast'!$FA$37</f>
        <v>603</v>
      </c>
      <c r="G10" s="131">
        <f>'[3]Continental Express'!$FA$27</f>
        <v>22</v>
      </c>
      <c r="H10" s="130">
        <f>'[3]Go Jet_UA'!$FA$27</f>
        <v>8</v>
      </c>
      <c r="I10" s="21">
        <f>'[3]Go Jet'!$FA$27+'[3]Go Jet'!$FA$37</f>
        <v>602</v>
      </c>
      <c r="J10" s="132">
        <f>'[3]Air Wisconsin'!$FA$27</f>
        <v>0</v>
      </c>
      <c r="K10" s="130">
        <f>[3]MESA!$FA$27</f>
        <v>0</v>
      </c>
      <c r="L10" s="110">
        <f>SUM(B10:K10)</f>
        <v>2853</v>
      </c>
    </row>
    <row r="11" spans="1:12" x14ac:dyDescent="0.2">
      <c r="A11" s="62" t="s">
        <v>33</v>
      </c>
      <c r="B11" s="131">
        <f>'[3]Shuttle America'!$FA$28</f>
        <v>0</v>
      </c>
      <c r="C11" s="131">
        <f>'[3]Shuttle America_Delta'!$FA$28</f>
        <v>6</v>
      </c>
      <c r="D11" s="473">
        <f>[3]PSA!$FA$28</f>
        <v>28</v>
      </c>
      <c r="E11" s="14">
        <f>[3]Compass!$FA$28+[3]Compass!$FA$38</f>
        <v>1453</v>
      </c>
      <c r="F11" s="14">
        <f>'[3]Atlantic Southeast'!$FA$28+'[3]Atlantic Southeast'!$FA$38</f>
        <v>568</v>
      </c>
      <c r="G11" s="131">
        <f>'[3]Continental Express'!$FA$28</f>
        <v>22</v>
      </c>
      <c r="H11" s="130">
        <f>'[3]Go Jet_UA'!$FA$28</f>
        <v>21</v>
      </c>
      <c r="I11" s="14">
        <f>'[3]Go Jet'!$FA$28+'[3]Go Jet'!$FA$38</f>
        <v>517</v>
      </c>
      <c r="J11" s="132">
        <f>'[3]Air Wisconsin'!$FA$28</f>
        <v>1</v>
      </c>
      <c r="K11" s="130">
        <f>[3]MESA!$FA$28</f>
        <v>0</v>
      </c>
      <c r="L11" s="115">
        <f>SUM(B11:K11)</f>
        <v>2616</v>
      </c>
    </row>
    <row r="12" spans="1:12" ht="15" thickBot="1" x14ac:dyDescent="0.25">
      <c r="A12" s="74" t="s">
        <v>34</v>
      </c>
      <c r="B12" s="136">
        <f>SUM(B10:B11)</f>
        <v>0</v>
      </c>
      <c r="C12" s="136">
        <f>SUM(C10:C11)</f>
        <v>19</v>
      </c>
      <c r="D12" s="136">
        <f t="shared" ref="D12" si="1">SUM(D10:D11)</f>
        <v>51</v>
      </c>
      <c r="E12" s="136">
        <f t="shared" ref="E12:K12" si="2">SUM(E10:E11)</f>
        <v>3035</v>
      </c>
      <c r="F12" s="136">
        <f t="shared" si="2"/>
        <v>1171</v>
      </c>
      <c r="G12" s="136">
        <f t="shared" si="2"/>
        <v>44</v>
      </c>
      <c r="H12" s="136">
        <f t="shared" si="2"/>
        <v>29</v>
      </c>
      <c r="I12" s="136">
        <f t="shared" ref="I12" si="3">SUM(I10:I11)</f>
        <v>1119</v>
      </c>
      <c r="J12" s="136">
        <f t="shared" si="2"/>
        <v>1</v>
      </c>
      <c r="K12" s="136">
        <f t="shared" si="2"/>
        <v>0</v>
      </c>
      <c r="L12" s="137">
        <f>SUM(B12:K12)</f>
        <v>5469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54</v>
      </c>
      <c r="B15" s="106">
        <f>'[3]Shuttle America'!$FA$4</f>
        <v>0</v>
      </c>
      <c r="C15" s="106">
        <f>'[3]Shuttle America_Delta'!$FA$4</f>
        <v>3</v>
      </c>
      <c r="D15" s="474">
        <f>[3]PSA!$FA$4</f>
        <v>20</v>
      </c>
      <c r="E15" s="21">
        <f>[3]Compass!$FA$4+[3]Compass!$FA$15</f>
        <v>684</v>
      </c>
      <c r="F15" s="107">
        <f>'[3]Atlantic Southeast'!$FA$4+'[3]Atlantic Southeast'!$FA$15</f>
        <v>273</v>
      </c>
      <c r="G15" s="107">
        <f>'[3]Continental Express'!$FA$4</f>
        <v>20</v>
      </c>
      <c r="H15" s="106">
        <f>'[3]Go Jet_UA'!$FA$4</f>
        <v>5</v>
      </c>
      <c r="I15" s="21">
        <f>'[3]Go Jet'!$FA$4+'[3]Go Jet'!$FA$15</f>
        <v>287</v>
      </c>
      <c r="J15" s="108">
        <f>'[3]Air Wisconsin'!$FA$4</f>
        <v>1</v>
      </c>
      <c r="K15" s="106">
        <f>[3]MESA!$FA$4</f>
        <v>0</v>
      </c>
      <c r="L15" s="110">
        <f t="shared" ref="L15:L21" si="4">SUM(B15:K15)</f>
        <v>1293</v>
      </c>
    </row>
    <row r="16" spans="1:12" x14ac:dyDescent="0.2">
      <c r="A16" s="62" t="s">
        <v>55</v>
      </c>
      <c r="B16" s="111">
        <f>'[3]Shuttle America'!$FA$5</f>
        <v>0</v>
      </c>
      <c r="C16" s="111">
        <f>'[3]Shuttle America_Delta'!$FA$5</f>
        <v>3</v>
      </c>
      <c r="D16" s="475">
        <f>[3]PSA!$FA$5</f>
        <v>20</v>
      </c>
      <c r="E16" s="14">
        <f>[3]Compass!$FA$5+[3]Compass!$FA$16</f>
        <v>681</v>
      </c>
      <c r="F16" s="112">
        <f>'[3]Atlantic Southeast'!$FA$5+'[3]Atlantic Southeast'!$FA$16</f>
        <v>272</v>
      </c>
      <c r="G16" s="112">
        <f>'[3]Continental Express'!$FA$5</f>
        <v>20</v>
      </c>
      <c r="H16" s="111">
        <f>'[3]Go Jet_UA'!$FA$5</f>
        <v>5</v>
      </c>
      <c r="I16" s="14">
        <f>'[3]Go Jet'!$FA$5+'[3]Go Jet'!$FA$16</f>
        <v>286</v>
      </c>
      <c r="J16" s="113">
        <f>'[3]Air Wisconsin'!$FA$5</f>
        <v>1</v>
      </c>
      <c r="K16" s="111">
        <f>[3]MESA!$FA$5</f>
        <v>0</v>
      </c>
      <c r="L16" s="115">
        <f t="shared" si="4"/>
        <v>1288</v>
      </c>
    </row>
    <row r="17" spans="1:12" x14ac:dyDescent="0.2">
      <c r="A17" s="71" t="s">
        <v>56</v>
      </c>
      <c r="B17" s="116">
        <f>SUM(B15:B16)</f>
        <v>0</v>
      </c>
      <c r="C17" s="116">
        <f>SUM(C15:C16)</f>
        <v>6</v>
      </c>
      <c r="D17" s="116">
        <f t="shared" ref="D17" si="5">SUM(D15:D16)</f>
        <v>40</v>
      </c>
      <c r="E17" s="286">
        <f>SUM(E15:E16)</f>
        <v>1365</v>
      </c>
      <c r="F17" s="116">
        <f t="shared" ref="F17:K17" si="6">SUM(F15:F16)</f>
        <v>545</v>
      </c>
      <c r="G17" s="116">
        <f t="shared" si="6"/>
        <v>40</v>
      </c>
      <c r="H17" s="116">
        <f t="shared" si="6"/>
        <v>10</v>
      </c>
      <c r="I17" s="286">
        <f>SUM(I15:I16)</f>
        <v>573</v>
      </c>
      <c r="J17" s="116">
        <f t="shared" si="6"/>
        <v>2</v>
      </c>
      <c r="K17" s="116">
        <f t="shared" si="6"/>
        <v>0</v>
      </c>
      <c r="L17" s="117">
        <f t="shared" si="4"/>
        <v>2581</v>
      </c>
    </row>
    <row r="18" spans="1:12" x14ac:dyDescent="0.2">
      <c r="A18" s="62" t="s">
        <v>57</v>
      </c>
      <c r="B18" s="118">
        <f>'[3]Shuttle America'!$FA$8</f>
        <v>0</v>
      </c>
      <c r="C18" s="118">
        <f>'[3]Shuttle America_Delta'!$FA$8</f>
        <v>0</v>
      </c>
      <c r="D18" s="118">
        <f>[3]PSA!$FA$8</f>
        <v>0</v>
      </c>
      <c r="E18" s="21">
        <f>[3]Compass!$FA$8</f>
        <v>0</v>
      </c>
      <c r="F18" s="109">
        <f>'[3]Atlantic Southeast'!$FA$8</f>
        <v>0</v>
      </c>
      <c r="G18" s="109">
        <f>'[3]Continental Express'!$FA$8</f>
        <v>0</v>
      </c>
      <c r="H18" s="118">
        <f>'[3]Go Jet_UA'!$FA$8</f>
        <v>0</v>
      </c>
      <c r="I18" s="21">
        <f>'[3]Go Jet'!$FA$8</f>
        <v>0</v>
      </c>
      <c r="J18" s="119">
        <f>'[3]Air Wisconsin'!$FA$8</f>
        <v>0</v>
      </c>
      <c r="K18" s="118">
        <f>[3]MESA!$FA$8</f>
        <v>0</v>
      </c>
      <c r="L18" s="110">
        <f t="shared" si="4"/>
        <v>0</v>
      </c>
    </row>
    <row r="19" spans="1:12" x14ac:dyDescent="0.2">
      <c r="A19" s="62" t="s">
        <v>58</v>
      </c>
      <c r="B19" s="120">
        <f>'[3]Shuttle America'!$FA$9</f>
        <v>0</v>
      </c>
      <c r="C19" s="120">
        <f>'[3]Shuttle America_Delta'!$FA$9</f>
        <v>0</v>
      </c>
      <c r="D19" s="120">
        <f>[3]PSA!$FA$9</f>
        <v>0</v>
      </c>
      <c r="E19" s="14">
        <f>[3]Compass!$FA$9</f>
        <v>1</v>
      </c>
      <c r="F19" s="114">
        <f>'[3]Atlantic Southeast'!$FA$9</f>
        <v>0</v>
      </c>
      <c r="G19" s="114">
        <f>'[3]Continental Express'!$FA$9</f>
        <v>0</v>
      </c>
      <c r="H19" s="120">
        <f>'[3]Go Jet_UA'!$FA$9</f>
        <v>0</v>
      </c>
      <c r="I19" s="14">
        <f>'[3]Go Jet'!$FA$9</f>
        <v>1</v>
      </c>
      <c r="J19" s="121">
        <f>'[3]Air Wisconsin'!$FA$9</f>
        <v>0</v>
      </c>
      <c r="K19" s="120">
        <f>[3]MESA!$FA$9</f>
        <v>0</v>
      </c>
      <c r="L19" s="115">
        <f t="shared" si="4"/>
        <v>2</v>
      </c>
    </row>
    <row r="20" spans="1:12" x14ac:dyDescent="0.2">
      <c r="A20" s="71" t="s">
        <v>59</v>
      </c>
      <c r="B20" s="116">
        <f>SUM(B18:B19)</f>
        <v>0</v>
      </c>
      <c r="C20" s="116">
        <f>SUM(C18:C19)</f>
        <v>0</v>
      </c>
      <c r="D20" s="116">
        <f t="shared" ref="D20" si="7">SUM(D18:D19)</f>
        <v>0</v>
      </c>
      <c r="E20" s="286">
        <f>SUM(E18:E19)</f>
        <v>1</v>
      </c>
      <c r="F20" s="116">
        <f t="shared" ref="F20:K20" si="8">SUM(F18:F19)</f>
        <v>0</v>
      </c>
      <c r="G20" s="116">
        <f t="shared" si="8"/>
        <v>0</v>
      </c>
      <c r="H20" s="116">
        <f t="shared" si="8"/>
        <v>0</v>
      </c>
      <c r="I20" s="286">
        <f>SUM(I18:I19)</f>
        <v>1</v>
      </c>
      <c r="J20" s="116">
        <f t="shared" si="8"/>
        <v>0</v>
      </c>
      <c r="K20" s="116">
        <f t="shared" si="8"/>
        <v>0</v>
      </c>
      <c r="L20" s="117">
        <f t="shared" si="4"/>
        <v>2</v>
      </c>
    </row>
    <row r="21" spans="1:12" ht="15.75" thickBot="1" x14ac:dyDescent="0.3">
      <c r="A21" s="72" t="s">
        <v>28</v>
      </c>
      <c r="B21" s="122">
        <f>SUM(B20,B17)</f>
        <v>0</v>
      </c>
      <c r="C21" s="122">
        <f>SUM(C20,C17)</f>
        <v>6</v>
      </c>
      <c r="D21" s="122">
        <f t="shared" ref="D21" si="9">SUM(D20,D17)</f>
        <v>40</v>
      </c>
      <c r="E21" s="122">
        <f t="shared" ref="E21:K21" si="10">SUM(E20,E17)</f>
        <v>1366</v>
      </c>
      <c r="F21" s="122">
        <f t="shared" si="10"/>
        <v>545</v>
      </c>
      <c r="G21" s="122">
        <f t="shared" si="10"/>
        <v>40</v>
      </c>
      <c r="H21" s="122">
        <f t="shared" si="10"/>
        <v>10</v>
      </c>
      <c r="I21" s="122">
        <f t="shared" ref="I21" si="11">SUM(I20,I17)</f>
        <v>574</v>
      </c>
      <c r="J21" s="122">
        <f t="shared" si="10"/>
        <v>2</v>
      </c>
      <c r="K21" s="122">
        <f t="shared" si="10"/>
        <v>0</v>
      </c>
      <c r="L21" s="123">
        <f t="shared" si="4"/>
        <v>2583</v>
      </c>
    </row>
    <row r="22" spans="1:12" ht="3.75" customHeight="1" thickBot="1" x14ac:dyDescent="0.25"/>
    <row r="23" spans="1:12" ht="15.75" thickTop="1" x14ac:dyDescent="0.25">
      <c r="A23" s="65" t="s">
        <v>118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36</v>
      </c>
      <c r="B24" s="130"/>
      <c r="C24" s="130"/>
      <c r="D24" s="130"/>
      <c r="F24" s="131"/>
      <c r="G24" s="131"/>
      <c r="H24" s="130"/>
      <c r="J24" s="132"/>
      <c r="K24" s="130"/>
      <c r="L24" s="110"/>
    </row>
    <row r="25" spans="1:12" x14ac:dyDescent="0.2">
      <c r="A25" s="75" t="s">
        <v>37</v>
      </c>
      <c r="B25" s="130">
        <f>'[3]Shuttle America'!$FA$47</f>
        <v>0</v>
      </c>
      <c r="C25" s="130">
        <f>'[3]Shuttle America_Delta'!$FA$47</f>
        <v>0</v>
      </c>
      <c r="D25" s="130">
        <f>[3]PSA!$FA$47</f>
        <v>0</v>
      </c>
      <c r="E25" s="130">
        <f>[3]Compass!$FA$47</f>
        <v>0</v>
      </c>
      <c r="F25" s="131">
        <f>'[3]Atlantic Southeast'!$FA$47</f>
        <v>0</v>
      </c>
      <c r="G25" s="131">
        <f>'[3]Continental Express'!$FA$47</f>
        <v>0</v>
      </c>
      <c r="H25" s="130">
        <f>'[3]Go Jet_UA'!$FA$47</f>
        <v>0</v>
      </c>
      <c r="I25" s="130">
        <f>'[3]Go Jet'!$FA$47</f>
        <v>0</v>
      </c>
      <c r="J25" s="132">
        <f>'[3]Air Wisconsin'!$FA$47</f>
        <v>0</v>
      </c>
      <c r="K25" s="130">
        <f>[3]MESA!$FA$47</f>
        <v>0</v>
      </c>
      <c r="L25" s="110">
        <f>SUM(B25:K25)</f>
        <v>0</v>
      </c>
    </row>
    <row r="26" spans="1:12" x14ac:dyDescent="0.2">
      <c r="A26" s="75" t="s">
        <v>38</v>
      </c>
      <c r="B26" s="130">
        <f>'[3]Shuttle America'!$FA$48</f>
        <v>0</v>
      </c>
      <c r="C26" s="130">
        <f>'[3]Shuttle America_Delta'!$FA$48</f>
        <v>0</v>
      </c>
      <c r="D26" s="130">
        <f>[3]PSA!$FA$48</f>
        <v>0</v>
      </c>
      <c r="E26" s="130">
        <f>[3]Compass!$FA$48</f>
        <v>0</v>
      </c>
      <c r="F26" s="131">
        <f>'[3]Atlantic Southeast'!$FA$48</f>
        <v>0</v>
      </c>
      <c r="G26" s="131">
        <f>'[3]Continental Express'!$FA$48</f>
        <v>0</v>
      </c>
      <c r="H26" s="130">
        <f>'[3]Go Jet_UA'!$FA$48</f>
        <v>0</v>
      </c>
      <c r="I26" s="130">
        <f>'[3]Go Jet'!$FA$48</f>
        <v>0</v>
      </c>
      <c r="J26" s="132">
        <f>'[3]Air Wisconsin'!$FA$48</f>
        <v>0</v>
      </c>
      <c r="K26" s="130">
        <f>[3]MESA!$FA$48</f>
        <v>0</v>
      </c>
      <c r="L26" s="110">
        <f>SUM(B26:K26)</f>
        <v>0</v>
      </c>
    </row>
    <row r="27" spans="1:12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" si="12">SUM(D25:D26)</f>
        <v>0</v>
      </c>
      <c r="E27" s="133">
        <f>SUM(E25:E26)</f>
        <v>0</v>
      </c>
      <c r="F27" s="133">
        <f t="shared" ref="F27:K27" si="13">SUM(F25:F26)</f>
        <v>0</v>
      </c>
      <c r="G27" s="133">
        <f t="shared" si="13"/>
        <v>0</v>
      </c>
      <c r="H27" s="133">
        <f t="shared" si="13"/>
        <v>0</v>
      </c>
      <c r="I27" s="133">
        <f>SUM(I25:I26)</f>
        <v>0</v>
      </c>
      <c r="J27" s="133">
        <f t="shared" si="13"/>
        <v>0</v>
      </c>
      <c r="K27" s="133">
        <f t="shared" si="13"/>
        <v>0</v>
      </c>
      <c r="L27" s="134">
        <f>SUM(B27:K27)</f>
        <v>0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40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60</v>
      </c>
      <c r="B30" s="130">
        <f>'[3]Shuttle America'!$FA$52</f>
        <v>0</v>
      </c>
      <c r="C30" s="130">
        <f>'[3]Shuttle America_Delta'!$FA$52</f>
        <v>0</v>
      </c>
      <c r="D30" s="130">
        <f>[3]PSA!$FA$52</f>
        <v>0</v>
      </c>
      <c r="E30" s="130">
        <f>[3]Compass!$FA$52</f>
        <v>0</v>
      </c>
      <c r="F30" s="131">
        <f>'[3]Atlantic Southeast'!$FA$52</f>
        <v>0</v>
      </c>
      <c r="G30" s="131">
        <f>'[3]Continental Express'!$FA$52</f>
        <v>0</v>
      </c>
      <c r="H30" s="130">
        <f>'[3]Go Jet_UA'!$FA$52</f>
        <v>0</v>
      </c>
      <c r="I30" s="130">
        <f>'[3]Go Jet'!$FA$52</f>
        <v>0</v>
      </c>
      <c r="J30" s="132">
        <f>'[3]Air Wisconsin'!BH$52</f>
        <v>0</v>
      </c>
      <c r="K30" s="130">
        <f>[3]MESA!$FA$52</f>
        <v>0</v>
      </c>
      <c r="L30" s="110">
        <f>SUM(B30:K30)</f>
        <v>0</v>
      </c>
    </row>
    <row r="31" spans="1:12" x14ac:dyDescent="0.2">
      <c r="A31" s="75" t="s">
        <v>61</v>
      </c>
      <c r="B31" s="130">
        <f>'[3]Shuttle America'!$FA$53</f>
        <v>0</v>
      </c>
      <c r="C31" s="130">
        <f>'[3]Shuttle America_Delta'!$FA$53</f>
        <v>0</v>
      </c>
      <c r="D31" s="130">
        <f>[3]PSA!$FA$53</f>
        <v>0</v>
      </c>
      <c r="E31" s="130">
        <f>[3]Compass!$FA$53</f>
        <v>0</v>
      </c>
      <c r="F31" s="131">
        <f>'[3]Atlantic Southeast'!$FA$53</f>
        <v>0</v>
      </c>
      <c r="G31" s="131">
        <f>'[3]Continental Express'!$FA$53</f>
        <v>0</v>
      </c>
      <c r="H31" s="130">
        <f>'[3]Go Jet_UA'!$FA$53</f>
        <v>0</v>
      </c>
      <c r="I31" s="130">
        <f>'[3]Go Jet'!$FA$53</f>
        <v>0</v>
      </c>
      <c r="J31" s="132">
        <f>'[3]Air Wisconsin'!$FA$53</f>
        <v>0</v>
      </c>
      <c r="K31" s="130">
        <f>[3]MESA!$FA$53</f>
        <v>0</v>
      </c>
      <c r="L31" s="110">
        <f>SUM(B31:K31)</f>
        <v>0</v>
      </c>
    </row>
    <row r="32" spans="1:12" ht="15" thickBot="1" x14ac:dyDescent="0.25">
      <c r="A32" s="73" t="s">
        <v>41</v>
      </c>
      <c r="B32" s="133">
        <f t="shared" ref="B32:K32" si="14">SUM(B30:B31)</f>
        <v>0</v>
      </c>
      <c r="C32" s="133">
        <f t="shared" si="14"/>
        <v>0</v>
      </c>
      <c r="D32" s="133">
        <f t="shared" si="14"/>
        <v>0</v>
      </c>
      <c r="E32" s="133">
        <f t="shared" si="14"/>
        <v>0</v>
      </c>
      <c r="F32" s="133">
        <f t="shared" si="14"/>
        <v>0</v>
      </c>
      <c r="G32" s="133">
        <f t="shared" si="14"/>
        <v>0</v>
      </c>
      <c r="H32" s="133">
        <f t="shared" si="14"/>
        <v>0</v>
      </c>
      <c r="I32" s="133">
        <f t="shared" ref="I32" si="15">SUM(I30:I31)</f>
        <v>0</v>
      </c>
      <c r="J32" s="133">
        <f t="shared" si="14"/>
        <v>0</v>
      </c>
      <c r="K32" s="133">
        <f t="shared" si="14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42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37</v>
      </c>
      <c r="B35" s="130">
        <f>'[3]Shuttle America'!$FA$57</f>
        <v>0</v>
      </c>
      <c r="C35" s="130">
        <f>'[3]Shuttle America_Delta'!$FA$57</f>
        <v>0</v>
      </c>
      <c r="D35" s="130">
        <f>[3]PSA!$FA$57</f>
        <v>0</v>
      </c>
      <c r="E35" s="130">
        <f>[3]Compass!$FA$57</f>
        <v>0</v>
      </c>
      <c r="F35" s="131">
        <f>'[3]Atlantic Southeast'!$FA$57</f>
        <v>0</v>
      </c>
      <c r="G35" s="131">
        <f>'[3]Continental Express'!$FA$57</f>
        <v>0</v>
      </c>
      <c r="H35" s="130">
        <f>'[3]Go Jet_UA'!$AJ$57</f>
        <v>0</v>
      </c>
      <c r="I35" s="130">
        <f>'[3]Go Jet'!$FA$57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[3]PSA!BG$58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Jet'!BK$58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" si="16">SUM(D35:D36)</f>
        <v>0</v>
      </c>
      <c r="E37" s="141">
        <f>SUM(E35:E36)</f>
        <v>0</v>
      </c>
      <c r="F37" s="142">
        <f t="shared" ref="F37:K37" si="17">SUM(F35:F36)</f>
        <v>0</v>
      </c>
      <c r="G37" s="142">
        <f t="shared" si="17"/>
        <v>0</v>
      </c>
      <c r="H37" s="141">
        <f t="shared" si="17"/>
        <v>0</v>
      </c>
      <c r="I37" s="141">
        <f>SUM(I35:I36)</f>
        <v>0</v>
      </c>
      <c r="J37" s="141">
        <f t="shared" si="17"/>
        <v>0</v>
      </c>
      <c r="K37" s="141">
        <f t="shared" si="17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44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45</v>
      </c>
      <c r="B40" s="130">
        <f t="shared" ref="B40:K40" si="18">SUM(B35,B30,B25)</f>
        <v>0</v>
      </c>
      <c r="C40" s="130">
        <f>SUM(C35,C30,C25)</f>
        <v>0</v>
      </c>
      <c r="D40" s="130">
        <f t="shared" ref="D40:D41" si="19">SUM(D35,D30,D25)</f>
        <v>0</v>
      </c>
      <c r="E40" s="130">
        <f t="shared" si="18"/>
        <v>0</v>
      </c>
      <c r="F40" s="130">
        <f t="shared" si="18"/>
        <v>0</v>
      </c>
      <c r="G40" s="130">
        <f t="shared" si="18"/>
        <v>0</v>
      </c>
      <c r="H40" s="130">
        <f>SUM(H35,H30,H25)</f>
        <v>0</v>
      </c>
      <c r="I40" s="130">
        <f t="shared" ref="I40" si="20">SUM(I35,I30,I25)</f>
        <v>0</v>
      </c>
      <c r="J40" s="130">
        <f t="shared" si="18"/>
        <v>0</v>
      </c>
      <c r="K40" s="130">
        <f t="shared" si="18"/>
        <v>0</v>
      </c>
      <c r="L40" s="110">
        <f>SUM(B40:K40)</f>
        <v>0</v>
      </c>
    </row>
    <row r="41" spans="1:12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19"/>
        <v>0</v>
      </c>
      <c r="E41" s="130">
        <f t="shared" ref="E41:K41" si="21">SUM(E36,E31,E26)</f>
        <v>0</v>
      </c>
      <c r="F41" s="130">
        <f t="shared" si="21"/>
        <v>0</v>
      </c>
      <c r="G41" s="130">
        <f t="shared" si="21"/>
        <v>0</v>
      </c>
      <c r="H41" s="130">
        <f>SUM(H36,H31,H26)</f>
        <v>0</v>
      </c>
      <c r="I41" s="130">
        <f t="shared" ref="I41" si="22">SUM(I36,I31,I26)</f>
        <v>0</v>
      </c>
      <c r="J41" s="130">
        <f t="shared" si="21"/>
        <v>0</v>
      </c>
      <c r="K41" s="130">
        <f t="shared" si="21"/>
        <v>0</v>
      </c>
      <c r="L41" s="110">
        <f>SUM(B41:K41)</f>
        <v>0</v>
      </c>
    </row>
    <row r="42" spans="1:12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" si="23">SUM(D40:D41)</f>
        <v>0</v>
      </c>
      <c r="E42" s="136">
        <f t="shared" ref="E42:K42" si="24">SUM(E40:E41)</f>
        <v>0</v>
      </c>
      <c r="F42" s="136">
        <f t="shared" si="24"/>
        <v>0</v>
      </c>
      <c r="G42" s="136">
        <f t="shared" si="24"/>
        <v>0</v>
      </c>
      <c r="H42" s="136">
        <f t="shared" si="24"/>
        <v>0</v>
      </c>
      <c r="I42" s="136">
        <f t="shared" ref="I42" si="25">SUM(I40:I41)</f>
        <v>0</v>
      </c>
      <c r="J42" s="136">
        <f t="shared" si="24"/>
        <v>0</v>
      </c>
      <c r="K42" s="136">
        <f t="shared" si="24"/>
        <v>0</v>
      </c>
      <c r="L42" s="137">
        <f>SUM(B42:K42)</f>
        <v>0</v>
      </c>
    </row>
    <row r="43" spans="1:12" ht="4.5" customHeight="1" x14ac:dyDescent="0.2"/>
    <row r="44" spans="1:12" hidden="1" x14ac:dyDescent="0.2">
      <c r="A44" s="323" t="s">
        <v>128</v>
      </c>
      <c r="E44" s="322">
        <f>[3]Compass!BG$70+[3]Compass!BG$73</f>
        <v>27782</v>
      </c>
      <c r="F44" s="308"/>
      <c r="I44" s="322">
        <f>'[3]Go Jet'!BK$70+'[3]Go Jet'!BK$73</f>
        <v>0</v>
      </c>
      <c r="L44" s="310">
        <f>SUM(E44:E44)</f>
        <v>27782</v>
      </c>
    </row>
    <row r="45" spans="1:12" hidden="1" x14ac:dyDescent="0.2">
      <c r="A45" s="323" t="s">
        <v>129</v>
      </c>
      <c r="E45" s="322">
        <f>[3]Compass!BG$71+[3]Compass!BG$74</f>
        <v>47176</v>
      </c>
      <c r="F45" s="326"/>
      <c r="I45" s="322">
        <f>'[3]Go Jet'!BK$71+'[3]Go Jet'!BK$74</f>
        <v>0</v>
      </c>
      <c r="L45" s="310">
        <f>SUM(E45:E45)</f>
        <v>47176</v>
      </c>
    </row>
    <row r="46" spans="1:12" x14ac:dyDescent="0.2">
      <c r="A46" s="381" t="s">
        <v>125</v>
      </c>
      <c r="C46" s="322">
        <f>'[3]Shuttle America_Delta'!$FA$70+'[3]Shuttle America_Delta'!$FA$73</f>
        <v>23</v>
      </c>
      <c r="E46" s="322">
        <f>[3]Compass!$FA$70+[3]Compass!$FA$73</f>
        <v>17144</v>
      </c>
      <c r="F46" s="322">
        <f>'[3]Atlantic Southeast'!$FA$70+'[3]Atlantic Southeast'!$FA$73</f>
        <v>5218</v>
      </c>
      <c r="I46" s="322">
        <f>'[3]Go Jet'!$FA$70+'[3]Go Jet'!$FA$73</f>
        <v>7759</v>
      </c>
      <c r="L46" s="394">
        <f>SUM(B46:K46)</f>
        <v>30144</v>
      </c>
    </row>
    <row r="47" spans="1:12" x14ac:dyDescent="0.2">
      <c r="A47" s="395" t="s">
        <v>126</v>
      </c>
      <c r="C47" s="322">
        <f>'[3]Shuttle America_Delta'!$FA$71+'[3]Shuttle America_Delta'!$FA$74</f>
        <v>82</v>
      </c>
      <c r="E47" s="322">
        <f>[3]Compass!$FA$71+[3]Compass!$FA$74</f>
        <v>21556</v>
      </c>
      <c r="F47" s="322">
        <f>'[3]Atlantic Southeast'!$FA$71+'[3]Atlantic Southeast'!$FA$74</f>
        <v>9439</v>
      </c>
      <c r="I47" s="322">
        <f>'[3]Go Jet'!$FA$71+'[3]Go Jet'!$FA$74</f>
        <v>7544</v>
      </c>
      <c r="L47" s="394">
        <f>SUM(B47:K47)</f>
        <v>38621</v>
      </c>
    </row>
  </sheetData>
  <phoneticPr fontId="6" type="noConversion"/>
  <printOptions horizontalCentered="1"/>
  <pageMargins left="0.75" right="0.75" top="0.92" bottom="1" header="0.5" footer="0.5"/>
  <pageSetup scale="88" orientation="landscape" r:id="rId1"/>
  <headerFooter alignWithMargins="0">
    <oddHeader>&amp;L
Schedule 5
&amp;CMinneapolis-St. Paul International Airport
&amp;"Arial,Bold"Other Regional
February 2017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topLeftCell="A16" zoomScale="115" zoomScaleNormal="115" workbookViewId="0">
      <selection activeCell="E13" sqref="E13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4">
        <v>42767</v>
      </c>
      <c r="B2" s="180" t="s">
        <v>120</v>
      </c>
      <c r="C2" s="180" t="s">
        <v>158</v>
      </c>
      <c r="D2" s="102" t="s">
        <v>79</v>
      </c>
      <c r="E2" s="102" t="s">
        <v>159</v>
      </c>
      <c r="F2" s="180" t="s">
        <v>134</v>
      </c>
      <c r="G2" s="174" t="s">
        <v>80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24"/>
      <c r="C4" s="184"/>
      <c r="D4" s="184"/>
      <c r="E4" s="184"/>
      <c r="F4" s="184"/>
      <c r="G4" s="254"/>
    </row>
    <row r="5" spans="1:17" x14ac:dyDescent="0.2">
      <c r="A5" s="62" t="s">
        <v>30</v>
      </c>
      <c r="B5" s="424">
        <f>'[3]Charter Misc'!$FA$22</f>
        <v>184</v>
      </c>
      <c r="C5" s="184">
        <f>[3]Ryan!$FA$22</f>
        <v>0</v>
      </c>
      <c r="D5" s="184">
        <f>'[3]Charter Misc'!$FA$32</f>
        <v>0</v>
      </c>
      <c r="E5" s="184">
        <f>[3]Omni!$FA$32</f>
        <v>103</v>
      </c>
      <c r="F5" s="184">
        <f>[3]Xtra!$FA$32+[3]Xtra!$FA$22</f>
        <v>0</v>
      </c>
      <c r="G5" s="343">
        <f>SUM(B5:F5)</f>
        <v>287</v>
      </c>
    </row>
    <row r="6" spans="1:17" x14ac:dyDescent="0.2">
      <c r="A6" s="62" t="s">
        <v>31</v>
      </c>
      <c r="B6" s="425">
        <f>'[3]Charter Misc'!$FA$23</f>
        <v>150</v>
      </c>
      <c r="C6" s="187">
        <f>[3]Ryan!$FA$23</f>
        <v>0</v>
      </c>
      <c r="D6" s="187">
        <f>'[3]Charter Misc'!$FA$33</f>
        <v>0</v>
      </c>
      <c r="E6" s="187">
        <f>[3]Omni!$FA$33</f>
        <v>102</v>
      </c>
      <c r="F6" s="187">
        <f>[3]Xtra!$FA$33+[3]Xtra!$FA$23</f>
        <v>0</v>
      </c>
      <c r="G6" s="342">
        <f>SUM(B6:F6)</f>
        <v>252</v>
      </c>
    </row>
    <row r="7" spans="1:17" ht="15.75" thickBot="1" x14ac:dyDescent="0.3">
      <c r="A7" s="183" t="s">
        <v>7</v>
      </c>
      <c r="B7" s="426">
        <f>SUM(B5:B6)</f>
        <v>334</v>
      </c>
      <c r="C7" s="298">
        <f>SUM(C5:C6)</f>
        <v>0</v>
      </c>
      <c r="D7" s="298">
        <f>SUM(D5:D6)</f>
        <v>0</v>
      </c>
      <c r="E7" s="298">
        <f>SUM(E5:E6)</f>
        <v>205</v>
      </c>
      <c r="F7" s="298">
        <f>SUM(F5:F6)</f>
        <v>0</v>
      </c>
      <c r="G7" s="299">
        <f>SUM(B7:F7)</f>
        <v>539</v>
      </c>
    </row>
    <row r="8" spans="1:17" ht="13.5" thickBot="1" x14ac:dyDescent="0.25"/>
    <row r="9" spans="1:17" x14ac:dyDescent="0.2">
      <c r="A9" s="181" t="s">
        <v>9</v>
      </c>
      <c r="B9" s="427"/>
      <c r="C9" s="45"/>
      <c r="D9" s="45"/>
      <c r="E9" s="45"/>
      <c r="F9" s="45"/>
      <c r="G9" s="57"/>
    </row>
    <row r="10" spans="1:17" x14ac:dyDescent="0.2">
      <c r="A10" s="182" t="s">
        <v>81</v>
      </c>
      <c r="B10" s="424">
        <f>'[3]Charter Misc'!$FA$4</f>
        <v>2</v>
      </c>
      <c r="C10" s="184">
        <f>[3]Ryan!$FA$4</f>
        <v>0</v>
      </c>
      <c r="D10" s="184">
        <f>'[3]Charter Misc'!$FA$15</f>
        <v>0</v>
      </c>
      <c r="E10" s="184">
        <f>[3]Omni!$FA$15+[3]Omni!$FA$8</f>
        <v>2</v>
      </c>
      <c r="F10" s="184">
        <f>[3]Xtra!$FA$15+[3]Xtra!$FA$4</f>
        <v>0</v>
      </c>
      <c r="G10" s="342">
        <f>SUM(B10:F10)</f>
        <v>4</v>
      </c>
    </row>
    <row r="11" spans="1:17" x14ac:dyDescent="0.2">
      <c r="A11" s="182" t="s">
        <v>82</v>
      </c>
      <c r="B11" s="424">
        <f>'[3]Charter Misc'!$FA$5</f>
        <v>1</v>
      </c>
      <c r="C11" s="184">
        <f>[3]Ryan!$FA$5</f>
        <v>0</v>
      </c>
      <c r="D11" s="184">
        <f>'[3]Charter Misc'!$FA$16</f>
        <v>0</v>
      </c>
      <c r="E11" s="184">
        <f>[3]Omni!$FA$16+[3]Omni!$FA$9</f>
        <v>2</v>
      </c>
      <c r="F11" s="184">
        <f>[3]Xtra!$FA$16+[3]Xtra!$FA$5</f>
        <v>0</v>
      </c>
      <c r="G11" s="342">
        <f>SUM(B11:F11)</f>
        <v>3</v>
      </c>
    </row>
    <row r="12" spans="1:17" ht="15.75" thickBot="1" x14ac:dyDescent="0.3">
      <c r="A12" s="277" t="s">
        <v>28</v>
      </c>
      <c r="B12" s="428">
        <f>SUM(B10:B11)</f>
        <v>3</v>
      </c>
      <c r="C12" s="300">
        <f>SUM(C10:C11)</f>
        <v>0</v>
      </c>
      <c r="D12" s="300">
        <f>SUM(D10:D11)</f>
        <v>0</v>
      </c>
      <c r="E12" s="300">
        <f>SUM(E10:E11)</f>
        <v>4</v>
      </c>
      <c r="F12" s="300">
        <f>SUM(F10:F11)</f>
        <v>0</v>
      </c>
      <c r="G12" s="301">
        <f>SUM(B12:F12)</f>
        <v>7</v>
      </c>
      <c r="Q12" s="130"/>
    </row>
    <row r="17" spans="1:16" x14ac:dyDescent="0.2">
      <c r="B17" s="525" t="s">
        <v>156</v>
      </c>
      <c r="C17" s="526"/>
      <c r="D17" s="526"/>
      <c r="E17" s="526"/>
      <c r="F17" s="526"/>
      <c r="G17" s="526"/>
      <c r="H17" s="526"/>
      <c r="I17" s="526"/>
      <c r="J17" s="526"/>
      <c r="K17" s="526"/>
      <c r="L17" s="526"/>
      <c r="M17" s="526"/>
      <c r="N17" s="526"/>
      <c r="O17" s="526"/>
      <c r="P17" s="527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9"/>
      <c r="B19" s="528" t="s">
        <v>122</v>
      </c>
      <c r="C19" s="529"/>
      <c r="D19" s="529"/>
      <c r="E19" s="530"/>
      <c r="G19" s="528" t="s">
        <v>123</v>
      </c>
      <c r="H19" s="531"/>
      <c r="I19" s="531"/>
      <c r="J19" s="532"/>
      <c r="L19" s="533" t="s">
        <v>124</v>
      </c>
      <c r="M19" s="534"/>
      <c r="N19" s="534"/>
      <c r="O19" s="535"/>
    </row>
    <row r="20" spans="1:16" ht="13.5" thickBot="1" x14ac:dyDescent="0.25">
      <c r="A20" s="237" t="s">
        <v>103</v>
      </c>
      <c r="B20" s="242" t="s">
        <v>104</v>
      </c>
      <c r="C20" s="8" t="s">
        <v>105</v>
      </c>
      <c r="D20" s="8" t="s">
        <v>203</v>
      </c>
      <c r="E20" s="8" t="s">
        <v>176</v>
      </c>
      <c r="F20" s="243" t="s">
        <v>100</v>
      </c>
      <c r="G20" s="8" t="s">
        <v>104</v>
      </c>
      <c r="H20" s="8" t="s">
        <v>105</v>
      </c>
      <c r="I20" s="466" t="s">
        <v>203</v>
      </c>
      <c r="J20" s="466" t="s">
        <v>176</v>
      </c>
      <c r="K20" s="243" t="s">
        <v>100</v>
      </c>
      <c r="L20" s="242" t="s">
        <v>104</v>
      </c>
      <c r="M20" s="236" t="s">
        <v>105</v>
      </c>
      <c r="N20" s="466" t="s">
        <v>203</v>
      </c>
      <c r="O20" s="466" t="s">
        <v>176</v>
      </c>
      <c r="P20" s="243" t="s">
        <v>100</v>
      </c>
    </row>
    <row r="21" spans="1:16" ht="14.1" customHeight="1" x14ac:dyDescent="0.2">
      <c r="A21" s="246" t="s">
        <v>106</v>
      </c>
      <c r="B21" s="516">
        <f>+[2]Charter!$B$21</f>
        <v>129673</v>
      </c>
      <c r="C21" s="517">
        <f>+[2]Charter!$C$21</f>
        <v>127074</v>
      </c>
      <c r="D21" s="337">
        <f t="shared" ref="D21:D32" si="0">SUM(B21:C21)</f>
        <v>256747</v>
      </c>
      <c r="E21" s="338">
        <f>[4]Charter!$D$21</f>
        <v>268275</v>
      </c>
      <c r="F21" s="341">
        <f t="shared" ref="F21:F32" si="1">(D21-E21)/E21</f>
        <v>-4.2970832168483832E-2</v>
      </c>
      <c r="G21" s="336">
        <f>L21-B21</f>
        <v>1206061</v>
      </c>
      <c r="H21" s="337">
        <f>M21-C21</f>
        <v>1229618</v>
      </c>
      <c r="I21" s="337">
        <f>SUM(G21:H21)</f>
        <v>2435679</v>
      </c>
      <c r="J21" s="338">
        <f>[4]Charter!$I$21</f>
        <v>2429109</v>
      </c>
      <c r="K21" s="247">
        <f t="shared" ref="K21:K32" si="2">(I21-J21)/J21</f>
        <v>2.7046954253596689E-3</v>
      </c>
      <c r="L21" s="336">
        <f>+[2]Charter!$L$21</f>
        <v>1335734</v>
      </c>
      <c r="M21" s="337">
        <f>+[2]Charter!$M$21</f>
        <v>1356692</v>
      </c>
      <c r="N21" s="337">
        <f t="shared" ref="N21:N32" si="3">SUM(L21:M21)</f>
        <v>2692426</v>
      </c>
      <c r="O21" s="338">
        <f>[4]Charter!$N$21</f>
        <v>2697384</v>
      </c>
      <c r="P21" s="247">
        <f>(N21-O21)/O21</f>
        <v>-1.8380771888615044E-3</v>
      </c>
    </row>
    <row r="22" spans="1:16" ht="14.1" customHeight="1" x14ac:dyDescent="0.2">
      <c r="A22" s="248" t="s">
        <v>107</v>
      </c>
      <c r="B22" s="332">
        <f>'Intl Detail'!$O$4+'Intl Detail'!$O$9</f>
        <v>134960</v>
      </c>
      <c r="C22" s="334">
        <f>'Intl Detail'!$O$5+'Intl Detail'!$O$10</f>
        <v>137503</v>
      </c>
      <c r="D22" s="333">
        <f t="shared" si="0"/>
        <v>272463</v>
      </c>
      <c r="E22" s="340">
        <f>[1]Charter!$D$22</f>
        <v>281871</v>
      </c>
      <c r="F22" s="335">
        <f t="shared" si="1"/>
        <v>-3.3376970316208475E-2</v>
      </c>
      <c r="G22" s="332">
        <f>L22-B22</f>
        <v>1162157</v>
      </c>
      <c r="H22" s="334">
        <f>M22-C22</f>
        <v>1175802</v>
      </c>
      <c r="I22" s="333">
        <f>SUM(G22:H22)</f>
        <v>2337959</v>
      </c>
      <c r="J22" s="340">
        <f>[1]Charter!$I$22</f>
        <v>2359956</v>
      </c>
      <c r="K22" s="250">
        <f t="shared" si="2"/>
        <v>-9.3209364920362921E-3</v>
      </c>
      <c r="L22" s="332">
        <f>'Monthly Summary'!$B$11</f>
        <v>1297117</v>
      </c>
      <c r="M22" s="334">
        <f>'Monthly Summary'!$C$11</f>
        <v>1313305</v>
      </c>
      <c r="N22" s="333">
        <f t="shared" si="3"/>
        <v>2610422</v>
      </c>
      <c r="O22" s="340">
        <f>[1]Charter!$N$22</f>
        <v>2641827</v>
      </c>
      <c r="P22" s="249">
        <f t="shared" ref="P22:P32" si="4">(N22-O22)/O22</f>
        <v>-1.1887606569241664E-2</v>
      </c>
    </row>
    <row r="23" spans="1:16" ht="14.1" customHeight="1" x14ac:dyDescent="0.2">
      <c r="A23" s="248" t="s">
        <v>108</v>
      </c>
      <c r="B23" s="332"/>
      <c r="C23" s="334"/>
      <c r="D23" s="333">
        <f t="shared" si="0"/>
        <v>0</v>
      </c>
      <c r="E23" s="339"/>
      <c r="F23" s="249" t="e">
        <f t="shared" si="1"/>
        <v>#DIV/0!</v>
      </c>
      <c r="G23" s="332"/>
      <c r="H23" s="334"/>
      <c r="I23" s="333">
        <f>SUM(G23:H23)</f>
        <v>0</v>
      </c>
      <c r="J23" s="339"/>
      <c r="K23" s="250" t="e">
        <f t="shared" si="2"/>
        <v>#DIV/0!</v>
      </c>
      <c r="L23" s="332"/>
      <c r="M23" s="334"/>
      <c r="N23" s="333">
        <f t="shared" si="3"/>
        <v>0</v>
      </c>
      <c r="O23" s="339"/>
      <c r="P23" s="249" t="e">
        <f t="shared" si="4"/>
        <v>#DIV/0!</v>
      </c>
    </row>
    <row r="24" spans="1:16" ht="14.1" customHeight="1" x14ac:dyDescent="0.2">
      <c r="A24" s="248" t="s">
        <v>109</v>
      </c>
      <c r="B24" s="332"/>
      <c r="C24" s="334"/>
      <c r="D24" s="333">
        <f t="shared" si="0"/>
        <v>0</v>
      </c>
      <c r="E24" s="339"/>
      <c r="F24" s="249" t="e">
        <f t="shared" si="1"/>
        <v>#DIV/0!</v>
      </c>
      <c r="G24" s="332"/>
      <c r="H24" s="334"/>
      <c r="I24" s="333">
        <f>SUM(G24:H24)</f>
        <v>0</v>
      </c>
      <c r="J24" s="339"/>
      <c r="K24" s="250" t="e">
        <f t="shared" si="2"/>
        <v>#DIV/0!</v>
      </c>
      <c r="L24" s="332"/>
      <c r="M24" s="334"/>
      <c r="N24" s="333">
        <f t="shared" si="3"/>
        <v>0</v>
      </c>
      <c r="O24" s="339"/>
      <c r="P24" s="249" t="e">
        <f t="shared" si="4"/>
        <v>#DIV/0!</v>
      </c>
    </row>
    <row r="25" spans="1:16" ht="14.1" customHeight="1" x14ac:dyDescent="0.2">
      <c r="A25" s="235" t="s">
        <v>77</v>
      </c>
      <c r="B25" s="332"/>
      <c r="C25" s="334"/>
      <c r="D25" s="333">
        <f t="shared" si="0"/>
        <v>0</v>
      </c>
      <c r="E25" s="339"/>
      <c r="F25" s="238" t="e">
        <f t="shared" si="1"/>
        <v>#DIV/0!</v>
      </c>
      <c r="G25" s="332"/>
      <c r="H25" s="334"/>
      <c r="I25" s="333">
        <f t="shared" ref="I25:I32" si="5">SUM(G25:H25)</f>
        <v>0</v>
      </c>
      <c r="J25" s="339"/>
      <c r="K25" s="244" t="e">
        <f t="shared" si="2"/>
        <v>#DIV/0!</v>
      </c>
      <c r="L25" s="332"/>
      <c r="M25" s="334"/>
      <c r="N25" s="333">
        <f t="shared" si="3"/>
        <v>0</v>
      </c>
      <c r="O25" s="339"/>
      <c r="P25" s="238" t="e">
        <f t="shared" si="4"/>
        <v>#DIV/0!</v>
      </c>
    </row>
    <row r="26" spans="1:16" ht="14.1" customHeight="1" x14ac:dyDescent="0.2">
      <c r="A26" s="248" t="s">
        <v>110</v>
      </c>
      <c r="B26" s="332"/>
      <c r="C26" s="334"/>
      <c r="D26" s="333">
        <f t="shared" si="0"/>
        <v>0</v>
      </c>
      <c r="E26" s="339"/>
      <c r="F26" s="249" t="e">
        <f t="shared" si="1"/>
        <v>#DIV/0!</v>
      </c>
      <c r="G26" s="332"/>
      <c r="H26" s="334"/>
      <c r="I26" s="333">
        <f t="shared" si="5"/>
        <v>0</v>
      </c>
      <c r="J26" s="339"/>
      <c r="K26" s="250" t="e">
        <f t="shared" si="2"/>
        <v>#DIV/0!</v>
      </c>
      <c r="L26" s="332"/>
      <c r="M26" s="334"/>
      <c r="N26" s="333">
        <f t="shared" si="3"/>
        <v>0</v>
      </c>
      <c r="O26" s="339"/>
      <c r="P26" s="249" t="e">
        <f t="shared" si="4"/>
        <v>#DIV/0!</v>
      </c>
    </row>
    <row r="27" spans="1:16" ht="14.1" customHeight="1" x14ac:dyDescent="0.2">
      <c r="A27" s="235" t="s">
        <v>111</v>
      </c>
      <c r="B27" s="332"/>
      <c r="C27" s="334"/>
      <c r="D27" s="333">
        <f t="shared" si="0"/>
        <v>0</v>
      </c>
      <c r="E27" s="339"/>
      <c r="F27" s="238" t="e">
        <f t="shared" si="1"/>
        <v>#DIV/0!</v>
      </c>
      <c r="G27" s="332"/>
      <c r="H27" s="334"/>
      <c r="I27" s="333">
        <f t="shared" si="5"/>
        <v>0</v>
      </c>
      <c r="J27" s="339"/>
      <c r="K27" s="244" t="e">
        <f t="shared" si="2"/>
        <v>#DIV/0!</v>
      </c>
      <c r="L27" s="332"/>
      <c r="M27" s="334"/>
      <c r="N27" s="333">
        <f t="shared" si="3"/>
        <v>0</v>
      </c>
      <c r="O27" s="339"/>
      <c r="P27" s="238" t="e">
        <f t="shared" si="4"/>
        <v>#DIV/0!</v>
      </c>
    </row>
    <row r="28" spans="1:16" ht="14.1" customHeight="1" x14ac:dyDescent="0.2">
      <c r="A28" s="248" t="s">
        <v>112</v>
      </c>
      <c r="B28" s="332"/>
      <c r="C28" s="334"/>
      <c r="D28" s="333">
        <f t="shared" si="0"/>
        <v>0</v>
      </c>
      <c r="E28" s="339"/>
      <c r="F28" s="249" t="e">
        <f t="shared" si="1"/>
        <v>#DIV/0!</v>
      </c>
      <c r="G28" s="332"/>
      <c r="H28" s="334"/>
      <c r="I28" s="333">
        <f t="shared" si="5"/>
        <v>0</v>
      </c>
      <c r="J28" s="339"/>
      <c r="K28" s="250" t="e">
        <f t="shared" si="2"/>
        <v>#DIV/0!</v>
      </c>
      <c r="L28" s="332"/>
      <c r="M28" s="334"/>
      <c r="N28" s="333">
        <f t="shared" si="3"/>
        <v>0</v>
      </c>
      <c r="O28" s="339"/>
      <c r="P28" s="249" t="e">
        <f t="shared" si="4"/>
        <v>#DIV/0!</v>
      </c>
    </row>
    <row r="29" spans="1:16" ht="14.1" customHeight="1" x14ac:dyDescent="0.2">
      <c r="A29" s="235" t="s">
        <v>113</v>
      </c>
      <c r="B29" s="332"/>
      <c r="C29" s="334"/>
      <c r="D29" s="333">
        <f t="shared" si="0"/>
        <v>0</v>
      </c>
      <c r="E29" s="339"/>
      <c r="F29" s="238" t="e">
        <f t="shared" si="1"/>
        <v>#DIV/0!</v>
      </c>
      <c r="G29" s="332"/>
      <c r="H29" s="334"/>
      <c r="I29" s="333">
        <f t="shared" si="5"/>
        <v>0</v>
      </c>
      <c r="J29" s="339"/>
      <c r="K29" s="244" t="e">
        <f t="shared" si="2"/>
        <v>#DIV/0!</v>
      </c>
      <c r="L29" s="332"/>
      <c r="M29" s="334"/>
      <c r="N29" s="333">
        <f t="shared" si="3"/>
        <v>0</v>
      </c>
      <c r="O29" s="339"/>
      <c r="P29" s="238" t="e">
        <f t="shared" si="4"/>
        <v>#DIV/0!</v>
      </c>
    </row>
    <row r="30" spans="1:16" ht="14.1" customHeight="1" x14ac:dyDescent="0.2">
      <c r="A30" s="248" t="s">
        <v>114</v>
      </c>
      <c r="B30" s="332"/>
      <c r="C30" s="334"/>
      <c r="D30" s="333">
        <f>SUM(B30:C30)</f>
        <v>0</v>
      </c>
      <c r="E30" s="339"/>
      <c r="F30" s="249" t="e">
        <f t="shared" si="1"/>
        <v>#DIV/0!</v>
      </c>
      <c r="G30" s="332"/>
      <c r="H30" s="334"/>
      <c r="I30" s="333">
        <f>SUM(G30:H30)</f>
        <v>0</v>
      </c>
      <c r="J30" s="339"/>
      <c r="K30" s="250" t="e">
        <f t="shared" si="2"/>
        <v>#DIV/0!</v>
      </c>
      <c r="L30" s="332"/>
      <c r="M30" s="334"/>
      <c r="N30" s="333">
        <f>SUM(L30:M30)</f>
        <v>0</v>
      </c>
      <c r="O30" s="339"/>
      <c r="P30" s="249" t="e">
        <f t="shared" si="4"/>
        <v>#DIV/0!</v>
      </c>
    </row>
    <row r="31" spans="1:16" ht="14.1" customHeight="1" x14ac:dyDescent="0.2">
      <c r="A31" s="235" t="s">
        <v>115</v>
      </c>
      <c r="B31" s="332"/>
      <c r="C31" s="334"/>
      <c r="D31" s="333">
        <f>SUM(B31:C31)</f>
        <v>0</v>
      </c>
      <c r="E31" s="339"/>
      <c r="F31" s="238" t="e">
        <f t="shared" si="1"/>
        <v>#DIV/0!</v>
      </c>
      <c r="G31" s="332"/>
      <c r="H31" s="334"/>
      <c r="I31" s="333">
        <f t="shared" si="5"/>
        <v>0</v>
      </c>
      <c r="J31" s="339"/>
      <c r="K31" s="244" t="e">
        <f t="shared" si="2"/>
        <v>#DIV/0!</v>
      </c>
      <c r="L31" s="332"/>
      <c r="M31" s="334"/>
      <c r="N31" s="333">
        <f>SUM(L31:M31)</f>
        <v>0</v>
      </c>
      <c r="O31" s="339"/>
      <c r="P31" s="238" t="e">
        <f t="shared" si="4"/>
        <v>#DIV/0!</v>
      </c>
    </row>
    <row r="32" spans="1:16" ht="14.1" customHeight="1" x14ac:dyDescent="0.2">
      <c r="A32" s="251" t="s">
        <v>116</v>
      </c>
      <c r="B32" s="332"/>
      <c r="C32" s="334"/>
      <c r="D32" s="161">
        <f t="shared" si="0"/>
        <v>0</v>
      </c>
      <c r="E32" s="339"/>
      <c r="F32" s="252" t="e">
        <f t="shared" si="1"/>
        <v>#DIV/0!</v>
      </c>
      <c r="G32" s="253"/>
      <c r="H32" s="161"/>
      <c r="I32" s="161">
        <f t="shared" si="5"/>
        <v>0</v>
      </c>
      <c r="J32" s="339"/>
      <c r="K32" s="252" t="e">
        <f t="shared" si="2"/>
        <v>#DIV/0!</v>
      </c>
      <c r="L32" s="332"/>
      <c r="M32" s="334"/>
      <c r="N32" s="161">
        <f t="shared" si="3"/>
        <v>0</v>
      </c>
      <c r="O32" s="339"/>
      <c r="P32" s="252" t="e">
        <f t="shared" si="4"/>
        <v>#DIV/0!</v>
      </c>
    </row>
    <row r="33" spans="1:16" ht="13.5" thickBot="1" x14ac:dyDescent="0.25">
      <c r="A33" s="245" t="s">
        <v>78</v>
      </c>
      <c r="B33" s="255">
        <f>SUM(B21:B32)</f>
        <v>264633</v>
      </c>
      <c r="C33" s="256">
        <f>SUM(C21:C32)</f>
        <v>264577</v>
      </c>
      <c r="D33" s="256">
        <f>SUM(D21:D32)</f>
        <v>529210</v>
      </c>
      <c r="E33" s="257">
        <f>SUM(E21:E32)</f>
        <v>550146</v>
      </c>
      <c r="F33" s="240">
        <f>(D33-E33)/E33</f>
        <v>-3.805535257913354E-2</v>
      </c>
      <c r="G33" s="258">
        <f>SUM(G21:G32)</f>
        <v>2368218</v>
      </c>
      <c r="H33" s="256">
        <f>SUM(H21:H32)</f>
        <v>2405420</v>
      </c>
      <c r="I33" s="256">
        <f>SUM(I21:I32)</f>
        <v>4773638</v>
      </c>
      <c r="J33" s="259">
        <f>SUM(J21:J32)</f>
        <v>4789065</v>
      </c>
      <c r="K33" s="241">
        <f>(I33-J33)/J33</f>
        <v>-3.2212968502202412E-3</v>
      </c>
      <c r="L33" s="258">
        <f>SUM(L21:L32)</f>
        <v>2632851</v>
      </c>
      <c r="M33" s="256">
        <f>SUM(M21:M32)</f>
        <v>2669997</v>
      </c>
      <c r="N33" s="256">
        <f>SUM(N21:N32)</f>
        <v>5302848</v>
      </c>
      <c r="O33" s="257">
        <f>SUM(O21:O32)</f>
        <v>5339211</v>
      </c>
      <c r="P33" s="239">
        <f>(N33-O33)/O33</f>
        <v>-6.8105568407017441E-3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February 2017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H9" sqref="H9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39"/>
      <c r="C1" s="539"/>
      <c r="D1" s="539"/>
      <c r="E1" s="464"/>
      <c r="F1" s="540" t="s">
        <v>95</v>
      </c>
      <c r="G1" s="541"/>
      <c r="H1" s="541"/>
      <c r="I1" s="541"/>
      <c r="J1" s="541"/>
      <c r="K1" s="541"/>
      <c r="L1" s="542"/>
    </row>
    <row r="2" spans="1:20" s="191" customFormat="1" ht="30.75" customHeight="1" thickBot="1" x14ac:dyDescent="0.25">
      <c r="A2" s="384">
        <v>42767</v>
      </c>
      <c r="B2" s="451" t="s">
        <v>198</v>
      </c>
      <c r="C2" s="8" t="s">
        <v>83</v>
      </c>
      <c r="D2" s="8" t="s">
        <v>84</v>
      </c>
      <c r="E2" s="199"/>
      <c r="F2" s="180" t="s">
        <v>85</v>
      </c>
      <c r="G2" s="180" t="s">
        <v>199</v>
      </c>
      <c r="H2" s="180" t="s">
        <v>168</v>
      </c>
      <c r="I2" s="102" t="s">
        <v>86</v>
      </c>
      <c r="J2" s="8" t="s">
        <v>87</v>
      </c>
      <c r="K2" s="180" t="s">
        <v>88</v>
      </c>
      <c r="L2" s="180" t="s">
        <v>131</v>
      </c>
      <c r="M2" s="180" t="s">
        <v>21</v>
      </c>
    </row>
    <row r="3" spans="1:20" ht="15" x14ac:dyDescent="0.25">
      <c r="A3" s="200" t="s">
        <v>225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54</v>
      </c>
      <c r="B4" s="161">
        <f>[3]DHL!$FA$4</f>
        <v>20</v>
      </c>
      <c r="C4" s="161">
        <f>[3]FedEx!$FA$4+[3]FedEx!$FA$15</f>
        <v>84</v>
      </c>
      <c r="D4" s="161">
        <f>[3]UPS!$FA$4+[3]UPS!$FA$15</f>
        <v>98</v>
      </c>
      <c r="E4" s="192"/>
      <c r="F4" s="118">
        <f>[3]ATI_BAX!$FA$4</f>
        <v>0</v>
      </c>
      <c r="G4" s="161">
        <f>[3]IFL!$FA$4+[3]IFL!$FA$15</f>
        <v>32</v>
      </c>
      <c r="H4" s="118">
        <f>'[3]Suburban Air Freight'!$FA$15</f>
        <v>20</v>
      </c>
      <c r="I4" s="118">
        <f>[3]Bemidji!$FA$4</f>
        <v>246</v>
      </c>
      <c r="J4" s="118">
        <f>'[3]CSA Air'!$FA$4</f>
        <v>21</v>
      </c>
      <c r="K4" s="118">
        <f>'[3]Mountain Cargo'!$FA$4</f>
        <v>17</v>
      </c>
      <c r="L4" s="118">
        <f>'[3]Misc Cargo'!$FA$4</f>
        <v>20</v>
      </c>
      <c r="M4" s="204">
        <f>SUM(B4:L4)</f>
        <v>558</v>
      </c>
    </row>
    <row r="5" spans="1:20" x14ac:dyDescent="0.2">
      <c r="A5" s="53" t="s">
        <v>55</v>
      </c>
      <c r="B5" s="198">
        <f>[3]DHL!$FA$5</f>
        <v>20</v>
      </c>
      <c r="C5" s="198">
        <f>[3]FedEx!$FA$5</f>
        <v>84</v>
      </c>
      <c r="D5" s="198">
        <f>[3]UPS!$FA$5+[3]UPS!$FA$16</f>
        <v>98</v>
      </c>
      <c r="E5" s="192"/>
      <c r="F5" s="120">
        <f>[3]ATI_BAX!$FA$5</f>
        <v>0</v>
      </c>
      <c r="G5" s="198">
        <f>[3]IFL!$FA$5</f>
        <v>32</v>
      </c>
      <c r="H5" s="120">
        <f>'[3]Suburban Air Freight'!$FA$16</f>
        <v>20</v>
      </c>
      <c r="I5" s="120">
        <f>[3]Bemidji!$FA$5</f>
        <v>246</v>
      </c>
      <c r="J5" s="120">
        <f>'[3]CSA Air'!$FA$5</f>
        <v>21</v>
      </c>
      <c r="K5" s="120">
        <f>'[3]Mountain Cargo'!$FA$5</f>
        <v>17</v>
      </c>
      <c r="L5" s="120">
        <f>'[3]Misc Cargo'!$FA$5</f>
        <v>20</v>
      </c>
      <c r="M5" s="208">
        <f>SUM(B5:L5)</f>
        <v>558</v>
      </c>
    </row>
    <row r="6" spans="1:20" s="189" customFormat="1" x14ac:dyDescent="0.2">
      <c r="A6" s="205" t="s">
        <v>56</v>
      </c>
      <c r="B6" s="206">
        <f>SUM(B4:B5)</f>
        <v>40</v>
      </c>
      <c r="C6" s="206">
        <f>SUM(C4:C5)</f>
        <v>168</v>
      </c>
      <c r="D6" s="206">
        <f>SUM(D4:D5)</f>
        <v>196</v>
      </c>
      <c r="E6" s="193"/>
      <c r="F6" s="188">
        <f t="shared" ref="F6:L6" si="0">SUM(F4:F5)</f>
        <v>0</v>
      </c>
      <c r="G6" s="206">
        <f>SUM(G4:G5)</f>
        <v>64</v>
      </c>
      <c r="H6" s="188">
        <f t="shared" si="0"/>
        <v>40</v>
      </c>
      <c r="I6" s="188">
        <f t="shared" si="0"/>
        <v>492</v>
      </c>
      <c r="J6" s="188">
        <f t="shared" si="0"/>
        <v>42</v>
      </c>
      <c r="K6" s="188">
        <f t="shared" si="0"/>
        <v>34</v>
      </c>
      <c r="L6" s="188">
        <f t="shared" si="0"/>
        <v>40</v>
      </c>
      <c r="M6" s="207">
        <f>SUM(B6:L6)</f>
        <v>1116</v>
      </c>
    </row>
    <row r="7" spans="1:20" x14ac:dyDescent="0.2">
      <c r="A7" s="53"/>
      <c r="B7" s="161"/>
      <c r="C7" s="161"/>
      <c r="D7" s="161"/>
      <c r="E7" s="192"/>
      <c r="F7" s="118"/>
      <c r="G7" s="161"/>
      <c r="H7" s="118"/>
      <c r="I7" s="118"/>
      <c r="J7" s="118"/>
      <c r="K7" s="118"/>
      <c r="L7" s="118"/>
      <c r="M7" s="204"/>
    </row>
    <row r="8" spans="1:20" x14ac:dyDescent="0.2">
      <c r="A8" s="53" t="s">
        <v>57</v>
      </c>
      <c r="B8" s="161"/>
      <c r="C8" s="161"/>
      <c r="D8" s="161"/>
      <c r="E8" s="192"/>
      <c r="F8" s="118"/>
      <c r="G8" s="161"/>
      <c r="H8" s="118"/>
      <c r="I8" s="118"/>
      <c r="J8" s="118"/>
      <c r="K8" s="118"/>
      <c r="L8" s="118">
        <f>'[3]Misc Cargo'!$FA$8</f>
        <v>0</v>
      </c>
      <c r="M8" s="204">
        <f>SUM(B8:L8)</f>
        <v>0</v>
      </c>
    </row>
    <row r="9" spans="1:20" ht="15" x14ac:dyDescent="0.25">
      <c r="A9" s="53" t="s">
        <v>58</v>
      </c>
      <c r="B9" s="198"/>
      <c r="C9" s="198"/>
      <c r="D9" s="198"/>
      <c r="E9" s="192"/>
      <c r="F9" s="120"/>
      <c r="G9" s="198"/>
      <c r="H9" s="120"/>
      <c r="I9" s="120"/>
      <c r="J9" s="120"/>
      <c r="K9" s="120"/>
      <c r="L9" s="120">
        <f>'[3]Misc Cargo'!$FA$9</f>
        <v>0</v>
      </c>
      <c r="M9" s="208">
        <f>SUM(B9:L9)</f>
        <v>0</v>
      </c>
      <c r="P9" s="15"/>
      <c r="Q9" s="327"/>
      <c r="R9" s="327"/>
      <c r="S9" s="327"/>
      <c r="T9" s="327"/>
    </row>
    <row r="10" spans="1:20" s="189" customFormat="1" x14ac:dyDescent="0.2">
      <c r="A10" s="205" t="s">
        <v>59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1">SUM(F8:F9)</f>
        <v>0</v>
      </c>
      <c r="G10" s="206">
        <f>SUM(G8:G9)</f>
        <v>0</v>
      </c>
      <c r="H10" s="188">
        <f t="shared" si="1"/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61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28</v>
      </c>
      <c r="B12" s="210">
        <f>B6+B10</f>
        <v>40</v>
      </c>
      <c r="C12" s="210">
        <f>C6+C10</f>
        <v>168</v>
      </c>
      <c r="D12" s="210">
        <f>D6+D10</f>
        <v>196</v>
      </c>
      <c r="E12" s="211"/>
      <c r="F12" s="212">
        <f t="shared" ref="F12:L12" si="2">F6+F10</f>
        <v>0</v>
      </c>
      <c r="G12" s="210">
        <f>G6+G10</f>
        <v>64</v>
      </c>
      <c r="H12" s="212">
        <f t="shared" si="2"/>
        <v>40</v>
      </c>
      <c r="I12" s="212">
        <f t="shared" si="2"/>
        <v>492</v>
      </c>
      <c r="J12" s="212">
        <f t="shared" si="2"/>
        <v>42</v>
      </c>
      <c r="K12" s="212">
        <f t="shared" si="2"/>
        <v>34</v>
      </c>
      <c r="L12" s="212">
        <f t="shared" si="2"/>
        <v>40</v>
      </c>
      <c r="M12" s="213">
        <f>SUM(B12:L12)</f>
        <v>1116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4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96</v>
      </c>
      <c r="B14" s="215"/>
      <c r="C14" s="215"/>
      <c r="D14" s="215"/>
      <c r="E14" s="216"/>
      <c r="F14" s="175"/>
      <c r="G14" s="215"/>
      <c r="H14" s="175"/>
      <c r="I14" s="81"/>
      <c r="J14" s="81"/>
      <c r="K14" s="81"/>
      <c r="L14" s="81"/>
      <c r="M14" s="217"/>
    </row>
    <row r="15" spans="1:20" x14ac:dyDescent="0.2">
      <c r="A15" s="218" t="s">
        <v>97</v>
      </c>
      <c r="B15" s="161"/>
      <c r="C15" s="161"/>
      <c r="D15" s="161"/>
      <c r="E15" s="192"/>
      <c r="F15" s="118"/>
      <c r="G15" s="161"/>
      <c r="H15" s="118"/>
      <c r="I15" s="5"/>
      <c r="J15" s="5"/>
      <c r="K15" s="5"/>
      <c r="L15" s="5"/>
      <c r="M15" s="179"/>
    </row>
    <row r="16" spans="1:20" x14ac:dyDescent="0.2">
      <c r="A16" s="53" t="s">
        <v>37</v>
      </c>
      <c r="B16" s="161">
        <f>[3]DHL!$FA$47</f>
        <v>553191</v>
      </c>
      <c r="C16" s="161">
        <f>[3]FedEx!$FA$47</f>
        <v>7771008</v>
      </c>
      <c r="D16" s="161">
        <f>[3]UPS!$FA$47</f>
        <v>4541939</v>
      </c>
      <c r="E16" s="192"/>
      <c r="F16" s="118">
        <f>[3]ATI_BAX!$FA$47</f>
        <v>0</v>
      </c>
      <c r="G16" s="161">
        <f>[3]IFL!$FA$47</f>
        <v>42868</v>
      </c>
      <c r="H16" s="118">
        <f>'[3]Suburban Air Freight'!$FA$47</f>
        <v>20591</v>
      </c>
      <c r="I16" s="536" t="s">
        <v>89</v>
      </c>
      <c r="J16" s="118">
        <f>'[3]CSA Air'!$FA$47</f>
        <v>28493</v>
      </c>
      <c r="K16" s="118">
        <f>'[3]Mountain Cargo'!$FA$47</f>
        <v>32672</v>
      </c>
      <c r="L16" s="118">
        <f>'[3]Misc Cargo'!$FA$47</f>
        <v>50324</v>
      </c>
      <c r="M16" s="204">
        <f>SUM(B16:H16)+SUM(J16:L16)</f>
        <v>13041086</v>
      </c>
    </row>
    <row r="17" spans="1:14" x14ac:dyDescent="0.2">
      <c r="A17" s="53" t="s">
        <v>38</v>
      </c>
      <c r="B17" s="161">
        <f>[3]DHL!$FA$48</f>
        <v>0</v>
      </c>
      <c r="C17" s="161">
        <f>[3]FedEx!$FA$48</f>
        <v>0</v>
      </c>
      <c r="D17" s="161">
        <f>[3]UPS!$FA$48</f>
        <v>698</v>
      </c>
      <c r="E17" s="192"/>
      <c r="F17" s="118">
        <f>[3]ATI_BAX!$FA$48</f>
        <v>0</v>
      </c>
      <c r="G17" s="161">
        <f>[3]IFL!$FA$48</f>
        <v>0</v>
      </c>
      <c r="H17" s="118">
        <f>'[3]Suburban Air Freight'!$FA$48</f>
        <v>0</v>
      </c>
      <c r="I17" s="537"/>
      <c r="J17" s="118">
        <f>'[3]CSA Air'!$FA$48</f>
        <v>0</v>
      </c>
      <c r="K17" s="118">
        <f>'[3]Mountain Cargo'!$FA$48</f>
        <v>0</v>
      </c>
      <c r="L17" s="118">
        <f>'[3]Misc Cargo'!$FA$48</f>
        <v>0</v>
      </c>
      <c r="M17" s="204">
        <f>SUM(B17:H17)+SUM(J17:L17)</f>
        <v>698</v>
      </c>
    </row>
    <row r="18" spans="1:14" ht="18" customHeight="1" x14ac:dyDescent="0.2">
      <c r="A18" s="219" t="s">
        <v>39</v>
      </c>
      <c r="B18" s="302">
        <f>SUM(B16:B17)</f>
        <v>553191</v>
      </c>
      <c r="C18" s="302">
        <f>SUM(C16:C17)</f>
        <v>7771008</v>
      </c>
      <c r="D18" s="302">
        <f>SUM(D16:D17)</f>
        <v>4542637</v>
      </c>
      <c r="E18" s="197"/>
      <c r="F18" s="303">
        <f>SUM(F16:F17)</f>
        <v>0</v>
      </c>
      <c r="G18" s="302">
        <f>SUM(G16:G17)</f>
        <v>42868</v>
      </c>
      <c r="H18" s="303">
        <f>SUM(H16:H17)</f>
        <v>20591</v>
      </c>
      <c r="I18" s="537"/>
      <c r="J18" s="303">
        <f>SUM(J16:J17)</f>
        <v>28493</v>
      </c>
      <c r="K18" s="303">
        <f>SUM(K16:K17)</f>
        <v>32672</v>
      </c>
      <c r="L18" s="303">
        <f>SUM(L16:L17)</f>
        <v>50324</v>
      </c>
      <c r="M18" s="220">
        <f>SUM(B18:H18)+SUM(J18:L18)</f>
        <v>13041784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61"/>
      <c r="H19" s="118"/>
      <c r="I19" s="537"/>
      <c r="J19" s="118"/>
      <c r="K19" s="118"/>
      <c r="L19" s="118"/>
      <c r="M19" s="204"/>
    </row>
    <row r="20" spans="1:14" x14ac:dyDescent="0.2">
      <c r="A20" s="221" t="s">
        <v>90</v>
      </c>
      <c r="B20" s="161"/>
      <c r="C20" s="161"/>
      <c r="D20" s="161"/>
      <c r="E20" s="192"/>
      <c r="F20" s="118"/>
      <c r="G20" s="161"/>
      <c r="H20" s="118"/>
      <c r="I20" s="537"/>
      <c r="J20" s="118"/>
      <c r="K20" s="118"/>
      <c r="L20" s="118"/>
      <c r="M20" s="204"/>
    </row>
    <row r="21" spans="1:14" x14ac:dyDescent="0.2">
      <c r="A21" s="53" t="s">
        <v>60</v>
      </c>
      <c r="B21" s="161">
        <f>[3]DHL!$FA$52</f>
        <v>513901</v>
      </c>
      <c r="C21" s="161">
        <f>[3]FedEx!$FA$52</f>
        <v>7657524</v>
      </c>
      <c r="D21" s="161">
        <f>[3]UPS!$FA$52</f>
        <v>4073323</v>
      </c>
      <c r="E21" s="192"/>
      <c r="F21" s="118">
        <f>[3]ATI_BAX!$FA$52</f>
        <v>0</v>
      </c>
      <c r="G21" s="161">
        <f>[3]IFL!$FA$52</f>
        <v>39944</v>
      </c>
      <c r="H21" s="118">
        <f>'[3]Suburban Air Freight'!$FA$52</f>
        <v>63445</v>
      </c>
      <c r="I21" s="537"/>
      <c r="J21" s="118">
        <f>'[3]CSA Air'!$FA$52</f>
        <v>31442</v>
      </c>
      <c r="K21" s="118">
        <f>'[3]Mountain Cargo'!$FA$52</f>
        <v>110714</v>
      </c>
      <c r="L21" s="118">
        <f>'[3]Misc Cargo'!$FA$52</f>
        <v>36129</v>
      </c>
      <c r="M21" s="204">
        <f>SUM(B21:H21)+SUM(J21:L21)</f>
        <v>12526422</v>
      </c>
    </row>
    <row r="22" spans="1:14" x14ac:dyDescent="0.2">
      <c r="A22" s="53" t="s">
        <v>61</v>
      </c>
      <c r="B22" s="161">
        <f>[3]DHL!$FA$53</f>
        <v>0</v>
      </c>
      <c r="C22" s="161">
        <f>[3]FedEx!$FA$53</f>
        <v>0</v>
      </c>
      <c r="D22" s="161">
        <f>[3]UPS!$FA$53</f>
        <v>525145</v>
      </c>
      <c r="E22" s="192"/>
      <c r="F22" s="118">
        <f>[3]ATI_BAX!$FA$53</f>
        <v>0</v>
      </c>
      <c r="G22" s="161">
        <f>[3]IFL!$FA$53</f>
        <v>0</v>
      </c>
      <c r="H22" s="118">
        <f>'[3]Suburban Air Freight'!$FA$53</f>
        <v>0</v>
      </c>
      <c r="I22" s="537"/>
      <c r="J22" s="118">
        <f>'[3]CSA Air'!$FA$53</f>
        <v>0</v>
      </c>
      <c r="K22" s="118">
        <f>'[3]Mountain Cargo'!$FA$53</f>
        <v>0</v>
      </c>
      <c r="L22" s="118">
        <f>'[3]Misc Cargo'!$FA$53</f>
        <v>0</v>
      </c>
      <c r="M22" s="204">
        <f>SUM(B22:H22)+SUM(J22:L22)</f>
        <v>525145</v>
      </c>
    </row>
    <row r="23" spans="1:14" ht="18" customHeight="1" x14ac:dyDescent="0.2">
      <c r="A23" s="219" t="s">
        <v>41</v>
      </c>
      <c r="B23" s="302">
        <f>SUM(B21:B22)</f>
        <v>513901</v>
      </c>
      <c r="C23" s="302">
        <f>SUM(C21:C22)</f>
        <v>7657524</v>
      </c>
      <c r="D23" s="302">
        <f>SUM(D21:D22)</f>
        <v>4598468</v>
      </c>
      <c r="E23" s="197"/>
      <c r="F23" s="303">
        <f>SUM(F21:F22)</f>
        <v>0</v>
      </c>
      <c r="G23" s="302">
        <f>SUM(G21:G22)</f>
        <v>39944</v>
      </c>
      <c r="H23" s="303">
        <f>SUM(H21:H22)</f>
        <v>63445</v>
      </c>
      <c r="I23" s="537"/>
      <c r="J23" s="303">
        <f>SUM(J21:J22)</f>
        <v>31442</v>
      </c>
      <c r="K23" s="303">
        <f>SUM(K21:K22)</f>
        <v>110714</v>
      </c>
      <c r="L23" s="303">
        <f>SUM(L21:L22)</f>
        <v>36129</v>
      </c>
      <c r="M23" s="220">
        <f>SUM(B23:H23)+SUM(J23:L23)</f>
        <v>13051567</v>
      </c>
    </row>
    <row r="24" spans="1:14" x14ac:dyDescent="0.2">
      <c r="A24" s="53"/>
      <c r="B24" s="161"/>
      <c r="C24" s="161"/>
      <c r="D24" s="161"/>
      <c r="E24" s="192"/>
      <c r="F24" s="118"/>
      <c r="G24" s="161"/>
      <c r="H24" s="118"/>
      <c r="I24" s="537"/>
      <c r="J24" s="118"/>
      <c r="K24" s="118"/>
      <c r="L24" s="118"/>
      <c r="M24" s="204"/>
    </row>
    <row r="25" spans="1:14" x14ac:dyDescent="0.2">
      <c r="A25" s="221" t="s">
        <v>98</v>
      </c>
      <c r="B25" s="161"/>
      <c r="C25" s="161"/>
      <c r="D25" s="161"/>
      <c r="E25" s="192"/>
      <c r="F25" s="118"/>
      <c r="G25" s="161"/>
      <c r="H25" s="118"/>
      <c r="I25" s="537"/>
      <c r="J25" s="118"/>
      <c r="K25" s="118"/>
      <c r="L25" s="118"/>
      <c r="M25" s="204"/>
    </row>
    <row r="26" spans="1:14" x14ac:dyDescent="0.2">
      <c r="A26" s="53" t="s">
        <v>60</v>
      </c>
      <c r="B26" s="161">
        <f>[3]DHL!$FA$57</f>
        <v>0</v>
      </c>
      <c r="C26" s="161">
        <f>[3]FedEx!$FA$57</f>
        <v>0</v>
      </c>
      <c r="D26" s="161">
        <f>[3]UPS!$FA$57</f>
        <v>0</v>
      </c>
      <c r="E26" s="192"/>
      <c r="F26" s="118">
        <f>[3]ATI_BAX!$FA$57</f>
        <v>0</v>
      </c>
      <c r="G26" s="161">
        <f>[3]IFL!$FA$57</f>
        <v>0</v>
      </c>
      <c r="H26" s="118">
        <f>'[3]Suburban Air Freight'!$FA$57</f>
        <v>0</v>
      </c>
      <c r="I26" s="537"/>
      <c r="J26" s="118">
        <f>'[3]CSA Air'!$FA$57</f>
        <v>0</v>
      </c>
      <c r="K26" s="118">
        <f>'[3]Mountain Cargo'!$FA$57</f>
        <v>0</v>
      </c>
      <c r="L26" s="118">
        <f>'[3]Misc Cargo'!$FA$57</f>
        <v>0</v>
      </c>
      <c r="M26" s="204">
        <f>SUM(B26:H26)+SUM(J26:L26)</f>
        <v>0</v>
      </c>
    </row>
    <row r="27" spans="1:14" x14ac:dyDescent="0.2">
      <c r="A27" s="53" t="s">
        <v>61</v>
      </c>
      <c r="B27" s="161">
        <f>[3]DHL!$FA$58</f>
        <v>0</v>
      </c>
      <c r="C27" s="161">
        <f>[3]FedEx!$FA$58</f>
        <v>0</v>
      </c>
      <c r="D27" s="161">
        <f>[3]UPS!$FA$58</f>
        <v>0</v>
      </c>
      <c r="E27" s="192"/>
      <c r="F27" s="118">
        <f>[3]ATI_BAX!$FA$58</f>
        <v>0</v>
      </c>
      <c r="G27" s="161">
        <f>[3]IFL!$FA$58</f>
        <v>0</v>
      </c>
      <c r="H27" s="118">
        <f>'[3]Suburban Air Freight'!$FA$58</f>
        <v>0</v>
      </c>
      <c r="I27" s="537"/>
      <c r="J27" s="118">
        <f>'[3]CSA Air'!$FA$58</f>
        <v>0</v>
      </c>
      <c r="K27" s="118">
        <f>'[3]Mountain Cargo'!$FA$58</f>
        <v>0</v>
      </c>
      <c r="L27" s="118">
        <f>'[3]Misc Cargo'!$FA$58</f>
        <v>0</v>
      </c>
      <c r="M27" s="204">
        <f>SUM(B27:H27)+SUM(J27:L27)</f>
        <v>0</v>
      </c>
    </row>
    <row r="28" spans="1:14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197"/>
      <c r="F28" s="303">
        <f>SUM(F26:F27)</f>
        <v>0</v>
      </c>
      <c r="G28" s="302">
        <f>SUM(G26:G27)</f>
        <v>0</v>
      </c>
      <c r="H28" s="303">
        <f>SUM(H26:H27)</f>
        <v>0</v>
      </c>
      <c r="I28" s="537"/>
      <c r="J28" s="303">
        <f>SUM(J26:J27)</f>
        <v>0</v>
      </c>
      <c r="K28" s="303">
        <f>SUM(K26:K27)</f>
        <v>0</v>
      </c>
      <c r="L28" s="303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61"/>
      <c r="H29" s="118"/>
      <c r="I29" s="537"/>
      <c r="J29" s="118"/>
      <c r="K29" s="118"/>
      <c r="L29" s="118"/>
      <c r="M29" s="204"/>
    </row>
    <row r="30" spans="1:14" x14ac:dyDescent="0.2">
      <c r="A30" s="222" t="s">
        <v>44</v>
      </c>
      <c r="B30" s="161"/>
      <c r="C30" s="161"/>
      <c r="D30" s="161"/>
      <c r="E30" s="192"/>
      <c r="F30" s="118"/>
      <c r="G30" s="161"/>
      <c r="H30" s="118"/>
      <c r="I30" s="537"/>
      <c r="J30" s="118"/>
      <c r="K30" s="118"/>
      <c r="L30" s="118"/>
      <c r="M30" s="204"/>
    </row>
    <row r="31" spans="1:14" x14ac:dyDescent="0.2">
      <c r="A31" s="53" t="s">
        <v>91</v>
      </c>
      <c r="B31" s="161">
        <f t="shared" ref="B31:D33" si="3">B26+B21+B16</f>
        <v>1067092</v>
      </c>
      <c r="C31" s="161">
        <f t="shared" si="3"/>
        <v>15428532</v>
      </c>
      <c r="D31" s="161">
        <f t="shared" si="3"/>
        <v>8615262</v>
      </c>
      <c r="E31" s="192"/>
      <c r="F31" s="118">
        <f t="shared" ref="F31:H33" si="4">F26+F21+F16</f>
        <v>0</v>
      </c>
      <c r="G31" s="161">
        <f t="shared" si="4"/>
        <v>82812</v>
      </c>
      <c r="H31" s="118">
        <f t="shared" si="4"/>
        <v>84036</v>
      </c>
      <c r="I31" s="537"/>
      <c r="J31" s="118">
        <f t="shared" ref="J31:L33" si="5">J26+J21+J16</f>
        <v>59935</v>
      </c>
      <c r="K31" s="118">
        <f t="shared" si="5"/>
        <v>143386</v>
      </c>
      <c r="L31" s="118">
        <f>L26+L21+L16</f>
        <v>86453</v>
      </c>
      <c r="M31" s="204">
        <f>SUM(B31:H31)+SUM(J31:L31)</f>
        <v>25567508</v>
      </c>
    </row>
    <row r="32" spans="1:14" x14ac:dyDescent="0.2">
      <c r="A32" s="53" t="s">
        <v>61</v>
      </c>
      <c r="B32" s="161">
        <f t="shared" si="3"/>
        <v>0</v>
      </c>
      <c r="C32" s="161">
        <f t="shared" si="3"/>
        <v>0</v>
      </c>
      <c r="D32" s="161">
        <f t="shared" si="3"/>
        <v>525843</v>
      </c>
      <c r="E32" s="192"/>
      <c r="F32" s="118">
        <f t="shared" si="4"/>
        <v>0</v>
      </c>
      <c r="G32" s="161">
        <f t="shared" si="4"/>
        <v>0</v>
      </c>
      <c r="H32" s="118">
        <f t="shared" si="4"/>
        <v>0</v>
      </c>
      <c r="I32" s="538"/>
      <c r="J32" s="118">
        <f t="shared" si="5"/>
        <v>0</v>
      </c>
      <c r="K32" s="118">
        <f t="shared" si="5"/>
        <v>0</v>
      </c>
      <c r="L32" s="118">
        <f>L27+L22+L17</f>
        <v>0</v>
      </c>
      <c r="M32" s="208">
        <f>SUM(B32:H32)+SUM(J32:L32)</f>
        <v>525843</v>
      </c>
    </row>
    <row r="33" spans="1:13" ht="18" customHeight="1" thickBot="1" x14ac:dyDescent="0.25">
      <c r="A33" s="209" t="s">
        <v>46</v>
      </c>
      <c r="B33" s="210">
        <f t="shared" si="3"/>
        <v>1067092</v>
      </c>
      <c r="C33" s="210">
        <f t="shared" si="3"/>
        <v>15428532</v>
      </c>
      <c r="D33" s="210">
        <f t="shared" si="3"/>
        <v>9141105</v>
      </c>
      <c r="E33" s="223"/>
      <c r="F33" s="212">
        <f t="shared" si="4"/>
        <v>0</v>
      </c>
      <c r="G33" s="210">
        <f t="shared" si="4"/>
        <v>82812</v>
      </c>
      <c r="H33" s="212">
        <f t="shared" si="4"/>
        <v>84036</v>
      </c>
      <c r="I33" s="304">
        <f>I28+I23+I18</f>
        <v>0</v>
      </c>
      <c r="J33" s="212">
        <f t="shared" si="5"/>
        <v>59935</v>
      </c>
      <c r="K33" s="212">
        <f t="shared" si="5"/>
        <v>143386</v>
      </c>
      <c r="L33" s="212">
        <f t="shared" si="5"/>
        <v>86453</v>
      </c>
      <c r="M33" s="213">
        <f>SUM(B33:H33)+SUM(J33:L33)</f>
        <v>26093351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92</v>
      </c>
      <c r="B35" s="2"/>
      <c r="C35" s="2"/>
      <c r="D35" s="2"/>
      <c r="E35" s="2"/>
    </row>
    <row r="36" spans="1:13" x14ac:dyDescent="0.2">
      <c r="A36" t="s">
        <v>93</v>
      </c>
    </row>
    <row r="37" spans="1:13" x14ac:dyDescent="0.2">
      <c r="A37" t="s">
        <v>94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February 2017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I5" sqref="I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4">
        <v>42736</v>
      </c>
      <c r="B2" s="77" t="s">
        <v>64</v>
      </c>
      <c r="C2" s="77" t="s">
        <v>65</v>
      </c>
      <c r="D2" s="77" t="s">
        <v>66</v>
      </c>
      <c r="E2" s="316" t="s">
        <v>76</v>
      </c>
      <c r="F2" s="78" t="s">
        <v>204</v>
      </c>
      <c r="G2" s="78" t="s">
        <v>177</v>
      </c>
      <c r="H2" s="79" t="s">
        <v>67</v>
      </c>
      <c r="I2" s="80" t="s">
        <v>201</v>
      </c>
      <c r="J2" s="80" t="s">
        <v>175</v>
      </c>
      <c r="K2" s="90" t="s">
        <v>2</v>
      </c>
    </row>
    <row r="3" spans="1:18" ht="20.25" customHeight="1" x14ac:dyDescent="0.2">
      <c r="A3" s="87" t="s">
        <v>68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69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70</v>
      </c>
      <c r="B5" s="169">
        <f>'Major Airline Stats'!I28</f>
        <v>4302439</v>
      </c>
      <c r="C5" s="118">
        <f>'Regional Major'!M25</f>
        <v>918</v>
      </c>
      <c r="D5" s="118">
        <f>Cargo!M16</f>
        <v>13041086</v>
      </c>
      <c r="E5" s="118">
        <f>SUM(B5:D5)</f>
        <v>17344443</v>
      </c>
      <c r="F5" s="118">
        <f>E5*0.00045359237</f>
        <v>7867.3070066999098</v>
      </c>
      <c r="G5" s="146">
        <f>'[1]Cargo Summary'!F5</f>
        <v>6706.9156659566597</v>
      </c>
      <c r="H5" s="98">
        <f>(F5-G5)/G5</f>
        <v>0.17301415412649809</v>
      </c>
      <c r="I5" s="146">
        <f>+F5+'[2]Cargo Summary'!I5</f>
        <v>15760.031969037511</v>
      </c>
      <c r="J5" s="146">
        <f>'[1]Cargo Summary'!I5</f>
        <v>11453.397397703029</v>
      </c>
      <c r="K5" s="85">
        <f>(I5-J5)/J5</f>
        <v>0.37601372080201934</v>
      </c>
      <c r="M5" s="35"/>
    </row>
    <row r="6" spans="1:18" x14ac:dyDescent="0.2">
      <c r="A6" s="62" t="s">
        <v>16</v>
      </c>
      <c r="B6" s="169">
        <f>'Major Airline Stats'!I29</f>
        <v>1561596</v>
      </c>
      <c r="C6" s="118">
        <f>'Regional Major'!M26</f>
        <v>4805</v>
      </c>
      <c r="D6" s="118">
        <f>Cargo!M17</f>
        <v>698</v>
      </c>
      <c r="E6" s="118">
        <f>SUM(B6:D6)</f>
        <v>1567099</v>
      </c>
      <c r="F6" s="118">
        <f>E6*0.00045359237</f>
        <v>710.82414943462993</v>
      </c>
      <c r="G6" s="146">
        <f>'[1]Cargo Summary'!F6</f>
        <v>501.64367771594999</v>
      </c>
      <c r="H6" s="37">
        <f>(F6-G6)/G6</f>
        <v>0.41699014860728695</v>
      </c>
      <c r="I6" s="146">
        <f>+F6+'[2]Cargo Summary'!I6</f>
        <v>1506.63200453535</v>
      </c>
      <c r="J6" s="146">
        <f>'[1]Cargo Summary'!I6</f>
        <v>1150.5978278825801</v>
      </c>
      <c r="K6" s="85">
        <f>(I6-J6)/J6</f>
        <v>0.30943407681202717</v>
      </c>
      <c r="M6" s="35"/>
    </row>
    <row r="7" spans="1:18" ht="18" customHeight="1" thickBot="1" x14ac:dyDescent="0.25">
      <c r="A7" s="73" t="s">
        <v>73</v>
      </c>
      <c r="B7" s="171">
        <f>SUM(B5:B6)</f>
        <v>5864035</v>
      </c>
      <c r="C7" s="133">
        <f t="shared" ref="C7:J7" si="0">SUM(C5:C6)</f>
        <v>5723</v>
      </c>
      <c r="D7" s="133">
        <f t="shared" si="0"/>
        <v>13041784</v>
      </c>
      <c r="E7" s="133">
        <f t="shared" si="0"/>
        <v>18911542</v>
      </c>
      <c r="F7" s="133">
        <f t="shared" si="0"/>
        <v>8578.1311561345392</v>
      </c>
      <c r="G7" s="133">
        <f t="shared" si="0"/>
        <v>7208.5593436726094</v>
      </c>
      <c r="H7" s="44">
        <f>(F7-G7)/G7</f>
        <v>0.18999244469896556</v>
      </c>
      <c r="I7" s="133">
        <f t="shared" si="0"/>
        <v>17266.66397357286</v>
      </c>
      <c r="J7" s="133">
        <f t="shared" si="0"/>
        <v>12603.99522558561</v>
      </c>
      <c r="K7" s="318">
        <f>(I7-J7)/J7</f>
        <v>0.36993577548507939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71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70</v>
      </c>
      <c r="B10" s="169">
        <f>'Major Airline Stats'!I33</f>
        <v>2698256</v>
      </c>
      <c r="C10" s="118">
        <f>'Regional Major'!M30</f>
        <v>128</v>
      </c>
      <c r="D10" s="118">
        <f>Cargo!M21</f>
        <v>12526422</v>
      </c>
      <c r="E10" s="118">
        <f>SUM(B10:D10)</f>
        <v>15224806</v>
      </c>
      <c r="F10" s="118">
        <f>E10*0.00045359237</f>
        <v>6905.85583633022</v>
      </c>
      <c r="G10" s="146">
        <f>'[1]Cargo Summary'!F10</f>
        <v>7194.0530060876399</v>
      </c>
      <c r="H10" s="37">
        <f>(F10-G10)/G10</f>
        <v>-4.006047349297346E-2</v>
      </c>
      <c r="I10" s="146">
        <f>+F10+'[2]Cargo Summary'!I10</f>
        <v>14207.397987113869</v>
      </c>
      <c r="J10" s="146">
        <f>'[1]Cargo Summary'!I10</f>
        <v>14431.278933951879</v>
      </c>
      <c r="K10" s="85">
        <f>(I10-J10)/J10</f>
        <v>-1.551359015806243E-2</v>
      </c>
      <c r="M10" s="35"/>
    </row>
    <row r="11" spans="1:18" x14ac:dyDescent="0.2">
      <c r="A11" s="62" t="s">
        <v>16</v>
      </c>
      <c r="B11" s="169">
        <f>'Major Airline Stats'!I34</f>
        <v>1913621</v>
      </c>
      <c r="C11" s="118">
        <f>'Regional Major'!M31</f>
        <v>844</v>
      </c>
      <c r="D11" s="118">
        <f>Cargo!M22</f>
        <v>525145</v>
      </c>
      <c r="E11" s="118">
        <f>SUM(B11:D11)</f>
        <v>2439610</v>
      </c>
      <c r="F11" s="118">
        <f>E11*0.00045359237</f>
        <v>1106.5884817757001</v>
      </c>
      <c r="G11" s="146">
        <f>'[1]Cargo Summary'!F11</f>
        <v>454.01920042016997</v>
      </c>
      <c r="H11" s="35">
        <f>(F11-G11)/G11</f>
        <v>1.4373164851874392</v>
      </c>
      <c r="I11" s="146">
        <f>+F11+'[2]Cargo Summary'!I11</f>
        <v>1704.1705744856099</v>
      </c>
      <c r="J11" s="146">
        <f>'[1]Cargo Summary'!I11</f>
        <v>941.59017485686991</v>
      </c>
      <c r="K11" s="85">
        <f>(I11-J11)/J11</f>
        <v>0.80988568061965915</v>
      </c>
      <c r="M11" s="35"/>
    </row>
    <row r="12" spans="1:18" ht="18" customHeight="1" thickBot="1" x14ac:dyDescent="0.25">
      <c r="A12" s="73" t="s">
        <v>74</v>
      </c>
      <c r="B12" s="171">
        <f>SUM(B10:B11)</f>
        <v>4611877</v>
      </c>
      <c r="C12" s="133">
        <f t="shared" ref="C12:J12" si="1">SUM(C10:C11)</f>
        <v>972</v>
      </c>
      <c r="D12" s="133">
        <f t="shared" si="1"/>
        <v>13051567</v>
      </c>
      <c r="E12" s="133">
        <f t="shared" si="1"/>
        <v>17664416</v>
      </c>
      <c r="F12" s="133">
        <f t="shared" si="1"/>
        <v>8012.4443181059196</v>
      </c>
      <c r="G12" s="133">
        <f t="shared" si="1"/>
        <v>7648.0722065078098</v>
      </c>
      <c r="H12" s="44">
        <f>(F12-G12)/G12</f>
        <v>4.7642347216343278E-2</v>
      </c>
      <c r="I12" s="133">
        <f t="shared" si="1"/>
        <v>15911.568561599479</v>
      </c>
      <c r="J12" s="133">
        <f t="shared" si="1"/>
        <v>15372.869108808749</v>
      </c>
      <c r="K12" s="318">
        <f>(I12-J12)/J12</f>
        <v>3.5042219443737532E-2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72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70</v>
      </c>
      <c r="B15" s="169">
        <f>'Major Airline Stats'!I38</f>
        <v>0</v>
      </c>
      <c r="C15" s="118">
        <f>'Regional Major'!M35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9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Stats'!I39</f>
        <v>0</v>
      </c>
      <c r="C16" s="118">
        <f>'Regional Major'!M36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75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70</v>
      </c>
      <c r="B20" s="169">
        <f t="shared" ref="B20:D21" si="3">B15+B10+B5</f>
        <v>7000695</v>
      </c>
      <c r="C20" s="118">
        <f t="shared" si="3"/>
        <v>1046</v>
      </c>
      <c r="D20" s="118">
        <f t="shared" si="3"/>
        <v>25567508</v>
      </c>
      <c r="E20" s="118">
        <f>SUM(B20:D20)</f>
        <v>32569249</v>
      </c>
      <c r="F20" s="118">
        <f>E20*0.00045359237</f>
        <v>14773.16284303013</v>
      </c>
      <c r="G20" s="146">
        <f>'[1]Cargo Summary'!F20</f>
        <v>13900.968672044301</v>
      </c>
      <c r="H20" s="37">
        <f>(F20-G20)/G20</f>
        <v>6.2743409582662044E-2</v>
      </c>
      <c r="I20" s="146">
        <f>+F20+'[2]Cargo Summary'!I20</f>
        <v>29967.42995615138</v>
      </c>
      <c r="J20" s="146">
        <f>+J5+J10+J15</f>
        <v>25884.676331654908</v>
      </c>
      <c r="K20" s="85">
        <f>(I20-J20)/J20</f>
        <v>0.1577285947942717</v>
      </c>
      <c r="M20" s="35"/>
    </row>
    <row r="21" spans="1:13" x14ac:dyDescent="0.2">
      <c r="A21" s="62" t="s">
        <v>16</v>
      </c>
      <c r="B21" s="169">
        <f t="shared" si="3"/>
        <v>3475217</v>
      </c>
      <c r="C21" s="120">
        <f t="shared" si="3"/>
        <v>5649</v>
      </c>
      <c r="D21" s="120">
        <f t="shared" si="3"/>
        <v>525843</v>
      </c>
      <c r="E21" s="118">
        <f>SUM(B21:D21)</f>
        <v>4006709</v>
      </c>
      <c r="F21" s="118">
        <f>E21*0.00045359237</f>
        <v>1817.4126312103299</v>
      </c>
      <c r="G21" s="146">
        <f>'[1]Cargo Summary'!F21</f>
        <v>955.66287813611996</v>
      </c>
      <c r="H21" s="37">
        <f>(F21-G21)/G21</f>
        <v>0.90172985975444209</v>
      </c>
      <c r="I21" s="146">
        <f>+F21+'[2]Cargo Summary'!I21</f>
        <v>3210.8025790209599</v>
      </c>
      <c r="J21" s="146">
        <f>+J6+J11+J16</f>
        <v>2092.18800273945</v>
      </c>
      <c r="K21" s="85">
        <f>(I21-J21)/J21</f>
        <v>0.53466255174813571</v>
      </c>
      <c r="M21" s="35"/>
    </row>
    <row r="22" spans="1:13" ht="18" customHeight="1" thickBot="1" x14ac:dyDescent="0.25">
      <c r="A22" s="88" t="s">
        <v>63</v>
      </c>
      <c r="B22" s="172">
        <f>SUM(B20:B21)</f>
        <v>10475912</v>
      </c>
      <c r="C22" s="173">
        <f t="shared" ref="C22:J22" si="4">SUM(C20:C21)</f>
        <v>6695</v>
      </c>
      <c r="D22" s="173">
        <f t="shared" si="4"/>
        <v>26093351</v>
      </c>
      <c r="E22" s="173">
        <f t="shared" si="4"/>
        <v>36575958</v>
      </c>
      <c r="F22" s="173">
        <f t="shared" si="4"/>
        <v>16590.575474240461</v>
      </c>
      <c r="G22" s="173">
        <f t="shared" si="4"/>
        <v>14856.63155018042</v>
      </c>
      <c r="H22" s="324">
        <f>(F22-G22)/G22</f>
        <v>0.11671178074272047</v>
      </c>
      <c r="I22" s="173">
        <f t="shared" si="4"/>
        <v>33178.232535172341</v>
      </c>
      <c r="J22" s="173">
        <f t="shared" si="4"/>
        <v>27976.864334394359</v>
      </c>
      <c r="K22" s="325">
        <f>(I22-J22)/J22</f>
        <v>0.18591676817703601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February 2017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K29" sqref="K29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9" t="s">
        <v>222</v>
      </c>
      <c r="B2" s="550"/>
      <c r="C2" s="476" t="s">
        <v>205</v>
      </c>
      <c r="D2" s="478" t="s">
        <v>178</v>
      </c>
      <c r="E2" s="479" t="s">
        <v>99</v>
      </c>
      <c r="F2" s="480" t="s">
        <v>179</v>
      </c>
      <c r="G2" s="478" t="s">
        <v>169</v>
      </c>
      <c r="H2" s="477" t="s">
        <v>100</v>
      </c>
      <c r="I2" s="479" t="s">
        <v>141</v>
      </c>
      <c r="J2" s="549" t="s">
        <v>215</v>
      </c>
      <c r="K2" s="550"/>
      <c r="L2" s="476" t="s">
        <v>207</v>
      </c>
      <c r="M2" s="478" t="s">
        <v>180</v>
      </c>
      <c r="N2" s="481" t="s">
        <v>100</v>
      </c>
      <c r="O2" s="482" t="s">
        <v>208</v>
      </c>
      <c r="P2" s="482" t="s">
        <v>181</v>
      </c>
      <c r="Q2" s="515" t="s">
        <v>100</v>
      </c>
      <c r="R2" s="479" t="s">
        <v>221</v>
      </c>
    </row>
    <row r="3" spans="1:19" s="224" customFormat="1" ht="13.5" customHeight="1" thickBot="1" x14ac:dyDescent="0.25">
      <c r="A3" s="551">
        <v>42767</v>
      </c>
      <c r="B3" s="552"/>
      <c r="C3" s="553" t="s">
        <v>9</v>
      </c>
      <c r="D3" s="554"/>
      <c r="E3" s="554"/>
      <c r="F3" s="554"/>
      <c r="G3" s="554"/>
      <c r="H3" s="555"/>
      <c r="I3" s="483"/>
      <c r="J3" s="551">
        <v>42767</v>
      </c>
      <c r="K3" s="552"/>
      <c r="L3" s="543" t="s">
        <v>216</v>
      </c>
      <c r="M3" s="544"/>
      <c r="N3" s="544"/>
      <c r="O3" s="544"/>
      <c r="P3" s="544"/>
      <c r="Q3" s="544"/>
      <c r="R3" s="545"/>
    </row>
    <row r="4" spans="1:19" x14ac:dyDescent="0.2">
      <c r="A4" s="346"/>
      <c r="B4" s="347"/>
      <c r="C4" s="348"/>
      <c r="D4" s="349"/>
      <c r="E4" s="350"/>
      <c r="F4" s="484"/>
      <c r="G4" s="418"/>
      <c r="H4" s="501"/>
      <c r="I4" s="350"/>
      <c r="J4" s="351"/>
      <c r="K4" s="347"/>
      <c r="L4" s="510"/>
      <c r="M4" s="5"/>
      <c r="N4" s="85"/>
      <c r="O4" s="53"/>
      <c r="P4" s="11"/>
      <c r="Q4" s="11"/>
      <c r="R4" s="55"/>
    </row>
    <row r="5" spans="1:19" ht="14.1" customHeight="1" x14ac:dyDescent="0.2">
      <c r="A5" s="353" t="s">
        <v>217</v>
      </c>
      <c r="B5" s="55"/>
      <c r="C5" s="354">
        <f>+[3]DHL!$FA$12</f>
        <v>40</v>
      </c>
      <c r="D5" s="356">
        <f>+[3]DHL!$EM$12</f>
        <v>42</v>
      </c>
      <c r="E5" s="357">
        <f>(C5-D5)/D5</f>
        <v>-4.7619047619047616E-2</v>
      </c>
      <c r="F5" s="354">
        <f>SUM([3]DHL!$EZ$12:$FA$12)</f>
        <v>84</v>
      </c>
      <c r="G5" s="356">
        <f>+SUM([3]DHL!$EL$12:$EM$12)</f>
        <v>84</v>
      </c>
      <c r="H5" s="355">
        <f>(F5-G5)/G5</f>
        <v>0</v>
      </c>
      <c r="I5" s="357">
        <f>+F5/$F$24</f>
        <v>3.8656235618959964E-2</v>
      </c>
      <c r="J5" s="353" t="s">
        <v>217</v>
      </c>
      <c r="K5" s="55"/>
      <c r="L5" s="354">
        <f>+[3]DHL!$FA$64</f>
        <v>1067092</v>
      </c>
      <c r="M5" s="356">
        <f>+[3]DHL!$EM$64</f>
        <v>1004065</v>
      </c>
      <c r="N5" s="357">
        <f>(L5-M5)/M5</f>
        <v>6.2771832500883903E-2</v>
      </c>
      <c r="O5" s="354">
        <f>SUM([3]DHL!$EZ$64:$FA$64)</f>
        <v>2161055</v>
      </c>
      <c r="P5" s="356">
        <f>+SUM([3]DHL!$EL$64:$EM$64)</f>
        <v>2038774</v>
      </c>
      <c r="Q5" s="355">
        <f>(O5-P5)/P5</f>
        <v>5.9977712095602556E-2</v>
      </c>
      <c r="R5" s="357">
        <f>O5/$O$24</f>
        <v>4.1222016857067736E-2</v>
      </c>
      <c r="S5" s="20"/>
    </row>
    <row r="6" spans="1:19" ht="14.1" customHeight="1" x14ac:dyDescent="0.2">
      <c r="A6" s="353"/>
      <c r="B6" s="368"/>
      <c r="C6" s="354"/>
      <c r="D6" s="356"/>
      <c r="E6" s="357"/>
      <c r="F6" s="354"/>
      <c r="G6" s="356"/>
      <c r="H6" s="355"/>
      <c r="I6" s="357"/>
      <c r="J6" s="353"/>
      <c r="K6" s="55"/>
      <c r="L6" s="358"/>
      <c r="M6" s="9"/>
      <c r="N6" s="86"/>
      <c r="O6" s="354"/>
      <c r="P6" s="356"/>
      <c r="Q6" s="39"/>
      <c r="R6" s="86"/>
      <c r="S6" s="20"/>
    </row>
    <row r="7" spans="1:19" ht="14.1" customHeight="1" x14ac:dyDescent="0.2">
      <c r="A7" s="353" t="s">
        <v>218</v>
      </c>
      <c r="B7" s="368"/>
      <c r="C7" s="354">
        <f>+[3]FedEx!$FA$12</f>
        <v>168</v>
      </c>
      <c r="D7" s="356">
        <f>+[3]FedEx!$EM$12</f>
        <v>158</v>
      </c>
      <c r="E7" s="357">
        <f>(C7-D7)/D7</f>
        <v>6.3291139240506333E-2</v>
      </c>
      <c r="F7" s="354">
        <f>SUM([3]FedEx!$EZ$12:$FA$12)</f>
        <v>344</v>
      </c>
      <c r="G7" s="356">
        <f>+SUM([3]FedEx!$EL$12:$EM$12)</f>
        <v>326</v>
      </c>
      <c r="H7" s="355">
        <f t="shared" ref="H7" si="0">(F7-G7)/G7</f>
        <v>5.5214723926380369E-2</v>
      </c>
      <c r="I7" s="357">
        <f>+F7/$F$24</f>
        <v>0.15830648872526462</v>
      </c>
      <c r="J7" s="353" t="s">
        <v>218</v>
      </c>
      <c r="K7" s="55"/>
      <c r="L7" s="354">
        <f>+[3]FedEx!$FA$64</f>
        <v>15428532</v>
      </c>
      <c r="M7" s="356">
        <f>+[3]FedEx!$EM$64</f>
        <v>13691560</v>
      </c>
      <c r="N7" s="357">
        <f>(L7-M7)/M7</f>
        <v>0.12686443327129998</v>
      </c>
      <c r="O7" s="354">
        <f>SUM([3]FedEx!$EZ$64:$FA$64)</f>
        <v>31557444</v>
      </c>
      <c r="P7" s="356">
        <f>+SUM([3]FedEx!$EL$64:$EM$64)</f>
        <v>27199606</v>
      </c>
      <c r="Q7" s="355">
        <f t="shared" ref="Q7" si="1">(O7-P7)/P7</f>
        <v>0.16021695314263007</v>
      </c>
      <c r="R7" s="357">
        <f>O7/$O$24</f>
        <v>0.60195667788833285</v>
      </c>
      <c r="S7" s="20"/>
    </row>
    <row r="8" spans="1:19" ht="14.1" customHeight="1" x14ac:dyDescent="0.2">
      <c r="A8" s="353"/>
      <c r="B8" s="368"/>
      <c r="C8" s="354"/>
      <c r="D8" s="356"/>
      <c r="E8" s="357"/>
      <c r="F8" s="354"/>
      <c r="G8" s="356"/>
      <c r="H8" s="355"/>
      <c r="I8" s="357"/>
      <c r="J8" s="353"/>
      <c r="K8" s="55"/>
      <c r="L8" s="358"/>
      <c r="M8" s="9"/>
      <c r="N8" s="86"/>
      <c r="O8" s="354"/>
      <c r="P8" s="356"/>
      <c r="Q8" s="39"/>
      <c r="R8" s="86"/>
      <c r="S8" s="20"/>
    </row>
    <row r="9" spans="1:19" ht="14.1" customHeight="1" x14ac:dyDescent="0.2">
      <c r="A9" s="353" t="s">
        <v>84</v>
      </c>
      <c r="B9" s="368"/>
      <c r="C9" s="354">
        <f>+[3]UPS!$FA$12</f>
        <v>166</v>
      </c>
      <c r="D9" s="356">
        <f>+[3]UPS!$EM$12</f>
        <v>158</v>
      </c>
      <c r="E9" s="357">
        <f>(C9-D9)/D9</f>
        <v>5.0632911392405063E-2</v>
      </c>
      <c r="F9" s="354">
        <f>SUM([3]UPS!$EZ$12:$FA$12)</f>
        <v>348</v>
      </c>
      <c r="G9" s="356">
        <f>+SUM([3]UPS!$EL$12:$EM$12)</f>
        <v>324</v>
      </c>
      <c r="H9" s="355">
        <f>(F9-G9)/G9</f>
        <v>7.407407407407407E-2</v>
      </c>
      <c r="I9" s="357">
        <f>+F9/$F$24</f>
        <v>0.16014726184997699</v>
      </c>
      <c r="J9" s="353" t="s">
        <v>84</v>
      </c>
      <c r="K9" s="55"/>
      <c r="L9" s="354">
        <f>+[3]UPS!$FA$64</f>
        <v>9141105</v>
      </c>
      <c r="M9" s="356">
        <f>+[3]UPS!$EM$64</f>
        <v>8376226</v>
      </c>
      <c r="N9" s="357">
        <f>(L9-M9)/M9</f>
        <v>9.1315468326666455E-2</v>
      </c>
      <c r="O9" s="354">
        <f>SUM([3]UPS!$EZ$64:$FA$64)</f>
        <v>17810097</v>
      </c>
      <c r="P9" s="356">
        <f>+SUM([3]UPS!$EL$64:$EM$64)</f>
        <v>13009157</v>
      </c>
      <c r="Q9" s="355">
        <f>(O9-P9)/P9</f>
        <v>0.36904312862086297</v>
      </c>
      <c r="R9" s="357">
        <f>O9/$O$24</f>
        <v>0.33972671623813899</v>
      </c>
      <c r="S9" s="20"/>
    </row>
    <row r="10" spans="1:19" ht="14.1" customHeight="1" x14ac:dyDescent="0.2">
      <c r="A10" s="353"/>
      <c r="B10" s="368"/>
      <c r="C10" s="354"/>
      <c r="D10" s="356"/>
      <c r="E10" s="357"/>
      <c r="F10" s="354"/>
      <c r="G10" s="356"/>
      <c r="H10" s="355"/>
      <c r="I10" s="357"/>
      <c r="J10" s="353"/>
      <c r="K10" s="55"/>
      <c r="L10" s="358"/>
      <c r="M10" s="9"/>
      <c r="N10" s="86"/>
      <c r="O10" s="354"/>
      <c r="P10" s="356"/>
      <c r="Q10" s="39"/>
      <c r="R10" s="86"/>
      <c r="S10" s="20"/>
    </row>
    <row r="11" spans="1:19" ht="14.1" customHeight="1" x14ac:dyDescent="0.2">
      <c r="A11" s="353" t="s">
        <v>199</v>
      </c>
      <c r="B11" s="368"/>
      <c r="C11" s="354">
        <f>+[3]IFL!$FA$12</f>
        <v>64</v>
      </c>
      <c r="D11" s="356">
        <f>+[3]IFL!$EM$12</f>
        <v>60</v>
      </c>
      <c r="E11" s="357">
        <f>(C11-D11)/D11</f>
        <v>6.6666666666666666E-2</v>
      </c>
      <c r="F11" s="354">
        <f>SUM([3]IFL!$EZ$12:$FA$12)</f>
        <v>126</v>
      </c>
      <c r="G11" s="356">
        <f>+SUM([3]IFL!$EL$12:$EM$12)</f>
        <v>120</v>
      </c>
      <c r="H11" s="355">
        <f>(F11-G11)/G11</f>
        <v>0.05</v>
      </c>
      <c r="I11" s="357">
        <f>+F11/$F$24</f>
        <v>5.7984353428439946E-2</v>
      </c>
      <c r="J11" s="353" t="s">
        <v>199</v>
      </c>
      <c r="K11" s="55"/>
      <c r="L11" s="354">
        <f>+[3]IFL!$FA$64</f>
        <v>82812</v>
      </c>
      <c r="M11" s="356">
        <f>+[3]IFL!$EM$64</f>
        <v>72774</v>
      </c>
      <c r="N11" s="357">
        <f>(L11-M11)/M11</f>
        <v>0.13793387748371672</v>
      </c>
      <c r="O11" s="354">
        <f>SUM([3]IFL!$EZ$64:$FA$64)</f>
        <v>162540</v>
      </c>
      <c r="P11" s="356">
        <f>+SUM([3]IFL!$EL$64:$EM$64)</f>
        <v>143403</v>
      </c>
      <c r="Q11" s="355">
        <f>(O11-P11)/P11</f>
        <v>0.13344909102320035</v>
      </c>
      <c r="R11" s="357">
        <f>O11/$O$24</f>
        <v>3.1004424320287033E-3</v>
      </c>
      <c r="S11" s="20"/>
    </row>
    <row r="12" spans="1:19" ht="14.1" customHeight="1" x14ac:dyDescent="0.2">
      <c r="A12" s="353"/>
      <c r="B12" s="368"/>
      <c r="C12" s="354"/>
      <c r="D12" s="359"/>
      <c r="E12" s="357"/>
      <c r="F12" s="485"/>
      <c r="G12" s="359"/>
      <c r="H12" s="355"/>
      <c r="I12" s="357"/>
      <c r="J12" s="353"/>
      <c r="K12" s="55"/>
      <c r="L12" s="360"/>
      <c r="M12" s="146"/>
      <c r="N12" s="86"/>
      <c r="O12" s="360"/>
      <c r="P12" s="146"/>
      <c r="Q12" s="39"/>
      <c r="R12" s="86"/>
      <c r="S12" s="20"/>
    </row>
    <row r="13" spans="1:19" ht="14.1" customHeight="1" x14ac:dyDescent="0.2">
      <c r="A13" s="353" t="s">
        <v>168</v>
      </c>
      <c r="B13" s="366"/>
      <c r="C13" s="354">
        <f>+'[3]Suburban Air Freight'!$FA$12</f>
        <v>0</v>
      </c>
      <c r="D13" s="356">
        <f>+'[3]Suburban Air Freight'!$EM$12</f>
        <v>0</v>
      </c>
      <c r="E13" s="357" t="e">
        <f>(C13-D13)/D13</f>
        <v>#DIV/0!</v>
      </c>
      <c r="F13" s="354">
        <f>SUM('[3]Suburban Air Freight'!$EZ$12:$FA$12)</f>
        <v>0</v>
      </c>
      <c r="G13" s="356">
        <f>+SUM('[3]Suburban Air Freight'!$EL$12:$EM$12)</f>
        <v>0</v>
      </c>
      <c r="H13" s="355" t="e">
        <f t="shared" ref="H13" si="2">(F13-G13)/G13</f>
        <v>#DIV/0!</v>
      </c>
      <c r="I13" s="357">
        <f>+F13/$F$24</f>
        <v>0</v>
      </c>
      <c r="J13" s="353" t="s">
        <v>168</v>
      </c>
      <c r="K13" s="361"/>
      <c r="L13" s="354">
        <f>+'[3]Suburban Air Freight'!$FA$64</f>
        <v>84036</v>
      </c>
      <c r="M13" s="356">
        <f>+'[3]Suburban Air Freight'!$EM$64</f>
        <v>77642</v>
      </c>
      <c r="N13" s="357">
        <f>(L13-M13)/M13</f>
        <v>8.2352335076376182E-2</v>
      </c>
      <c r="O13" s="354">
        <f>SUM('[3]Suburban Air Freight'!$EZ$64:$FA$64)</f>
        <v>175203</v>
      </c>
      <c r="P13" s="356">
        <f>+SUM('[3]Suburban Air Freight'!$EL$64:$EM$64)</f>
        <v>160517</v>
      </c>
      <c r="Q13" s="355">
        <f t="shared" ref="Q13" si="3">(O13-P13)/P13</f>
        <v>9.1491866905063016E-2</v>
      </c>
      <c r="R13" s="357">
        <f>O13/$O$24</f>
        <v>3.3419885284774512E-3</v>
      </c>
      <c r="S13" s="20"/>
    </row>
    <row r="14" spans="1:19" ht="14.1" customHeight="1" x14ac:dyDescent="0.2">
      <c r="A14" s="53"/>
      <c r="B14" s="363"/>
      <c r="C14" s="354"/>
      <c r="D14" s="9"/>
      <c r="E14" s="86"/>
      <c r="F14" s="358"/>
      <c r="G14" s="9"/>
      <c r="H14" s="39"/>
      <c r="I14" s="86"/>
      <c r="J14" s="53"/>
      <c r="K14" s="363"/>
      <c r="L14" s="358"/>
      <c r="M14" s="9"/>
      <c r="N14" s="86"/>
      <c r="O14" s="358"/>
      <c r="P14" s="9"/>
      <c r="Q14" s="39"/>
      <c r="R14" s="86"/>
      <c r="S14" s="20"/>
    </row>
    <row r="15" spans="1:19" ht="14.1" customHeight="1" x14ac:dyDescent="0.2">
      <c r="A15" s="353" t="s">
        <v>86</v>
      </c>
      <c r="B15" s="363"/>
      <c r="C15" s="354">
        <f>+[3]Bemidji!$FA$12</f>
        <v>492</v>
      </c>
      <c r="D15" s="356">
        <f>+[3]Bemidji!$EM$12</f>
        <v>438</v>
      </c>
      <c r="E15" s="357">
        <f>(C15-D15)/D15</f>
        <v>0.12328767123287671</v>
      </c>
      <c r="F15" s="354">
        <f>SUM([3]Bemidji!$EZ$12:$FA$12)</f>
        <v>1032</v>
      </c>
      <c r="G15" s="356">
        <f>+SUM([3]Bemidji!$EL$12:$EM$12)</f>
        <v>894</v>
      </c>
      <c r="H15" s="355">
        <f t="shared" ref="H15" si="4">(F15-G15)/G15</f>
        <v>0.15436241610738255</v>
      </c>
      <c r="I15" s="357">
        <f>+F15/$F$24</f>
        <v>0.47491946617579384</v>
      </c>
      <c r="J15" s="353" t="s">
        <v>86</v>
      </c>
      <c r="K15" s="363"/>
      <c r="L15" s="546" t="s">
        <v>223</v>
      </c>
      <c r="M15" s="547"/>
      <c r="N15" s="547"/>
      <c r="O15" s="547"/>
      <c r="P15" s="547"/>
      <c r="Q15" s="547"/>
      <c r="R15" s="548"/>
      <c r="S15" s="20"/>
    </row>
    <row r="16" spans="1:19" ht="14.1" customHeight="1" x14ac:dyDescent="0.2">
      <c r="A16" s="53"/>
      <c r="B16" s="363"/>
      <c r="C16" s="354"/>
      <c r="D16" s="9"/>
      <c r="E16" s="86"/>
      <c r="F16" s="358"/>
      <c r="G16" s="9"/>
      <c r="H16" s="39"/>
      <c r="I16" s="86"/>
      <c r="J16" s="53"/>
      <c r="K16" s="363"/>
      <c r="L16" s="358"/>
      <c r="M16" s="9"/>
      <c r="N16" s="86"/>
      <c r="O16" s="358"/>
      <c r="P16" s="9"/>
      <c r="Q16" s="39"/>
      <c r="R16" s="86"/>
      <c r="S16" s="20"/>
    </row>
    <row r="17" spans="1:19" ht="14.1" customHeight="1" x14ac:dyDescent="0.2">
      <c r="A17" s="353" t="s">
        <v>87</v>
      </c>
      <c r="B17" s="363"/>
      <c r="C17" s="354">
        <f>+'[3]CSA Air'!$FA$12</f>
        <v>42</v>
      </c>
      <c r="D17" s="356">
        <f>+'[3]CSA Air'!$EM$12</f>
        <v>40</v>
      </c>
      <c r="E17" s="357">
        <f>(C17-D17)/D17</f>
        <v>0.05</v>
      </c>
      <c r="F17" s="354">
        <f>SUM('[3]CSA Air'!$EZ$12:$FA$12)</f>
        <v>82</v>
      </c>
      <c r="G17" s="356">
        <f>+SUM('[3]CSA Air'!$EL$12:$EM$12)</f>
        <v>82</v>
      </c>
      <c r="H17" s="355">
        <f t="shared" ref="H17" si="5">(F17-G17)/G17</f>
        <v>0</v>
      </c>
      <c r="I17" s="357">
        <f>+F17/$F$24</f>
        <v>3.7735849056603772E-2</v>
      </c>
      <c r="J17" s="353" t="s">
        <v>87</v>
      </c>
      <c r="K17" s="363"/>
      <c r="L17" s="354">
        <f>+'[3]CSA Air'!$FA$64</f>
        <v>59935</v>
      </c>
      <c r="M17" s="356">
        <f>+'[3]CSA Air'!$EM$64</f>
        <v>55962</v>
      </c>
      <c r="N17" s="357">
        <f>(L17-M17)/M17</f>
        <v>7.0994603480933491E-2</v>
      </c>
      <c r="O17" s="354">
        <f>SUM('[3]CSA Air'!$EZ$64:$FA$64)</f>
        <v>120773</v>
      </c>
      <c r="P17" s="356">
        <f>+SUM('[3]CSA Air'!$EL$64:$EM$64)</f>
        <v>112487</v>
      </c>
      <c r="Q17" s="355">
        <f t="shared" ref="Q17" si="6">(O17-P17)/P17</f>
        <v>7.3661845368798176E-2</v>
      </c>
      <c r="R17" s="357">
        <f>O17/$O$24</f>
        <v>2.3037389802104259E-3</v>
      </c>
      <c r="S17" s="20"/>
    </row>
    <row r="18" spans="1:19" ht="14.1" customHeight="1" x14ac:dyDescent="0.2">
      <c r="A18" s="53"/>
      <c r="B18" s="363"/>
      <c r="C18" s="354"/>
      <c r="D18" s="9"/>
      <c r="E18" s="86"/>
      <c r="F18" s="358"/>
      <c r="G18" s="9"/>
      <c r="H18" s="39"/>
      <c r="I18" s="86"/>
      <c r="J18" s="53"/>
      <c r="K18" s="363"/>
      <c r="L18" s="358"/>
      <c r="M18" s="9"/>
      <c r="N18" s="86"/>
      <c r="O18" s="358"/>
      <c r="P18" s="9"/>
      <c r="Q18" s="39"/>
      <c r="R18" s="86"/>
      <c r="S18" s="20"/>
    </row>
    <row r="19" spans="1:19" ht="14.1" customHeight="1" x14ac:dyDescent="0.2">
      <c r="A19" s="353" t="s">
        <v>88</v>
      </c>
      <c r="B19" s="366"/>
      <c r="C19" s="354">
        <f>+'[3]Mountain Cargo'!$FA$12</f>
        <v>34</v>
      </c>
      <c r="D19" s="356">
        <f>+'[3]Mountain Cargo'!$EM$12</f>
        <v>38</v>
      </c>
      <c r="E19" s="357">
        <f>(C19-D19)/D19</f>
        <v>-0.10526315789473684</v>
      </c>
      <c r="F19" s="354">
        <f>SUM('[3]Mountain Cargo'!$EZ$12:$FA$12)</f>
        <v>74</v>
      </c>
      <c r="G19" s="356">
        <f>+SUM('[3]Mountain Cargo'!$EL$12:$EM$12)</f>
        <v>80</v>
      </c>
      <c r="H19" s="355">
        <f>(F19-G19)/G19</f>
        <v>-7.4999999999999997E-2</v>
      </c>
      <c r="I19" s="357">
        <f>+F19/$F$24</f>
        <v>3.4054302807179013E-2</v>
      </c>
      <c r="J19" s="353" t="s">
        <v>88</v>
      </c>
      <c r="K19" s="366"/>
      <c r="L19" s="354">
        <f>+'[3]Mountain Cargo'!$FA$64</f>
        <v>143386</v>
      </c>
      <c r="M19" s="356">
        <f>+'[3]Mountain Cargo'!$EM$64</f>
        <v>138958</v>
      </c>
      <c r="N19" s="357">
        <f>(L19-M19)/M19</f>
        <v>3.1865743605981663E-2</v>
      </c>
      <c r="O19" s="354">
        <f>SUM('[3]Mountain Cargo'!$EZ$64:$FA$64)</f>
        <v>302182</v>
      </c>
      <c r="P19" s="356">
        <f>+SUM('[3]Mountain Cargo'!$EL$64:$EM$64)</f>
        <v>292621</v>
      </c>
      <c r="Q19" s="355">
        <f t="shared" ref="Q19" si="7">(O19-P19)/P19</f>
        <v>3.267366320257261E-2</v>
      </c>
      <c r="R19" s="357">
        <f>O19/$O$24</f>
        <v>5.764106650641674E-3</v>
      </c>
      <c r="S19" s="421"/>
    </row>
    <row r="20" spans="1:19" ht="14.1" customHeight="1" x14ac:dyDescent="0.2">
      <c r="A20" s="53"/>
      <c r="B20" s="437"/>
      <c r="C20" s="354"/>
      <c r="D20" s="9"/>
      <c r="E20" s="86"/>
      <c r="F20" s="358"/>
      <c r="G20" s="9"/>
      <c r="H20" s="39"/>
      <c r="I20" s="86"/>
      <c r="J20" s="53"/>
      <c r="K20" s="437"/>
      <c r="L20" s="358"/>
      <c r="M20" s="9"/>
      <c r="N20" s="86"/>
      <c r="O20" s="358"/>
      <c r="P20" s="9"/>
      <c r="Q20" s="39"/>
      <c r="R20" s="86"/>
      <c r="S20" s="328"/>
    </row>
    <row r="21" spans="1:19" s="7" customFormat="1" ht="14.1" customHeight="1" x14ac:dyDescent="0.2">
      <c r="A21" s="353" t="s">
        <v>131</v>
      </c>
      <c r="B21" s="368"/>
      <c r="C21" s="354">
        <f>+'[3]Misc Cargo'!$FA$12</f>
        <v>40</v>
      </c>
      <c r="D21" s="356">
        <f>+'[3]Misc Cargo'!$EM$12</f>
        <v>42</v>
      </c>
      <c r="E21" s="357">
        <f>(C21-D21)/D21</f>
        <v>-4.7619047619047616E-2</v>
      </c>
      <c r="F21" s="354">
        <f>SUM('[3]Misc Cargo'!$EZ$12:$FA$12)</f>
        <v>83</v>
      </c>
      <c r="G21" s="356">
        <f>+SUM('[3]Misc Cargo'!$EL$12:$EM$12)</f>
        <v>82</v>
      </c>
      <c r="H21" s="355">
        <f>(F21-G21)/G21</f>
        <v>1.2195121951219513E-2</v>
      </c>
      <c r="I21" s="357">
        <f>+F21/$F$24</f>
        <v>3.8196042337781871E-2</v>
      </c>
      <c r="J21" s="353" t="s">
        <v>131</v>
      </c>
      <c r="K21" s="368"/>
      <c r="L21" s="354">
        <f>+'[3]Misc Cargo'!$FA$64</f>
        <v>86453</v>
      </c>
      <c r="M21" s="356">
        <f>+'[3]Misc Cargo'!$EM$64</f>
        <v>64716</v>
      </c>
      <c r="N21" s="357">
        <f>(L21-M21)/M21</f>
        <v>0.3358829346683973</v>
      </c>
      <c r="O21" s="354">
        <f>SUM('[3]Misc Cargo'!$EZ$64:$FA$64)</f>
        <v>135482</v>
      </c>
      <c r="P21" s="356">
        <f>+SUM('[3]Misc Cargo'!$EL$64:$EM$64)</f>
        <v>129803</v>
      </c>
      <c r="Q21" s="355">
        <f>(O21-P21)/P21</f>
        <v>4.3750914847884868E-2</v>
      </c>
      <c r="R21" s="357">
        <f>O21/$O$24</f>
        <v>2.5843124251022074E-3</v>
      </c>
      <c r="S21" s="486"/>
    </row>
    <row r="22" spans="1:19" s="7" customFormat="1" ht="14.1" customHeight="1" thickBot="1" x14ac:dyDescent="0.25">
      <c r="A22" s="487"/>
      <c r="B22" s="488"/>
      <c r="C22" s="489"/>
      <c r="D22" s="491"/>
      <c r="E22" s="492"/>
      <c r="F22" s="489"/>
      <c r="G22" s="491"/>
      <c r="H22" s="490"/>
      <c r="I22" s="492"/>
      <c r="J22" s="353"/>
      <c r="K22" s="368"/>
      <c r="L22" s="370"/>
      <c r="M22" s="374"/>
      <c r="N22" s="373"/>
      <c r="O22" s="370"/>
      <c r="P22" s="374"/>
      <c r="Q22" s="371"/>
      <c r="R22" s="488"/>
      <c r="S22" s="486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93" customFormat="1" ht="15.75" thickBot="1" x14ac:dyDescent="0.3">
      <c r="B24" s="494" t="s">
        <v>219</v>
      </c>
      <c r="C24" s="495">
        <f>+SUM(C5:C21)</f>
        <v>1046</v>
      </c>
      <c r="D24" s="496">
        <f>SUM(D5:D22)</f>
        <v>976</v>
      </c>
      <c r="E24" s="497">
        <f>(C24-D24)/D24</f>
        <v>7.1721311475409832E-2</v>
      </c>
      <c r="F24" s="495">
        <f>+SUM(F5:F21)</f>
        <v>2173</v>
      </c>
      <c r="G24" s="495">
        <f>+SUM(G5:G21)</f>
        <v>1992</v>
      </c>
      <c r="H24" s="498">
        <f>(F24-G24)/G24</f>
        <v>9.086345381526105E-2</v>
      </c>
      <c r="I24" s="514"/>
      <c r="K24" s="494" t="s">
        <v>219</v>
      </c>
      <c r="L24" s="495">
        <f>+SUM(L5:L21)</f>
        <v>26093351</v>
      </c>
      <c r="M24" s="499">
        <f>SUM(M5:M22)</f>
        <v>23481903</v>
      </c>
      <c r="N24" s="500">
        <f>(L24-M24)/M24</f>
        <v>0.11121108881166913</v>
      </c>
      <c r="O24" s="495">
        <f>+SUM(O5:O21)</f>
        <v>52424776</v>
      </c>
      <c r="P24" s="495">
        <f>+SUM(P5:P21)</f>
        <v>43086368</v>
      </c>
      <c r="Q24" s="498">
        <f t="shared" ref="Q24" si="8">(O24-P24)/P24</f>
        <v>0.21673695030409618</v>
      </c>
      <c r="R24" s="514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February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2017-04-11T13:33:23Z</cp:lastPrinted>
  <dcterms:created xsi:type="dcterms:W3CDTF">2007-09-24T12:26:24Z</dcterms:created>
  <dcterms:modified xsi:type="dcterms:W3CDTF">2019-05-19T07:38:18Z</dcterms:modified>
</cp:coreProperties>
</file>