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 firstSheet="2" activeTab="9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Activity'!$A$1:$R$66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E10" i="7" l="1"/>
  <c r="E5" i="7" l="1"/>
  <c r="P60" i="9" l="1"/>
  <c r="P59" i="9"/>
  <c r="P58" i="9"/>
  <c r="P57" i="9"/>
  <c r="P56" i="9"/>
  <c r="P55" i="9"/>
  <c r="P54" i="9"/>
  <c r="P51" i="9"/>
  <c r="P49" i="9"/>
  <c r="P47" i="9"/>
  <c r="P44" i="9"/>
  <c r="P42" i="9"/>
  <c r="P40" i="9"/>
  <c r="P38" i="9"/>
  <c r="P37" i="9"/>
  <c r="P36" i="9"/>
  <c r="P35" i="9"/>
  <c r="P34" i="9"/>
  <c r="P33" i="9"/>
  <c r="P32" i="9"/>
  <c r="P29" i="9"/>
  <c r="P27" i="9"/>
  <c r="P25" i="9"/>
  <c r="P24" i="9"/>
  <c r="P23" i="9"/>
  <c r="P22" i="9"/>
  <c r="P21" i="9"/>
  <c r="P20" i="9"/>
  <c r="P19" i="9"/>
  <c r="P16" i="9"/>
  <c r="P15" i="9"/>
  <c r="P14" i="9"/>
  <c r="P11" i="9"/>
  <c r="P9" i="9"/>
  <c r="P7" i="9"/>
  <c r="P6" i="9"/>
  <c r="P5" i="9"/>
  <c r="G60" i="9"/>
  <c r="G59" i="9"/>
  <c r="G58" i="9"/>
  <c r="G57" i="9"/>
  <c r="G56" i="9"/>
  <c r="G55" i="9"/>
  <c r="G54" i="9"/>
  <c r="G51" i="9"/>
  <c r="G49" i="9"/>
  <c r="G47" i="9"/>
  <c r="G44" i="9"/>
  <c r="G42" i="9"/>
  <c r="G40" i="9"/>
  <c r="G38" i="9"/>
  <c r="G37" i="9"/>
  <c r="G36" i="9"/>
  <c r="G35" i="9"/>
  <c r="G34" i="9"/>
  <c r="G33" i="9"/>
  <c r="G32" i="9"/>
  <c r="G29" i="9"/>
  <c r="G27" i="9"/>
  <c r="G25" i="9"/>
  <c r="G24" i="9"/>
  <c r="G23" i="9"/>
  <c r="G22" i="9"/>
  <c r="G21" i="9"/>
  <c r="G20" i="9"/>
  <c r="G19" i="9"/>
  <c r="G16" i="9"/>
  <c r="G15" i="9"/>
  <c r="G14" i="9"/>
  <c r="G11" i="9"/>
  <c r="G9" i="9"/>
  <c r="G7" i="9"/>
  <c r="G6" i="9"/>
  <c r="G5" i="9"/>
  <c r="O60" i="9"/>
  <c r="O59" i="9"/>
  <c r="O58" i="9"/>
  <c r="O57" i="9"/>
  <c r="O56" i="9"/>
  <c r="O55" i="9"/>
  <c r="O54" i="9"/>
  <c r="O51" i="9"/>
  <c r="O49" i="9"/>
  <c r="O47" i="9"/>
  <c r="O44" i="9"/>
  <c r="O42" i="9"/>
  <c r="O40" i="9"/>
  <c r="O38" i="9"/>
  <c r="O37" i="9"/>
  <c r="O36" i="9"/>
  <c r="O35" i="9"/>
  <c r="O34" i="9"/>
  <c r="O33" i="9"/>
  <c r="O32" i="9"/>
  <c r="O29" i="9"/>
  <c r="O27" i="9"/>
  <c r="O25" i="9"/>
  <c r="O24" i="9"/>
  <c r="O23" i="9"/>
  <c r="O22" i="9"/>
  <c r="O21" i="9"/>
  <c r="O20" i="9"/>
  <c r="O19" i="9"/>
  <c r="O16" i="9"/>
  <c r="O15" i="9"/>
  <c r="O14" i="9"/>
  <c r="O11" i="9"/>
  <c r="O9" i="9"/>
  <c r="O7" i="9"/>
  <c r="O6" i="9"/>
  <c r="O5" i="9"/>
  <c r="F60" i="9"/>
  <c r="F59" i="9"/>
  <c r="F58" i="9"/>
  <c r="F57" i="9"/>
  <c r="F56" i="9"/>
  <c r="F55" i="9"/>
  <c r="F54" i="9"/>
  <c r="F51" i="9"/>
  <c r="F49" i="9"/>
  <c r="F47" i="9"/>
  <c r="F44" i="9"/>
  <c r="F42" i="9"/>
  <c r="F40" i="9"/>
  <c r="F38" i="9"/>
  <c r="F37" i="9"/>
  <c r="F36" i="9"/>
  <c r="F35" i="9"/>
  <c r="F34" i="9"/>
  <c r="F33" i="9"/>
  <c r="F32" i="9"/>
  <c r="F29" i="9"/>
  <c r="F27" i="9"/>
  <c r="F25" i="9"/>
  <c r="F24" i="9"/>
  <c r="F23" i="9"/>
  <c r="F22" i="9"/>
  <c r="F21" i="9"/>
  <c r="F20" i="9"/>
  <c r="F19" i="9"/>
  <c r="F16" i="9"/>
  <c r="F15" i="9"/>
  <c r="F14" i="9"/>
  <c r="F11" i="9"/>
  <c r="F9" i="9"/>
  <c r="F7" i="9"/>
  <c r="F6" i="9"/>
  <c r="F5" i="9"/>
  <c r="M60" i="9"/>
  <c r="M59" i="9"/>
  <c r="M58" i="9"/>
  <c r="M57" i="9"/>
  <c r="M56" i="9"/>
  <c r="M55" i="9"/>
  <c r="M54" i="9"/>
  <c r="M51" i="9"/>
  <c r="M49" i="9"/>
  <c r="M47" i="9"/>
  <c r="M44" i="9"/>
  <c r="M42" i="9"/>
  <c r="M40" i="9"/>
  <c r="M38" i="9"/>
  <c r="M37" i="9"/>
  <c r="M36" i="9"/>
  <c r="M35" i="9"/>
  <c r="M34" i="9"/>
  <c r="M33" i="9"/>
  <c r="M32" i="9"/>
  <c r="M29" i="9"/>
  <c r="M27" i="9"/>
  <c r="M25" i="9"/>
  <c r="M24" i="9"/>
  <c r="M23" i="9"/>
  <c r="M22" i="9"/>
  <c r="M21" i="9"/>
  <c r="M20" i="9"/>
  <c r="M19" i="9"/>
  <c r="M16" i="9"/>
  <c r="M15" i="9"/>
  <c r="M14" i="9"/>
  <c r="M11" i="9"/>
  <c r="M9" i="9"/>
  <c r="M7" i="9"/>
  <c r="M6" i="9"/>
  <c r="M5" i="9"/>
  <c r="D60" i="9"/>
  <c r="D59" i="9"/>
  <c r="D58" i="9"/>
  <c r="D57" i="9"/>
  <c r="D56" i="9"/>
  <c r="D55" i="9"/>
  <c r="D54" i="9"/>
  <c r="D51" i="9"/>
  <c r="D49" i="9"/>
  <c r="D47" i="9"/>
  <c r="D44" i="9"/>
  <c r="D42" i="9"/>
  <c r="D40" i="9"/>
  <c r="D38" i="9"/>
  <c r="D37" i="9"/>
  <c r="D36" i="9"/>
  <c r="D35" i="9"/>
  <c r="D34" i="9"/>
  <c r="D33" i="9"/>
  <c r="D32" i="9"/>
  <c r="D29" i="9"/>
  <c r="D27" i="9"/>
  <c r="D25" i="9"/>
  <c r="D24" i="9"/>
  <c r="D23" i="9"/>
  <c r="D22" i="9"/>
  <c r="D21" i="9"/>
  <c r="D20" i="9"/>
  <c r="D19" i="9"/>
  <c r="D16" i="9"/>
  <c r="D15" i="9"/>
  <c r="D14" i="9"/>
  <c r="D11" i="9"/>
  <c r="D9" i="9"/>
  <c r="D7" i="9"/>
  <c r="D6" i="9"/>
  <c r="D5" i="9"/>
  <c r="L60" i="9"/>
  <c r="L59" i="9"/>
  <c r="L58" i="9"/>
  <c r="L57" i="9"/>
  <c r="L56" i="9"/>
  <c r="L55" i="9"/>
  <c r="L54" i="9"/>
  <c r="L51" i="9"/>
  <c r="L49" i="9"/>
  <c r="L47" i="9"/>
  <c r="L44" i="9"/>
  <c r="L42" i="9"/>
  <c r="L40" i="9"/>
  <c r="L38" i="9"/>
  <c r="L37" i="9"/>
  <c r="L36" i="9"/>
  <c r="L35" i="9"/>
  <c r="L34" i="9"/>
  <c r="L33" i="9"/>
  <c r="L32" i="9"/>
  <c r="L29" i="9"/>
  <c r="L27" i="9"/>
  <c r="L25" i="9"/>
  <c r="L24" i="9"/>
  <c r="L23" i="9"/>
  <c r="L22" i="9"/>
  <c r="L21" i="9"/>
  <c r="L20" i="9"/>
  <c r="L19" i="9"/>
  <c r="L16" i="9"/>
  <c r="L15" i="9"/>
  <c r="L14" i="9"/>
  <c r="L11" i="9"/>
  <c r="L9" i="9"/>
  <c r="L7" i="9"/>
  <c r="L6" i="9"/>
  <c r="L5" i="9"/>
  <c r="C60" i="9"/>
  <c r="C59" i="9"/>
  <c r="C58" i="9"/>
  <c r="C57" i="9"/>
  <c r="C56" i="9"/>
  <c r="C55" i="9"/>
  <c r="C54" i="9"/>
  <c r="C51" i="9"/>
  <c r="C49" i="9"/>
  <c r="C47" i="9"/>
  <c r="C44" i="9"/>
  <c r="C42" i="9"/>
  <c r="C40" i="9"/>
  <c r="C38" i="9"/>
  <c r="C37" i="9"/>
  <c r="C36" i="9"/>
  <c r="C35" i="9"/>
  <c r="C34" i="9"/>
  <c r="C33" i="9"/>
  <c r="C32" i="9"/>
  <c r="C29" i="9"/>
  <c r="C27" i="9"/>
  <c r="C25" i="9"/>
  <c r="C24" i="9"/>
  <c r="C23" i="9"/>
  <c r="C22" i="9"/>
  <c r="C21" i="9"/>
  <c r="C20" i="9"/>
  <c r="C19" i="9"/>
  <c r="C16" i="9"/>
  <c r="C15" i="9"/>
  <c r="C14" i="9"/>
  <c r="C11" i="9"/>
  <c r="C9" i="9"/>
  <c r="C7" i="9"/>
  <c r="C6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1" i="17"/>
  <c r="O21" i="17"/>
  <c r="P19" i="17"/>
  <c r="O19" i="17"/>
  <c r="P17" i="17"/>
  <c r="O17" i="17"/>
  <c r="P13" i="17"/>
  <c r="O13" i="17"/>
  <c r="P11" i="17"/>
  <c r="O11" i="17"/>
  <c r="P9" i="17"/>
  <c r="O9" i="17"/>
  <c r="P7" i="17"/>
  <c r="O7" i="17"/>
  <c r="P5" i="17"/>
  <c r="O5" i="17"/>
  <c r="G21" i="17"/>
  <c r="G19" i="17"/>
  <c r="G17" i="17"/>
  <c r="G15" i="17"/>
  <c r="G13" i="17"/>
  <c r="G11" i="17"/>
  <c r="G9" i="17"/>
  <c r="G7" i="17"/>
  <c r="G5" i="17"/>
  <c r="F21" i="17"/>
  <c r="F19" i="17"/>
  <c r="F17" i="17"/>
  <c r="F15" i="17"/>
  <c r="F13" i="17"/>
  <c r="F11" i="17"/>
  <c r="F9" i="17"/>
  <c r="F7" i="17"/>
  <c r="F5" i="17"/>
  <c r="M21" i="17"/>
  <c r="D21" i="17"/>
  <c r="M19" i="17"/>
  <c r="D19" i="17"/>
  <c r="M17" i="17"/>
  <c r="D17" i="17"/>
  <c r="D15" i="17"/>
  <c r="M13" i="17"/>
  <c r="D13" i="17"/>
  <c r="M11" i="17"/>
  <c r="D11" i="17"/>
  <c r="M9" i="17"/>
  <c r="D9" i="17"/>
  <c r="M7" i="17"/>
  <c r="D7" i="17"/>
  <c r="M5" i="17"/>
  <c r="D5" i="17"/>
  <c r="F64" i="9" l="1"/>
  <c r="C64" i="9"/>
  <c r="L64" i="9"/>
  <c r="O64" i="9"/>
  <c r="D64" i="9"/>
  <c r="G64" i="9"/>
  <c r="M64" i="9"/>
  <c r="P64" i="9"/>
  <c r="L21" i="17"/>
  <c r="C21" i="17"/>
  <c r="L19" i="17"/>
  <c r="C19" i="17"/>
  <c r="L17" i="17"/>
  <c r="C17" i="17"/>
  <c r="C15" i="17"/>
  <c r="L13" i="17"/>
  <c r="C13" i="17"/>
  <c r="L11" i="17"/>
  <c r="C11" i="17"/>
  <c r="L9" i="17"/>
  <c r="C9" i="17"/>
  <c r="L7" i="17"/>
  <c r="C7" i="17"/>
  <c r="L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22" i="7"/>
  <c r="J22" i="7"/>
  <c r="E22" i="7"/>
  <c r="F11" i="7"/>
  <c r="E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C21" i="7" l="1"/>
  <c r="B21" i="7"/>
  <c r="M21" i="7" l="1"/>
  <c r="L21" i="7"/>
  <c r="G21" i="7" l="1"/>
  <c r="H21" i="7" l="1"/>
  <c r="D37" i="1" l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H21" i="2" l="1"/>
  <c r="H17" i="2"/>
  <c r="H11" i="2"/>
  <c r="H6" i="2"/>
  <c r="H40" i="2"/>
  <c r="H35" i="2"/>
  <c r="H43" i="2" l="1"/>
  <c r="H44" i="2"/>
  <c r="H23" i="2"/>
  <c r="H30" i="2"/>
  <c r="D36" i="15"/>
  <c r="O21" i="7"/>
  <c r="J21" i="7"/>
  <c r="E21" i="7"/>
  <c r="J3" i="17"/>
  <c r="C46" i="9"/>
  <c r="H45" i="2" l="1"/>
  <c r="G17" i="4"/>
  <c r="G27" i="4"/>
  <c r="C13" i="9"/>
  <c r="G12" i="4"/>
  <c r="G20" i="4"/>
  <c r="G21" i="4" s="1"/>
  <c r="G32" i="4"/>
  <c r="C18" i="9"/>
  <c r="C31" i="9"/>
  <c r="C4" i="9"/>
  <c r="C53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D21" i="15" l="1"/>
  <c r="G42" i="4"/>
  <c r="C65" i="9"/>
  <c r="C63" i="9" s="1"/>
  <c r="D42" i="15"/>
  <c r="Q60" i="9"/>
  <c r="E60" i="9"/>
  <c r="O53" i="9"/>
  <c r="N59" i="9"/>
  <c r="H59" i="9"/>
  <c r="E59" i="9"/>
  <c r="Q58" i="9"/>
  <c r="N57" i="9"/>
  <c r="H57" i="9"/>
  <c r="E57" i="9"/>
  <c r="Q56" i="9"/>
  <c r="N55" i="9"/>
  <c r="H55" i="9"/>
  <c r="E55" i="9"/>
  <c r="P53" i="9"/>
  <c r="Q54" i="9"/>
  <c r="M53" i="9"/>
  <c r="D53" i="9"/>
  <c r="Q51" i="9"/>
  <c r="N51" i="9"/>
  <c r="E51" i="9"/>
  <c r="N49" i="9"/>
  <c r="E49" i="9"/>
  <c r="Q47" i="9"/>
  <c r="M46" i="9"/>
  <c r="N47" i="9"/>
  <c r="H47" i="9"/>
  <c r="G46" i="9"/>
  <c r="D46" i="9"/>
  <c r="P46" i="9"/>
  <c r="L46" i="9"/>
  <c r="F46" i="9"/>
  <c r="Q44" i="9"/>
  <c r="N44" i="9"/>
  <c r="H44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5" i="9" l="1"/>
  <c r="N7" i="9"/>
  <c r="L31" i="9"/>
  <c r="N31" i="9" s="1"/>
  <c r="D31" i="9"/>
  <c r="E31" i="9" s="1"/>
  <c r="N46" i="9"/>
  <c r="G4" i="9"/>
  <c r="P4" i="9"/>
  <c r="Q4" i="9" s="1"/>
  <c r="N9" i="9"/>
  <c r="E11" i="9"/>
  <c r="L13" i="9"/>
  <c r="N13" i="9" s="1"/>
  <c r="Q14" i="9"/>
  <c r="E36" i="9"/>
  <c r="P31" i="9"/>
  <c r="O46" i="9"/>
  <c r="Q46" i="9" s="1"/>
  <c r="E6" i="9"/>
  <c r="N6" i="9"/>
  <c r="F18" i="9"/>
  <c r="H18" i="9" s="1"/>
  <c r="O31" i="9"/>
  <c r="N33" i="9"/>
  <c r="Q34" i="9"/>
  <c r="E37" i="9"/>
  <c r="N37" i="9"/>
  <c r="Q38" i="9"/>
  <c r="E56" i="9"/>
  <c r="N56" i="9"/>
  <c r="E58" i="9"/>
  <c r="N58" i="9"/>
  <c r="H35" i="9"/>
  <c r="H49" i="9"/>
  <c r="F4" i="9"/>
  <c r="L4" i="9"/>
  <c r="N4" i="9" s="1"/>
  <c r="H6" i="9"/>
  <c r="D13" i="9"/>
  <c r="E16" i="9"/>
  <c r="E19" i="9"/>
  <c r="H22" i="9"/>
  <c r="E29" i="9"/>
  <c r="F31" i="9"/>
  <c r="H33" i="9"/>
  <c r="E38" i="9"/>
  <c r="E44" i="9"/>
  <c r="H46" i="9"/>
  <c r="E47" i="9"/>
  <c r="H13" i="9"/>
  <c r="H20" i="9"/>
  <c r="E4" i="9"/>
  <c r="E7" i="9"/>
  <c r="L18" i="9"/>
  <c r="N18" i="9" s="1"/>
  <c r="D18" i="9"/>
  <c r="E21" i="9"/>
  <c r="H24" i="9"/>
  <c r="H40" i="9"/>
  <c r="Q53" i="9"/>
  <c r="G53" i="9"/>
  <c r="Q55" i="9"/>
  <c r="H15" i="9"/>
  <c r="E23" i="9"/>
  <c r="H27" i="9"/>
  <c r="E32" i="9"/>
  <c r="E34" i="9"/>
  <c r="H37" i="9"/>
  <c r="H42" i="9"/>
  <c r="E54" i="9"/>
  <c r="N54" i="9"/>
  <c r="Q57" i="9"/>
  <c r="Q59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E46" i="9"/>
  <c r="Q49" i="9"/>
  <c r="H51" i="9"/>
  <c r="F53" i="9"/>
  <c r="L53" i="9"/>
  <c r="H54" i="9"/>
  <c r="H56" i="9"/>
  <c r="H58" i="9"/>
  <c r="H60" i="9"/>
  <c r="N60" i="9"/>
  <c r="G65" i="9" l="1"/>
  <c r="G63" i="9" s="1"/>
  <c r="O65" i="9"/>
  <c r="R56" i="9" s="1"/>
  <c r="D65" i="9"/>
  <c r="D63" i="9" s="1"/>
  <c r="L65" i="9"/>
  <c r="P65" i="9"/>
  <c r="P63" i="9" s="1"/>
  <c r="F65" i="9"/>
  <c r="I4" i="9" s="1"/>
  <c r="Q31" i="9"/>
  <c r="E18" i="9"/>
  <c r="E64" i="9"/>
  <c r="M63" i="9"/>
  <c r="N64" i="9"/>
  <c r="H53" i="9"/>
  <c r="H31" i="9"/>
  <c r="H4" i="9"/>
  <c r="R23" i="9"/>
  <c r="R35" i="9"/>
  <c r="Q64" i="9"/>
  <c r="N53" i="9"/>
  <c r="E13" i="9"/>
  <c r="H64" i="9"/>
  <c r="E53" i="9"/>
  <c r="R54" i="9"/>
  <c r="R33" i="9"/>
  <c r="R22" i="9"/>
  <c r="R31" i="9" l="1"/>
  <c r="R24" i="9"/>
  <c r="R64" i="9"/>
  <c r="R19" i="9"/>
  <c r="R44" i="9"/>
  <c r="R42" i="9"/>
  <c r="R14" i="9"/>
  <c r="R53" i="9"/>
  <c r="R20" i="9"/>
  <c r="R59" i="9"/>
  <c r="R13" i="9"/>
  <c r="R55" i="9"/>
  <c r="R9" i="9"/>
  <c r="O63" i="9"/>
  <c r="R49" i="9"/>
  <c r="R27" i="9"/>
  <c r="R58" i="9"/>
  <c r="R7" i="9"/>
  <c r="R6" i="9"/>
  <c r="R46" i="9"/>
  <c r="R32" i="9"/>
  <c r="R51" i="9"/>
  <c r="R40" i="9"/>
  <c r="R57" i="9"/>
  <c r="R5" i="9"/>
  <c r="R34" i="9"/>
  <c r="R16" i="9"/>
  <c r="R25" i="9"/>
  <c r="Q65" i="9"/>
  <c r="R18" i="9"/>
  <c r="R29" i="9"/>
  <c r="R50" i="9"/>
  <c r="R60" i="9"/>
  <c r="R15" i="9"/>
  <c r="R4" i="9"/>
  <c r="R37" i="9"/>
  <c r="R36" i="9"/>
  <c r="R21" i="9"/>
  <c r="R47" i="9"/>
  <c r="R11" i="9"/>
  <c r="R38" i="9"/>
  <c r="R65" i="9"/>
  <c r="I64" i="9"/>
  <c r="I31" i="9"/>
  <c r="I53" i="9"/>
  <c r="H65" i="9"/>
  <c r="I65" i="9" s="1"/>
  <c r="F63" i="9"/>
  <c r="I59" i="9"/>
  <c r="I57" i="9"/>
  <c r="I9" i="9"/>
  <c r="I55" i="9"/>
  <c r="I5" i="9"/>
  <c r="I36" i="9"/>
  <c r="I51" i="9"/>
  <c r="I46" i="9"/>
  <c r="I13" i="9"/>
  <c r="I14" i="9"/>
  <c r="I24" i="9"/>
  <c r="I40" i="9"/>
  <c r="I19" i="9"/>
  <c r="I37" i="9"/>
  <c r="I42" i="9"/>
  <c r="I58" i="9"/>
  <c r="I6" i="9"/>
  <c r="I49" i="9"/>
  <c r="I23" i="9"/>
  <c r="I32" i="9"/>
  <c r="I34" i="9"/>
  <c r="I21" i="9"/>
  <c r="I29" i="9"/>
  <c r="I47" i="9"/>
  <c r="I35" i="9"/>
  <c r="I22" i="9"/>
  <c r="I33" i="9"/>
  <c r="I20" i="9"/>
  <c r="I11" i="9"/>
  <c r="I56" i="9"/>
  <c r="I16" i="9"/>
  <c r="I27" i="9"/>
  <c r="I18" i="9"/>
  <c r="I54" i="9"/>
  <c r="I7" i="9"/>
  <c r="I25" i="9"/>
  <c r="I15" i="9"/>
  <c r="I38" i="9"/>
  <c r="I44" i="9"/>
  <c r="I60" i="9"/>
  <c r="E65" i="9"/>
  <c r="N65" i="9"/>
  <c r="L63" i="9"/>
  <c r="R63" i="9" l="1"/>
  <c r="Q63" i="9"/>
  <c r="N63" i="9"/>
  <c r="E63" i="9"/>
  <c r="H63" i="9"/>
  <c r="I63" i="9"/>
  <c r="J2" i="9" l="1"/>
  <c r="M24" i="17" l="1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G32" i="8" l="1"/>
  <c r="G18" i="8"/>
  <c r="G6" i="8"/>
  <c r="G31" i="8"/>
  <c r="G10" i="8"/>
  <c r="G12" i="8" l="1"/>
  <c r="G23" i="8"/>
  <c r="G28" i="8"/>
  <c r="G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G6" i="2"/>
  <c r="G17" i="2"/>
  <c r="G30" i="2"/>
  <c r="G40" i="2"/>
  <c r="K37" i="15"/>
  <c r="M30" i="16"/>
  <c r="M6" i="16"/>
  <c r="G43" i="2"/>
  <c r="M37" i="16"/>
  <c r="F6" i="2"/>
  <c r="F17" i="2"/>
  <c r="F30" i="2"/>
  <c r="F40" i="2"/>
  <c r="G11" i="2"/>
  <c r="K32" i="15"/>
  <c r="K12" i="15"/>
  <c r="K27" i="15"/>
  <c r="K17" i="15"/>
  <c r="G35" i="2"/>
  <c r="M18" i="16"/>
  <c r="G21" i="2"/>
  <c r="K40" i="15"/>
  <c r="K20" i="15"/>
  <c r="M11" i="16"/>
  <c r="K41" i="15"/>
  <c r="F43" i="2"/>
  <c r="G44" i="2"/>
  <c r="F44" i="2"/>
  <c r="F45" i="2" l="1"/>
  <c r="G23" i="2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F27" i="15"/>
  <c r="C23" i="8"/>
  <c r="D35" i="2"/>
  <c r="B35" i="3"/>
  <c r="F35" i="3"/>
  <c r="H35" i="3"/>
  <c r="E32" i="4"/>
  <c r="B32" i="15"/>
  <c r="I32" i="15"/>
  <c r="L32" i="15"/>
  <c r="J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I51" i="2" s="1"/>
  <c r="O33" i="7"/>
  <c r="J33" i="7"/>
  <c r="E33" i="7"/>
  <c r="J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27" i="7"/>
  <c r="P27" i="7" s="1"/>
  <c r="N28" i="7"/>
  <c r="P28" i="7" s="1"/>
  <c r="D27" i="7"/>
  <c r="F27" i="7" s="1"/>
  <c r="D28" i="7"/>
  <c r="F28" i="7" s="1"/>
  <c r="N24" i="7"/>
  <c r="P24" i="7" s="1"/>
  <c r="N25" i="7"/>
  <c r="P25" i="7" s="1"/>
  <c r="D24" i="7"/>
  <c r="F24" i="7" s="1"/>
  <c r="D25" i="7"/>
  <c r="F25" i="7" s="1"/>
  <c r="N23" i="7"/>
  <c r="P23" i="7" s="1"/>
  <c r="D23" i="7"/>
  <c r="F23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I24" i="7"/>
  <c r="K24" i="7" s="1"/>
  <c r="I23" i="7"/>
  <c r="K23" i="7" s="1"/>
  <c r="M45" i="15"/>
  <c r="M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B18" i="3"/>
  <c r="F17" i="15"/>
  <c r="B37" i="16"/>
  <c r="F37" i="16"/>
  <c r="H44" i="3"/>
  <c r="J48" i="3"/>
  <c r="I50" i="2" s="1"/>
  <c r="J50" i="2" s="1"/>
  <c r="D30" i="16"/>
  <c r="I30" i="16"/>
  <c r="O11" i="16"/>
  <c r="F41" i="15"/>
  <c r="K41" i="4"/>
  <c r="C23" i="16"/>
  <c r="K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J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J6" i="8"/>
  <c r="J12" i="8" s="1"/>
  <c r="D20" i="1"/>
  <c r="L32" i="8"/>
  <c r="L41" i="15"/>
  <c r="G41" i="15"/>
  <c r="B41" i="15"/>
  <c r="D41" i="4"/>
  <c r="C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L23" i="8"/>
  <c r="D23" i="8"/>
  <c r="L27" i="15"/>
  <c r="G27" i="15"/>
  <c r="J28" i="3"/>
  <c r="I28" i="2" s="1"/>
  <c r="J28" i="2" s="1"/>
  <c r="B5" i="5" s="1"/>
  <c r="J23" i="8"/>
  <c r="H33" i="8"/>
  <c r="C30" i="16"/>
  <c r="H30" i="16"/>
  <c r="G7" i="3"/>
  <c r="E7" i="7"/>
  <c r="C12" i="7"/>
  <c r="K6" i="8"/>
  <c r="K12" i="8" s="1"/>
  <c r="C44" i="3"/>
  <c r="F32" i="15"/>
  <c r="K32" i="4"/>
  <c r="D27" i="4"/>
  <c r="L18" i="8"/>
  <c r="D18" i="8"/>
  <c r="F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I9" i="2" s="1"/>
  <c r="B17" i="2"/>
  <c r="D21" i="1"/>
  <c r="H41" i="15"/>
  <c r="M36" i="15"/>
  <c r="L36" i="4" s="1"/>
  <c r="M36" i="4" s="1"/>
  <c r="C16" i="5" s="1"/>
  <c r="B37" i="4"/>
  <c r="L31" i="8"/>
  <c r="D28" i="8"/>
  <c r="L40" i="15"/>
  <c r="D40" i="4"/>
  <c r="H40" i="3"/>
  <c r="B40" i="3"/>
  <c r="D40" i="2"/>
  <c r="F44" i="3"/>
  <c r="B32" i="8"/>
  <c r="L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J48" i="2"/>
  <c r="C49" i="2"/>
  <c r="J49" i="2" s="1"/>
  <c r="G6" i="7"/>
  <c r="C7" i="1" s="1"/>
  <c r="J11" i="3"/>
  <c r="I10" i="2" s="1"/>
  <c r="J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20" i="3"/>
  <c r="I19" i="2" s="1"/>
  <c r="J19" i="2" s="1"/>
  <c r="M8" i="8"/>
  <c r="G43" i="3"/>
  <c r="B27" i="4"/>
  <c r="L19" i="4"/>
  <c r="M19" i="4" s="1"/>
  <c r="D31" i="8"/>
  <c r="D7" i="4"/>
  <c r="J39" i="3"/>
  <c r="I39" i="2" s="1"/>
  <c r="J39" i="2" s="1"/>
  <c r="B16" i="5" s="1"/>
  <c r="B32" i="4"/>
  <c r="E35" i="2"/>
  <c r="B35" i="2"/>
  <c r="F23" i="8"/>
  <c r="D43" i="2"/>
  <c r="F23" i="16"/>
  <c r="N11" i="16"/>
  <c r="L20" i="15"/>
  <c r="L21" i="15" s="1"/>
  <c r="C40" i="4"/>
  <c r="C31" i="8"/>
  <c r="F43" i="3"/>
  <c r="B41" i="4"/>
  <c r="C32" i="4"/>
  <c r="B18" i="16"/>
  <c r="F18" i="16"/>
  <c r="P21" i="16"/>
  <c r="H7" i="3"/>
  <c r="C6" i="2"/>
  <c r="F7" i="15"/>
  <c r="H7" i="15"/>
  <c r="E7" i="4"/>
  <c r="J16" i="3"/>
  <c r="I15" i="2" s="1"/>
  <c r="J15" i="2" s="1"/>
  <c r="I40" i="15"/>
  <c r="D6" i="8"/>
  <c r="D12" i="8" s="1"/>
  <c r="M5" i="8"/>
  <c r="C19" i="1" s="1"/>
  <c r="M27" i="8"/>
  <c r="D16" i="5" s="1"/>
  <c r="C44" i="2"/>
  <c r="H23" i="16"/>
  <c r="J5" i="3"/>
  <c r="I4" i="2" s="1"/>
  <c r="J4" i="2" s="1"/>
  <c r="B5" i="1" s="1"/>
  <c r="C7" i="15"/>
  <c r="L5" i="4"/>
  <c r="M5" i="4" s="1"/>
  <c r="L16" i="4"/>
  <c r="M16" i="4" s="1"/>
  <c r="G20" i="15"/>
  <c r="G21" i="15" s="1"/>
  <c r="I30" i="3"/>
  <c r="I43" i="3"/>
  <c r="J34" i="3"/>
  <c r="I34" i="2" s="1"/>
  <c r="J34" i="2" s="1"/>
  <c r="B11" i="5" s="1"/>
  <c r="J29" i="3"/>
  <c r="I29" i="2" s="1"/>
  <c r="F12" i="3"/>
  <c r="G35" i="3"/>
  <c r="M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D5" i="5" s="1"/>
  <c r="H37" i="15"/>
  <c r="L18" i="4"/>
  <c r="M18" i="4" s="1"/>
  <c r="J32" i="8"/>
  <c r="P10" i="16"/>
  <c r="B11" i="16"/>
  <c r="J51" i="2"/>
  <c r="J21" i="3"/>
  <c r="I20" i="2" s="1"/>
  <c r="J20" i="2" s="1"/>
  <c r="G22" i="3"/>
  <c r="H41" i="4"/>
  <c r="M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M22" i="8"/>
  <c r="D11" i="5" s="1"/>
  <c r="H27" i="15"/>
  <c r="C41" i="15"/>
  <c r="E41" i="4"/>
  <c r="F30" i="3"/>
  <c r="M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M21" i="8"/>
  <c r="H27" i="4"/>
  <c r="O6" i="16"/>
  <c r="J6" i="3"/>
  <c r="I5" i="2" s="1"/>
  <c r="J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L6" i="8"/>
  <c r="I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B6" i="2"/>
  <c r="J17" i="3"/>
  <c r="I16" i="2" s="1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B43" i="3"/>
  <c r="C11" i="16"/>
  <c r="P9" i="16"/>
  <c r="B22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I33" i="2" s="1"/>
  <c r="C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C22" i="7" l="1"/>
  <c r="F20" i="1"/>
  <c r="G20" i="1"/>
  <c r="F21" i="1"/>
  <c r="G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D33" i="1" s="1"/>
  <c r="M10" i="8"/>
  <c r="H45" i="3"/>
  <c r="J33" i="8"/>
  <c r="F21" i="15"/>
  <c r="G45" i="3"/>
  <c r="D45" i="2"/>
  <c r="C45" i="3"/>
  <c r="L12" i="8"/>
  <c r="G23" i="3"/>
  <c r="B33" i="8"/>
  <c r="H42" i="15"/>
  <c r="I21" i="15"/>
  <c r="F42" i="15"/>
  <c r="B42" i="4"/>
  <c r="D7" i="1"/>
  <c r="I17" i="2"/>
  <c r="J17" i="2" s="1"/>
  <c r="J12" i="3"/>
  <c r="J44" i="3"/>
  <c r="E45" i="2"/>
  <c r="L33" i="8"/>
  <c r="E21" i="4"/>
  <c r="D17" i="5"/>
  <c r="F45" i="3"/>
  <c r="G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M32" i="15"/>
  <c r="M25" i="4"/>
  <c r="C5" i="5" s="1"/>
  <c r="J30" i="3"/>
  <c r="P6" i="16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P23" i="16"/>
  <c r="L32" i="4"/>
  <c r="M32" i="4" s="1"/>
  <c r="C37" i="1"/>
  <c r="I42" i="15"/>
  <c r="J22" i="3"/>
  <c r="E23" i="2"/>
  <c r="M27" i="15"/>
  <c r="B16" i="1"/>
  <c r="C17" i="1"/>
  <c r="P37" i="16"/>
  <c r="L41" i="4"/>
  <c r="M41" i="4" s="1"/>
  <c r="P18" i="16"/>
  <c r="D19" i="1"/>
  <c r="I6" i="2"/>
  <c r="J6" i="2" s="1"/>
  <c r="D5" i="1" s="1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I35" i="2"/>
  <c r="J35" i="2" s="1"/>
  <c r="I43" i="2"/>
  <c r="D6" i="5"/>
  <c r="J33" i="2"/>
  <c r="B10" i="5" s="1"/>
  <c r="K33" i="8"/>
  <c r="M37" i="15"/>
  <c r="J18" i="3"/>
  <c r="C23" i="3"/>
  <c r="L17" i="4"/>
  <c r="M17" i="4" s="1"/>
  <c r="D10" i="5"/>
  <c r="C12" i="8"/>
  <c r="M6" i="8"/>
  <c r="E42" i="4"/>
  <c r="C42" i="15"/>
  <c r="M40" i="15"/>
  <c r="M41" i="15"/>
  <c r="C33" i="8"/>
  <c r="B45" i="2"/>
  <c r="L37" i="4"/>
  <c r="L40" i="4"/>
  <c r="M40" i="4" s="1"/>
  <c r="M35" i="4"/>
  <c r="C15" i="5" s="1"/>
  <c r="L12" i="4"/>
  <c r="M12" i="4" s="1"/>
  <c r="E16" i="5"/>
  <c r="F16" i="5" s="1"/>
  <c r="I16" i="5" s="1"/>
  <c r="J16" i="2"/>
  <c r="C16" i="1" s="1"/>
  <c r="C42" i="4"/>
  <c r="B45" i="3"/>
  <c r="J43" i="3"/>
  <c r="D22" i="7" l="1"/>
  <c r="F22" i="7" s="1"/>
  <c r="G5" i="1"/>
  <c r="G19" i="1"/>
  <c r="B8" i="1"/>
  <c r="G7" i="1"/>
  <c r="F18" i="1"/>
  <c r="G18" i="1"/>
  <c r="I21" i="1"/>
  <c r="I20" i="1"/>
  <c r="M21" i="15"/>
  <c r="D6" i="1"/>
  <c r="C8" i="1"/>
  <c r="C33" i="1" s="1"/>
  <c r="C33" i="7"/>
  <c r="M12" i="8"/>
  <c r="B10" i="1"/>
  <c r="D21" i="7"/>
  <c r="F21" i="7" s="1"/>
  <c r="F19" i="1"/>
  <c r="I45" i="2"/>
  <c r="J45" i="2" s="1"/>
  <c r="J45" i="3"/>
  <c r="F7" i="1"/>
  <c r="I23" i="2"/>
  <c r="J23" i="2" s="1"/>
  <c r="B27" i="1"/>
  <c r="B21" i="5"/>
  <c r="B28" i="1"/>
  <c r="B33" i="7"/>
  <c r="L42" i="4"/>
  <c r="M42" i="4" s="1"/>
  <c r="M42" i="15"/>
  <c r="J23" i="3"/>
  <c r="B17" i="1"/>
  <c r="D17" i="1" s="1"/>
  <c r="G17" i="1" s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I6" i="5" s="1"/>
  <c r="C7" i="5"/>
  <c r="E5" i="5"/>
  <c r="I7" i="1" l="1"/>
  <c r="I19" i="1"/>
  <c r="D10" i="1"/>
  <c r="G10" i="1" s="1"/>
  <c r="G6" i="1"/>
  <c r="G16" i="1"/>
  <c r="I18" i="1"/>
  <c r="D8" i="1"/>
  <c r="F8" i="1" s="1"/>
  <c r="F6" i="1"/>
  <c r="C11" i="1"/>
  <c r="M22" i="7" s="1"/>
  <c r="B32" i="1"/>
  <c r="D32" i="1" s="1"/>
  <c r="B11" i="1"/>
  <c r="L22" i="7" s="1"/>
  <c r="D33" i="7"/>
  <c r="D28" i="1"/>
  <c r="B22" i="1"/>
  <c r="B29" i="1"/>
  <c r="C12" i="5"/>
  <c r="C21" i="5"/>
  <c r="E21" i="5" s="1"/>
  <c r="F21" i="5" s="1"/>
  <c r="E11" i="5"/>
  <c r="F11" i="5" s="1"/>
  <c r="I11" i="5" s="1"/>
  <c r="C29" i="1"/>
  <c r="I10" i="1"/>
  <c r="F5" i="5"/>
  <c r="I5" i="5" s="1"/>
  <c r="E7" i="5"/>
  <c r="I5" i="1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F10" i="1" l="1"/>
  <c r="I6" i="1"/>
  <c r="H22" i="7"/>
  <c r="C32" i="1"/>
  <c r="G22" i="7"/>
  <c r="N22" i="7"/>
  <c r="P22" i="7" s="1"/>
  <c r="H21" i="5"/>
  <c r="I21" i="5"/>
  <c r="F28" i="1"/>
  <c r="G28" i="1"/>
  <c r="G8" i="1"/>
  <c r="I8" i="1" s="1"/>
  <c r="F33" i="7"/>
  <c r="M33" i="7"/>
  <c r="I17" i="1"/>
  <c r="D11" i="1"/>
  <c r="F11" i="1" s="1"/>
  <c r="H33" i="7"/>
  <c r="N21" i="7"/>
  <c r="L33" i="7"/>
  <c r="E12" i="5"/>
  <c r="C22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K6" i="5"/>
  <c r="F20" i="5"/>
  <c r="I20" i="5" s="1"/>
  <c r="E22" i="5"/>
  <c r="F12" i="5"/>
  <c r="H12" i="5" s="1"/>
  <c r="H10" i="5"/>
  <c r="N33" i="7" l="1"/>
  <c r="P33" i="7" s="1"/>
  <c r="I22" i="7"/>
  <c r="K22" i="7" s="1"/>
  <c r="G11" i="1"/>
  <c r="I11" i="1" s="1"/>
  <c r="I28" i="1"/>
  <c r="D34" i="1"/>
  <c r="E33" i="1" s="1"/>
  <c r="K11" i="5"/>
  <c r="P21" i="7"/>
  <c r="I21" i="7"/>
  <c r="G33" i="7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K5" i="5"/>
  <c r="I33" i="7" l="1"/>
  <c r="K33" i="7" s="1"/>
  <c r="K21" i="5"/>
  <c r="E32" i="1"/>
  <c r="K21" i="7"/>
  <c r="K20" i="5"/>
  <c r="I22" i="5"/>
  <c r="K22" i="5" s="1"/>
</calcChain>
</file>

<file path=xl/sharedStrings.xml><?xml version="1.0" encoding="utf-8"?>
<sst xmlns="http://schemas.openxmlformats.org/spreadsheetml/2006/main" count="596" uniqueCount="230">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</sst>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0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1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2" xfId="0" applyFont="1" applyBorder="1"/>
    <xf numFmtId="0" fontId="19" fillId="0" borderId="73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3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4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7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8" xfId="0" applyNumberFormat="1" applyFont="1" applyBorder="1"/>
    <xf numFmtId="165" fontId="29" fillId="0" borderId="57" xfId="1" applyNumberFormat="1" applyFont="1" applyBorder="1"/>
    <xf numFmtId="10" fontId="29" fillId="0" borderId="78" xfId="0" applyNumberFormat="1" applyFont="1" applyBorder="1"/>
    <xf numFmtId="10" fontId="29" fillId="0" borderId="58" xfId="3" applyNumberFormat="1" applyFont="1" applyBorder="1"/>
    <xf numFmtId="165" fontId="29" fillId="0" borderId="78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9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3" fontId="0" fillId="0" borderId="1" xfId="0" applyNumberFormat="1" applyFill="1" applyBorder="1"/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5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6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2" xfId="0" applyFill="1" applyBorder="1" applyAlignment="1">
      <alignment vertical="center" textRotation="255"/>
    </xf>
    <xf numFmtId="0" fontId="0" fillId="7" borderId="73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1977865</v>
          </cell>
          <cell r="G5">
            <v>3987968</v>
          </cell>
        </row>
        <row r="6">
          <cell r="D6">
            <v>544459</v>
          </cell>
          <cell r="G6">
            <v>1133999</v>
          </cell>
        </row>
        <row r="7">
          <cell r="D7">
            <v>539</v>
          </cell>
          <cell r="G7">
            <v>686</v>
          </cell>
        </row>
        <row r="10">
          <cell r="D10">
            <v>87559</v>
          </cell>
          <cell r="G10">
            <v>180195</v>
          </cell>
        </row>
        <row r="16">
          <cell r="D16">
            <v>15972</v>
          </cell>
          <cell r="G16">
            <v>32891</v>
          </cell>
        </row>
        <row r="17">
          <cell r="D17">
            <v>11218</v>
          </cell>
          <cell r="G17">
            <v>23460</v>
          </cell>
        </row>
        <row r="18">
          <cell r="D18">
            <v>7</v>
          </cell>
          <cell r="G18">
            <v>9</v>
          </cell>
        </row>
        <row r="19">
          <cell r="D19">
            <v>1116</v>
          </cell>
          <cell r="G19">
            <v>2314</v>
          </cell>
        </row>
        <row r="20">
          <cell r="D20">
            <v>1695</v>
          </cell>
          <cell r="G20">
            <v>3320</v>
          </cell>
        </row>
        <row r="21">
          <cell r="D21">
            <v>39</v>
          </cell>
          <cell r="G21">
            <v>87</v>
          </cell>
        </row>
        <row r="27">
          <cell r="D27">
            <v>14773.16284303013</v>
          </cell>
          <cell r="G27">
            <v>29967.42995615138</v>
          </cell>
        </row>
        <row r="28">
          <cell r="D28">
            <v>1817.4126312103299</v>
          </cell>
          <cell r="G28">
            <v>3210.8025790209599</v>
          </cell>
        </row>
        <row r="32">
          <cell r="B32">
            <v>816089</v>
          </cell>
          <cell r="D32">
            <v>1645414</v>
          </cell>
        </row>
        <row r="33">
          <cell r="B33">
            <v>453424</v>
          </cell>
          <cell r="D33">
            <v>934458</v>
          </cell>
        </row>
      </sheetData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>
        <row r="5">
          <cell r="F5">
            <v>7867.3070066999098</v>
          </cell>
          <cell r="I5">
            <v>15760.031969037511</v>
          </cell>
        </row>
        <row r="6">
          <cell r="F6">
            <v>710.82414943462993</v>
          </cell>
          <cell r="I6">
            <v>1506.63200453535</v>
          </cell>
        </row>
        <row r="10">
          <cell r="F10">
            <v>6905.85583633022</v>
          </cell>
          <cell r="I10">
            <v>14207.397987113869</v>
          </cell>
        </row>
        <row r="11">
          <cell r="F11">
            <v>1106.5884817757001</v>
          </cell>
          <cell r="I11">
            <v>1704.1705744856099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14773.16284303013</v>
          </cell>
        </row>
        <row r="21">
          <cell r="F21">
            <v>1817.4126312103299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2048565</v>
          </cell>
        </row>
        <row r="6">
          <cell r="G6">
            <v>543672</v>
          </cell>
        </row>
        <row r="7">
          <cell r="G7">
            <v>394</v>
          </cell>
        </row>
        <row r="10">
          <cell r="G10">
            <v>92179</v>
          </cell>
        </row>
        <row r="16">
          <cell r="G16">
            <v>16715</v>
          </cell>
        </row>
        <row r="17">
          <cell r="G17">
            <v>11204</v>
          </cell>
        </row>
        <row r="18">
          <cell r="G18">
            <v>4</v>
          </cell>
        </row>
        <row r="19">
          <cell r="G19">
            <v>1270</v>
          </cell>
        </row>
        <row r="20">
          <cell r="G20">
            <v>1541</v>
          </cell>
        </row>
        <row r="21">
          <cell r="G21">
            <v>82</v>
          </cell>
        </row>
        <row r="27">
          <cell r="G27">
            <v>16165.67554319718</v>
          </cell>
        </row>
        <row r="28">
          <cell r="G28">
            <v>2076.6374955187398</v>
          </cell>
        </row>
        <row r="32">
          <cell r="D32">
            <v>849460</v>
          </cell>
        </row>
        <row r="33">
          <cell r="D33">
            <v>449608</v>
          </cell>
        </row>
      </sheetData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>
        <row r="5">
          <cell r="I5">
            <v>8953.7274109282989</v>
          </cell>
        </row>
        <row r="6">
          <cell r="I6">
            <v>793.94721919897995</v>
          </cell>
        </row>
        <row r="10">
          <cell r="I10">
            <v>7211.9481322688798</v>
          </cell>
        </row>
        <row r="11">
          <cell r="I11">
            <v>1282.69027631976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16165.67554319718</v>
          </cell>
        </row>
        <row r="21">
          <cell r="I21">
            <v>2076.6374955187398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O4">
            <v>105</v>
          </cell>
        </row>
        <row r="5">
          <cell r="FO5">
            <v>105</v>
          </cell>
        </row>
        <row r="8">
          <cell r="FO8"/>
        </row>
        <row r="9">
          <cell r="FO9"/>
        </row>
        <row r="19">
          <cell r="EZ19">
            <v>232</v>
          </cell>
          <cell r="FA19">
            <v>232</v>
          </cell>
          <cell r="FN19">
            <v>248</v>
          </cell>
          <cell r="FO19">
            <v>210</v>
          </cell>
        </row>
        <row r="22">
          <cell r="FO22">
            <v>379</v>
          </cell>
        </row>
        <row r="23">
          <cell r="FO23">
            <v>376</v>
          </cell>
        </row>
        <row r="27">
          <cell r="FO27"/>
        </row>
        <row r="28">
          <cell r="FO28"/>
        </row>
        <row r="41">
          <cell r="EZ41">
            <v>663</v>
          </cell>
          <cell r="FA41">
            <v>811</v>
          </cell>
          <cell r="FN41">
            <v>960</v>
          </cell>
          <cell r="FO41">
            <v>755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3"/>
      <sheetData sheetId="4">
        <row r="4">
          <cell r="FO4"/>
        </row>
        <row r="5">
          <cell r="FO5"/>
        </row>
        <row r="8">
          <cell r="FO8"/>
        </row>
        <row r="9">
          <cell r="FO9"/>
        </row>
        <row r="15">
          <cell r="FN15"/>
          <cell r="FO15"/>
        </row>
        <row r="16">
          <cell r="FN16"/>
          <cell r="FO16"/>
        </row>
        <row r="19">
          <cell r="EZ19">
            <v>0</v>
          </cell>
          <cell r="FA19">
            <v>0</v>
          </cell>
          <cell r="FN19">
            <v>0</v>
          </cell>
          <cell r="FO19">
            <v>0</v>
          </cell>
        </row>
        <row r="22">
          <cell r="FO22"/>
        </row>
        <row r="23">
          <cell r="FO23"/>
        </row>
        <row r="27">
          <cell r="FO27"/>
        </row>
        <row r="28">
          <cell r="FO28"/>
        </row>
        <row r="32">
          <cell r="FN32"/>
          <cell r="FO32"/>
        </row>
        <row r="33">
          <cell r="FN33"/>
          <cell r="FO33"/>
        </row>
        <row r="37">
          <cell r="FN37"/>
          <cell r="FO37"/>
        </row>
        <row r="38">
          <cell r="FN38"/>
          <cell r="FO38"/>
        </row>
        <row r="41">
          <cell r="EZ41">
            <v>0</v>
          </cell>
          <cell r="FA41">
            <v>0</v>
          </cell>
          <cell r="FN41">
            <v>0</v>
          </cell>
          <cell r="FO41">
            <v>0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5">
        <row r="4">
          <cell r="FO4">
            <v>56</v>
          </cell>
        </row>
        <row r="5">
          <cell r="FO5">
            <v>56</v>
          </cell>
        </row>
        <row r="8">
          <cell r="FO8">
            <v>1</v>
          </cell>
        </row>
        <row r="9">
          <cell r="FO9">
            <v>1</v>
          </cell>
        </row>
        <row r="19">
          <cell r="EZ19">
            <v>114</v>
          </cell>
          <cell r="FA19">
            <v>62</v>
          </cell>
          <cell r="FN19">
            <v>120</v>
          </cell>
          <cell r="FO19">
            <v>114</v>
          </cell>
        </row>
        <row r="22">
          <cell r="FO22">
            <v>7425</v>
          </cell>
        </row>
        <row r="23">
          <cell r="FO23">
            <v>7784</v>
          </cell>
        </row>
        <row r="27">
          <cell r="FO27">
            <v>384</v>
          </cell>
        </row>
        <row r="28">
          <cell r="FO28">
            <v>471</v>
          </cell>
        </row>
        <row r="41">
          <cell r="EZ41">
            <v>15185</v>
          </cell>
          <cell r="FA41">
            <v>8520</v>
          </cell>
          <cell r="FN41">
            <v>15815</v>
          </cell>
          <cell r="FO41">
            <v>15209</v>
          </cell>
        </row>
        <row r="47">
          <cell r="FO47">
            <v>1490</v>
          </cell>
        </row>
        <row r="48">
          <cell r="FO48">
            <v>2653</v>
          </cell>
        </row>
        <row r="52">
          <cell r="FO52">
            <v>7237</v>
          </cell>
        </row>
        <row r="53">
          <cell r="FO53">
            <v>1264</v>
          </cell>
        </row>
        <row r="57">
          <cell r="FO57"/>
        </row>
        <row r="58">
          <cell r="FO58"/>
        </row>
      </sheetData>
      <sheetData sheetId="6"/>
      <sheetData sheetId="7">
        <row r="4">
          <cell r="FO4">
            <v>539</v>
          </cell>
        </row>
        <row r="5">
          <cell r="FO5">
            <v>540</v>
          </cell>
        </row>
        <row r="8">
          <cell r="FO8"/>
        </row>
        <row r="9">
          <cell r="FO9"/>
        </row>
        <row r="19">
          <cell r="EZ19">
            <v>1485</v>
          </cell>
          <cell r="FA19">
            <v>1390</v>
          </cell>
          <cell r="FN19">
            <v>1140</v>
          </cell>
          <cell r="FO19">
            <v>1079</v>
          </cell>
        </row>
        <row r="22">
          <cell r="FO22">
            <v>66157</v>
          </cell>
        </row>
        <row r="23">
          <cell r="FO23">
            <v>68846</v>
          </cell>
        </row>
        <row r="27">
          <cell r="FO27">
            <v>2211</v>
          </cell>
        </row>
        <row r="28">
          <cell r="FO28">
            <v>2461</v>
          </cell>
        </row>
        <row r="41">
          <cell r="EZ41">
            <v>159472</v>
          </cell>
          <cell r="FA41">
            <v>160767</v>
          </cell>
          <cell r="FN41">
            <v>137961</v>
          </cell>
          <cell r="FO41">
            <v>135003</v>
          </cell>
        </row>
        <row r="47">
          <cell r="FO47">
            <v>3713</v>
          </cell>
        </row>
        <row r="48">
          <cell r="FO48">
            <v>49134</v>
          </cell>
        </row>
        <row r="52">
          <cell r="FO52">
            <v>12874</v>
          </cell>
        </row>
        <row r="53">
          <cell r="FO53">
            <v>69659</v>
          </cell>
        </row>
        <row r="57">
          <cell r="FO57"/>
        </row>
        <row r="58">
          <cell r="FO58"/>
        </row>
      </sheetData>
      <sheetData sheetId="8"/>
      <sheetData sheetId="9">
        <row r="4">
          <cell r="FO4">
            <v>69</v>
          </cell>
        </row>
        <row r="5">
          <cell r="FO5">
            <v>69</v>
          </cell>
        </row>
        <row r="8">
          <cell r="FO8"/>
        </row>
        <row r="9">
          <cell r="FO9"/>
        </row>
        <row r="19">
          <cell r="EZ19">
            <v>151</v>
          </cell>
          <cell r="FA19">
            <v>145</v>
          </cell>
          <cell r="FN19">
            <v>158</v>
          </cell>
          <cell r="FO19">
            <v>138</v>
          </cell>
        </row>
        <row r="22">
          <cell r="FO22">
            <v>340</v>
          </cell>
        </row>
        <row r="23">
          <cell r="FO23">
            <v>342</v>
          </cell>
        </row>
        <row r="27">
          <cell r="FO27"/>
        </row>
        <row r="28">
          <cell r="FO28"/>
        </row>
        <row r="41">
          <cell r="EZ41">
            <v>1054</v>
          </cell>
          <cell r="FA41">
            <v>983</v>
          </cell>
          <cell r="FN41">
            <v>802</v>
          </cell>
          <cell r="FO41">
            <v>682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10">
        <row r="4">
          <cell r="FO4"/>
        </row>
        <row r="5">
          <cell r="FO5"/>
        </row>
        <row r="8">
          <cell r="FO8"/>
        </row>
        <row r="9">
          <cell r="FO9"/>
        </row>
        <row r="15">
          <cell r="FN15"/>
          <cell r="FO15"/>
        </row>
        <row r="16">
          <cell r="FN16"/>
          <cell r="FO16"/>
        </row>
        <row r="19">
          <cell r="EZ19">
            <v>0</v>
          </cell>
          <cell r="FA19">
            <v>0</v>
          </cell>
          <cell r="FN19">
            <v>0</v>
          </cell>
          <cell r="FO19">
            <v>0</v>
          </cell>
        </row>
        <row r="22">
          <cell r="FO22"/>
        </row>
        <row r="23">
          <cell r="FO23"/>
        </row>
        <row r="27">
          <cell r="FO27"/>
        </row>
        <row r="28">
          <cell r="FO28"/>
        </row>
        <row r="32">
          <cell r="FN32"/>
          <cell r="FO32"/>
        </row>
        <row r="33">
          <cell r="FN33"/>
          <cell r="FO33"/>
        </row>
        <row r="37">
          <cell r="FN37"/>
          <cell r="FO37"/>
        </row>
        <row r="38">
          <cell r="FN38"/>
          <cell r="FO38"/>
        </row>
        <row r="41">
          <cell r="EZ41">
            <v>0</v>
          </cell>
          <cell r="FA41">
            <v>0</v>
          </cell>
          <cell r="FN41">
            <v>0</v>
          </cell>
          <cell r="FO41">
            <v>0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11">
        <row r="4">
          <cell r="FO4">
            <v>4374</v>
          </cell>
        </row>
        <row r="5">
          <cell r="FO5">
            <v>4381</v>
          </cell>
        </row>
        <row r="8">
          <cell r="FO8">
            <v>7</v>
          </cell>
        </row>
        <row r="9">
          <cell r="FO9">
            <v>5</v>
          </cell>
        </row>
        <row r="15">
          <cell r="FN15">
            <v>551</v>
          </cell>
          <cell r="FO15">
            <v>538</v>
          </cell>
        </row>
        <row r="16">
          <cell r="FN16">
            <v>561</v>
          </cell>
          <cell r="FO16">
            <v>536</v>
          </cell>
        </row>
        <row r="19">
          <cell r="EZ19">
            <v>10013</v>
          </cell>
          <cell r="FA19">
            <v>9416</v>
          </cell>
          <cell r="FN19">
            <v>10463</v>
          </cell>
          <cell r="FO19">
            <v>9841</v>
          </cell>
        </row>
        <row r="22">
          <cell r="FO22">
            <v>576254</v>
          </cell>
        </row>
        <row r="23">
          <cell r="FO23">
            <v>595561</v>
          </cell>
        </row>
        <row r="27">
          <cell r="FO27">
            <v>23204</v>
          </cell>
        </row>
        <row r="28">
          <cell r="FO28">
            <v>22398</v>
          </cell>
        </row>
        <row r="32">
          <cell r="FN32">
            <v>84987</v>
          </cell>
          <cell r="FO32">
            <v>81807</v>
          </cell>
        </row>
        <row r="33">
          <cell r="FN33">
            <v>80924</v>
          </cell>
          <cell r="FO33">
            <v>80963</v>
          </cell>
        </row>
        <row r="37">
          <cell r="FN37">
            <v>2439</v>
          </cell>
          <cell r="FO37">
            <v>2388</v>
          </cell>
        </row>
        <row r="38">
          <cell r="FN38">
            <v>2364</v>
          </cell>
          <cell r="FO38">
            <v>2391</v>
          </cell>
        </row>
        <row r="41">
          <cell r="EZ41">
            <v>1293152</v>
          </cell>
          <cell r="FA41">
            <v>1245416</v>
          </cell>
          <cell r="FN41">
            <v>1348275</v>
          </cell>
          <cell r="FO41">
            <v>1334585</v>
          </cell>
        </row>
        <row r="47">
          <cell r="FO47">
            <v>4275565</v>
          </cell>
        </row>
        <row r="48">
          <cell r="FO48">
            <v>1187252</v>
          </cell>
        </row>
        <row r="52">
          <cell r="FO52">
            <v>2622990</v>
          </cell>
        </row>
        <row r="53">
          <cell r="FO53">
            <v>1461574</v>
          </cell>
        </row>
        <row r="57">
          <cell r="FO57"/>
        </row>
        <row r="58">
          <cell r="FO58"/>
        </row>
        <row r="70">
          <cell r="FO70">
            <v>341852</v>
          </cell>
        </row>
        <row r="71">
          <cell r="FO71">
            <v>253709</v>
          </cell>
        </row>
        <row r="73">
          <cell r="FO73">
            <v>46473</v>
          </cell>
        </row>
        <row r="74">
          <cell r="FO74">
            <v>34490</v>
          </cell>
        </row>
      </sheetData>
      <sheetData sheetId="12">
        <row r="4">
          <cell r="FO4">
            <v>111</v>
          </cell>
        </row>
        <row r="5">
          <cell r="FO5">
            <v>111</v>
          </cell>
        </row>
        <row r="8">
          <cell r="FO8"/>
        </row>
        <row r="9">
          <cell r="FO9"/>
        </row>
        <row r="19">
          <cell r="EZ19">
            <v>178</v>
          </cell>
          <cell r="FA19">
            <v>160</v>
          </cell>
          <cell r="FN19">
            <v>248</v>
          </cell>
          <cell r="FO19">
            <v>222</v>
          </cell>
        </row>
        <row r="22">
          <cell r="FO22">
            <v>16533</v>
          </cell>
        </row>
        <row r="23">
          <cell r="FO23">
            <v>18630</v>
          </cell>
        </row>
        <row r="27">
          <cell r="FO27">
            <v>155</v>
          </cell>
        </row>
        <row r="28">
          <cell r="FO28">
            <v>168</v>
          </cell>
        </row>
        <row r="41">
          <cell r="EZ41">
            <v>29207</v>
          </cell>
          <cell r="FA41">
            <v>27143</v>
          </cell>
          <cell r="FN41">
            <v>38319</v>
          </cell>
          <cell r="FO41">
            <v>35163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13"/>
      <sheetData sheetId="14">
        <row r="8">
          <cell r="FO8"/>
        </row>
        <row r="9">
          <cell r="FO9"/>
        </row>
        <row r="15">
          <cell r="FN15">
            <v>5</v>
          </cell>
          <cell r="FO15"/>
        </row>
        <row r="16">
          <cell r="FN16">
            <v>5</v>
          </cell>
          <cell r="FO16"/>
        </row>
        <row r="19">
          <cell r="EZ19">
            <v>32</v>
          </cell>
          <cell r="FA19">
            <v>28</v>
          </cell>
          <cell r="FN19">
            <v>10</v>
          </cell>
          <cell r="FO19">
            <v>0</v>
          </cell>
        </row>
        <row r="32">
          <cell r="FN32">
            <v>852</v>
          </cell>
          <cell r="FO32"/>
        </row>
        <row r="33">
          <cell r="FN33">
            <v>671</v>
          </cell>
          <cell r="FO33"/>
        </row>
        <row r="37">
          <cell r="FN37">
            <v>20</v>
          </cell>
          <cell r="FO37"/>
        </row>
        <row r="38">
          <cell r="FN38">
            <v>13</v>
          </cell>
          <cell r="FO38"/>
        </row>
        <row r="41">
          <cell r="EZ41">
            <v>4329</v>
          </cell>
          <cell r="FA41">
            <v>3399</v>
          </cell>
          <cell r="FN41">
            <v>1523</v>
          </cell>
          <cell r="FO41">
            <v>0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15"/>
      <sheetData sheetId="16">
        <row r="4">
          <cell r="FO4"/>
        </row>
        <row r="5">
          <cell r="FO5"/>
        </row>
        <row r="8">
          <cell r="FO8"/>
        </row>
        <row r="9">
          <cell r="FO9"/>
        </row>
        <row r="15">
          <cell r="FN15">
            <v>14</v>
          </cell>
          <cell r="FO15">
            <v>12</v>
          </cell>
        </row>
        <row r="16">
          <cell r="FN16">
            <v>14</v>
          </cell>
          <cell r="FO16">
            <v>12</v>
          </cell>
        </row>
        <row r="19">
          <cell r="EZ19">
            <v>0</v>
          </cell>
          <cell r="FA19">
            <v>0</v>
          </cell>
          <cell r="FN19">
            <v>28</v>
          </cell>
          <cell r="FO19">
            <v>24</v>
          </cell>
        </row>
        <row r="22">
          <cell r="FO22"/>
        </row>
        <row r="23">
          <cell r="FO23"/>
        </row>
        <row r="27">
          <cell r="FO27"/>
        </row>
        <row r="28">
          <cell r="FO28"/>
        </row>
        <row r="32">
          <cell r="FN32">
            <v>3469</v>
          </cell>
          <cell r="FO32">
            <v>2187</v>
          </cell>
        </row>
        <row r="33">
          <cell r="FN33">
            <v>2510</v>
          </cell>
          <cell r="FO33">
            <v>1897</v>
          </cell>
        </row>
        <row r="37">
          <cell r="FN37">
            <v>25</v>
          </cell>
          <cell r="FO37">
            <v>24</v>
          </cell>
        </row>
        <row r="38">
          <cell r="FN38">
            <v>24</v>
          </cell>
          <cell r="FO38">
            <v>14</v>
          </cell>
        </row>
        <row r="41">
          <cell r="EZ41">
            <v>0</v>
          </cell>
          <cell r="FA41">
            <v>0</v>
          </cell>
          <cell r="FN41">
            <v>5979</v>
          </cell>
          <cell r="FO41">
            <v>4084</v>
          </cell>
        </row>
        <row r="47">
          <cell r="FO47">
            <v>420349</v>
          </cell>
        </row>
        <row r="48">
          <cell r="FO48"/>
        </row>
        <row r="52">
          <cell r="FO52">
            <v>197710</v>
          </cell>
        </row>
        <row r="53">
          <cell r="FO53"/>
        </row>
        <row r="57">
          <cell r="FO57"/>
        </row>
        <row r="58">
          <cell r="FO58"/>
        </row>
      </sheetData>
      <sheetData sheetId="17"/>
      <sheetData sheetId="18">
        <row r="4">
          <cell r="FO4">
            <v>572</v>
          </cell>
        </row>
        <row r="5">
          <cell r="FO5">
            <v>572</v>
          </cell>
        </row>
        <row r="8">
          <cell r="FO8">
            <v>17</v>
          </cell>
        </row>
        <row r="9">
          <cell r="FO9">
            <v>6</v>
          </cell>
        </row>
        <row r="19">
          <cell r="EZ19">
            <v>1441</v>
          </cell>
          <cell r="FA19">
            <v>1315</v>
          </cell>
          <cell r="FN19">
            <v>1254</v>
          </cell>
          <cell r="FO19">
            <v>1167</v>
          </cell>
        </row>
        <row r="22">
          <cell r="FO22">
            <v>68511</v>
          </cell>
        </row>
        <row r="23">
          <cell r="FO23">
            <v>71500</v>
          </cell>
        </row>
        <row r="27">
          <cell r="FO27">
            <v>1235</v>
          </cell>
        </row>
        <row r="28">
          <cell r="FO28">
            <v>1378</v>
          </cell>
        </row>
        <row r="41">
          <cell r="EZ41">
            <v>152893</v>
          </cell>
          <cell r="FA41">
            <v>144226</v>
          </cell>
          <cell r="FN41">
            <v>146732</v>
          </cell>
          <cell r="FO41">
            <v>140011</v>
          </cell>
        </row>
        <row r="47">
          <cell r="FO47">
            <v>162844</v>
          </cell>
        </row>
        <row r="48">
          <cell r="FO48"/>
        </row>
        <row r="52">
          <cell r="FO52">
            <v>61595</v>
          </cell>
        </row>
        <row r="53">
          <cell r="FO53"/>
        </row>
        <row r="57">
          <cell r="FO57"/>
        </row>
        <row r="58">
          <cell r="FO58"/>
        </row>
        <row r="70">
          <cell r="FO70">
            <v>71012</v>
          </cell>
        </row>
        <row r="71">
          <cell r="FO71">
            <v>488</v>
          </cell>
        </row>
        <row r="73">
          <cell r="FO73"/>
        </row>
        <row r="74">
          <cell r="FO74"/>
        </row>
      </sheetData>
      <sheetData sheetId="19">
        <row r="4">
          <cell r="FO4">
            <v>343</v>
          </cell>
        </row>
        <row r="5">
          <cell r="FO5">
            <v>343</v>
          </cell>
        </row>
        <row r="8">
          <cell r="FO8"/>
        </row>
        <row r="9">
          <cell r="FO9"/>
        </row>
        <row r="19">
          <cell r="EZ19">
            <v>792</v>
          </cell>
          <cell r="FA19">
            <v>721</v>
          </cell>
          <cell r="FN19">
            <v>752</v>
          </cell>
          <cell r="FO19">
            <v>686</v>
          </cell>
        </row>
        <row r="22">
          <cell r="FO22">
            <v>44602</v>
          </cell>
        </row>
        <row r="23">
          <cell r="FO23">
            <v>48918</v>
          </cell>
        </row>
        <row r="27">
          <cell r="FO27">
            <v>342</v>
          </cell>
        </row>
        <row r="28">
          <cell r="FO28">
            <v>386</v>
          </cell>
        </row>
        <row r="41">
          <cell r="EZ41">
            <v>97377</v>
          </cell>
          <cell r="FA41">
            <v>98383</v>
          </cell>
          <cell r="FN41">
            <v>93848</v>
          </cell>
          <cell r="FO41">
            <v>93520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  <row r="73">
          <cell r="FO73"/>
        </row>
        <row r="74">
          <cell r="FO74"/>
        </row>
      </sheetData>
      <sheetData sheetId="20">
        <row r="4">
          <cell r="FO4">
            <v>627</v>
          </cell>
        </row>
        <row r="5">
          <cell r="FO5">
            <v>628</v>
          </cell>
        </row>
        <row r="8">
          <cell r="FO8">
            <v>71</v>
          </cell>
        </row>
        <row r="9">
          <cell r="FO9">
            <v>71</v>
          </cell>
        </row>
        <row r="15">
          <cell r="FN15">
            <v>200</v>
          </cell>
          <cell r="FO15">
            <v>294</v>
          </cell>
        </row>
        <row r="16">
          <cell r="FN16">
            <v>198</v>
          </cell>
          <cell r="FO16">
            <v>293</v>
          </cell>
        </row>
        <row r="19">
          <cell r="EZ19">
            <v>1901</v>
          </cell>
          <cell r="FA19">
            <v>1909</v>
          </cell>
          <cell r="FN19">
            <v>1836</v>
          </cell>
          <cell r="FO19">
            <v>1984</v>
          </cell>
        </row>
        <row r="22">
          <cell r="FO22">
            <v>77996</v>
          </cell>
        </row>
        <row r="23">
          <cell r="FO23">
            <v>86517</v>
          </cell>
        </row>
        <row r="27">
          <cell r="FO27">
            <v>1268</v>
          </cell>
        </row>
        <row r="28">
          <cell r="FO28">
            <v>1399</v>
          </cell>
        </row>
        <row r="32">
          <cell r="FN32">
            <v>22274</v>
          </cell>
          <cell r="FO32">
            <v>32562</v>
          </cell>
        </row>
        <row r="33">
          <cell r="FN33">
            <v>22273</v>
          </cell>
          <cell r="FO33">
            <v>35468</v>
          </cell>
        </row>
        <row r="37">
          <cell r="FN37">
            <v>214</v>
          </cell>
          <cell r="FO37">
            <v>188</v>
          </cell>
        </row>
        <row r="38">
          <cell r="FN38">
            <v>240</v>
          </cell>
          <cell r="FO38">
            <v>256</v>
          </cell>
        </row>
        <row r="41">
          <cell r="EZ41">
            <v>189664</v>
          </cell>
          <cell r="FA41">
            <v>220246</v>
          </cell>
          <cell r="FN41">
            <v>200537</v>
          </cell>
          <cell r="FO41">
            <v>232543</v>
          </cell>
        </row>
        <row r="47">
          <cell r="FO47">
            <v>84274</v>
          </cell>
        </row>
        <row r="48">
          <cell r="FO48">
            <v>461350</v>
          </cell>
        </row>
        <row r="52">
          <cell r="FO52">
            <v>45897</v>
          </cell>
        </row>
        <row r="53">
          <cell r="FO53">
            <v>24104</v>
          </cell>
        </row>
        <row r="57">
          <cell r="FO57"/>
        </row>
        <row r="58">
          <cell r="FO58"/>
        </row>
        <row r="70">
          <cell r="FO70">
            <v>84602</v>
          </cell>
        </row>
        <row r="71">
          <cell r="FO71">
            <v>1915</v>
          </cell>
        </row>
        <row r="73">
          <cell r="FO73">
            <v>35387</v>
          </cell>
        </row>
        <row r="74">
          <cell r="FO74">
            <v>81</v>
          </cell>
        </row>
      </sheetData>
      <sheetData sheetId="21">
        <row r="4">
          <cell r="FO4">
            <v>282</v>
          </cell>
        </row>
        <row r="5">
          <cell r="FO5">
            <v>282</v>
          </cell>
        </row>
        <row r="8">
          <cell r="FO8"/>
        </row>
        <row r="9">
          <cell r="FO9"/>
        </row>
        <row r="19">
          <cell r="EZ19">
            <v>580</v>
          </cell>
          <cell r="FA19">
            <v>594</v>
          </cell>
          <cell r="FN19">
            <v>458</v>
          </cell>
          <cell r="FO19">
            <v>564</v>
          </cell>
        </row>
        <row r="22">
          <cell r="FO22">
            <v>35060</v>
          </cell>
        </row>
        <row r="23">
          <cell r="FO23">
            <v>35620</v>
          </cell>
        </row>
        <row r="27">
          <cell r="FO27">
            <v>942</v>
          </cell>
        </row>
        <row r="28">
          <cell r="FO28">
            <v>1081</v>
          </cell>
        </row>
        <row r="41">
          <cell r="EZ41">
            <v>67107</v>
          </cell>
          <cell r="FA41">
            <v>67971</v>
          </cell>
          <cell r="FN41">
            <v>57814</v>
          </cell>
          <cell r="FO41">
            <v>70680</v>
          </cell>
        </row>
        <row r="47">
          <cell r="FO47">
            <v>22610</v>
          </cell>
        </row>
        <row r="48">
          <cell r="FO48">
            <v>22564</v>
          </cell>
        </row>
        <row r="52">
          <cell r="FO52">
            <v>3159</v>
          </cell>
        </row>
        <row r="53">
          <cell r="FO53">
            <v>88498</v>
          </cell>
        </row>
        <row r="57">
          <cell r="FO57"/>
        </row>
        <row r="58">
          <cell r="FO58"/>
        </row>
      </sheetData>
      <sheetData sheetId="22"/>
      <sheetData sheetId="23">
        <row r="19">
          <cell r="EZ19">
            <v>0</v>
          </cell>
          <cell r="FA19">
            <v>0</v>
          </cell>
          <cell r="FN19">
            <v>0</v>
          </cell>
          <cell r="FO19">
            <v>0</v>
          </cell>
        </row>
        <row r="41">
          <cell r="EZ41">
            <v>0</v>
          </cell>
          <cell r="FA41">
            <v>0</v>
          </cell>
          <cell r="FN41">
            <v>0</v>
          </cell>
          <cell r="FO41">
            <v>0</v>
          </cell>
        </row>
      </sheetData>
      <sheetData sheetId="24"/>
      <sheetData sheetId="25">
        <row r="15">
          <cell r="FN15"/>
          <cell r="FO15"/>
        </row>
        <row r="16">
          <cell r="FN16"/>
          <cell r="FO16"/>
        </row>
        <row r="19">
          <cell r="EZ19">
            <v>172</v>
          </cell>
          <cell r="FA19">
            <v>156</v>
          </cell>
          <cell r="FN19">
            <v>0</v>
          </cell>
          <cell r="FO19">
            <v>0</v>
          </cell>
        </row>
        <row r="32">
          <cell r="FN32"/>
          <cell r="FO32"/>
        </row>
        <row r="33">
          <cell r="FN33"/>
          <cell r="FO33"/>
        </row>
        <row r="37">
          <cell r="FN37"/>
          <cell r="FO37"/>
        </row>
        <row r="38">
          <cell r="FN38"/>
          <cell r="FO38"/>
        </row>
        <row r="41">
          <cell r="EZ41">
            <v>6329</v>
          </cell>
          <cell r="FA41">
            <v>5762</v>
          </cell>
          <cell r="FN41">
            <v>0</v>
          </cell>
          <cell r="FO41">
            <v>0</v>
          </cell>
        </row>
      </sheetData>
      <sheetData sheetId="26">
        <row r="4">
          <cell r="FO4"/>
        </row>
        <row r="5">
          <cell r="FO5"/>
        </row>
        <row r="8">
          <cell r="FO8"/>
        </row>
        <row r="9">
          <cell r="FO9"/>
        </row>
        <row r="19">
          <cell r="EZ19">
            <v>0</v>
          </cell>
          <cell r="FA19">
            <v>2</v>
          </cell>
          <cell r="FN19">
            <v>0</v>
          </cell>
          <cell r="FO19">
            <v>0</v>
          </cell>
        </row>
        <row r="22">
          <cell r="FO22"/>
        </row>
        <row r="23">
          <cell r="FO23"/>
        </row>
        <row r="27">
          <cell r="FO27"/>
        </row>
        <row r="28">
          <cell r="FO28"/>
        </row>
        <row r="41">
          <cell r="EZ41">
            <v>0</v>
          </cell>
          <cell r="FA41">
            <v>90</v>
          </cell>
          <cell r="FN41">
            <v>0</v>
          </cell>
          <cell r="FO41">
            <v>0</v>
          </cell>
        </row>
        <row r="47">
          <cell r="FO47"/>
        </row>
        <row r="48">
          <cell r="FO48"/>
        </row>
        <row r="52">
          <cell r="BH52"/>
        </row>
        <row r="53">
          <cell r="FO53"/>
        </row>
        <row r="57">
          <cell r="BG57"/>
        </row>
        <row r="58">
          <cell r="BG58"/>
        </row>
      </sheetData>
      <sheetData sheetId="27">
        <row r="4">
          <cell r="FO4">
            <v>19</v>
          </cell>
        </row>
        <row r="5">
          <cell r="FO5">
            <v>19</v>
          </cell>
        </row>
        <row r="8">
          <cell r="FO8"/>
        </row>
        <row r="9">
          <cell r="FO9"/>
        </row>
        <row r="19">
          <cell r="EZ19">
            <v>22</v>
          </cell>
          <cell r="FA19">
            <v>17</v>
          </cell>
          <cell r="FN19">
            <v>12</v>
          </cell>
          <cell r="FO19">
            <v>38</v>
          </cell>
        </row>
        <row r="22">
          <cell r="FO22">
            <v>1075</v>
          </cell>
        </row>
        <row r="23">
          <cell r="FO23">
            <v>1107</v>
          </cell>
        </row>
        <row r="27">
          <cell r="FO27">
            <v>51</v>
          </cell>
        </row>
        <row r="28">
          <cell r="FO28">
            <v>48</v>
          </cell>
        </row>
        <row r="41">
          <cell r="EZ41">
            <v>921</v>
          </cell>
          <cell r="FA41">
            <v>897</v>
          </cell>
          <cell r="FN41">
            <v>722</v>
          </cell>
          <cell r="FO41">
            <v>2182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28">
        <row r="4">
          <cell r="FO4">
            <v>91</v>
          </cell>
        </row>
        <row r="5">
          <cell r="FO5">
            <v>87</v>
          </cell>
        </row>
        <row r="8">
          <cell r="FO8"/>
        </row>
        <row r="9">
          <cell r="FO9"/>
        </row>
        <row r="15">
          <cell r="FN15">
            <v>21</v>
          </cell>
          <cell r="FO15">
            <v>22</v>
          </cell>
        </row>
        <row r="16">
          <cell r="FN16">
            <v>23</v>
          </cell>
          <cell r="FO16">
            <v>26</v>
          </cell>
        </row>
        <row r="19">
          <cell r="EZ19">
            <v>666</v>
          </cell>
          <cell r="FA19">
            <v>545</v>
          </cell>
          <cell r="FN19">
            <v>212</v>
          </cell>
          <cell r="FO19">
            <v>226</v>
          </cell>
        </row>
        <row r="22">
          <cell r="FO22">
            <v>4823</v>
          </cell>
        </row>
        <row r="23">
          <cell r="FO23">
            <v>4201</v>
          </cell>
        </row>
        <row r="27">
          <cell r="FO27">
            <v>153</v>
          </cell>
        </row>
        <row r="28">
          <cell r="FO28">
            <v>187</v>
          </cell>
        </row>
        <row r="32">
          <cell r="FN32">
            <v>1136</v>
          </cell>
          <cell r="FO32">
            <v>1111</v>
          </cell>
        </row>
        <row r="33">
          <cell r="FN33">
            <v>1362</v>
          </cell>
          <cell r="FO33">
            <v>1562</v>
          </cell>
        </row>
        <row r="37">
          <cell r="FN37">
            <v>17</v>
          </cell>
          <cell r="FO37">
            <v>30</v>
          </cell>
        </row>
        <row r="38">
          <cell r="FN38">
            <v>14</v>
          </cell>
          <cell r="FO38">
            <v>17</v>
          </cell>
        </row>
        <row r="41">
          <cell r="EZ41">
            <v>35725</v>
          </cell>
          <cell r="FA41">
            <v>29090</v>
          </cell>
          <cell r="FN41">
            <v>10387</v>
          </cell>
          <cell r="FO41">
            <v>11697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BG58"/>
        </row>
        <row r="70">
          <cell r="FO70">
            <v>1613</v>
          </cell>
        </row>
        <row r="71">
          <cell r="FO71">
            <v>2588</v>
          </cell>
        </row>
        <row r="73">
          <cell r="FO73">
            <v>600</v>
          </cell>
        </row>
        <row r="74">
          <cell r="FO74">
            <v>962</v>
          </cell>
        </row>
      </sheetData>
      <sheetData sheetId="29"/>
      <sheetData sheetId="30"/>
      <sheetData sheetId="31"/>
      <sheetData sheetId="32">
        <row r="4">
          <cell r="FO4"/>
        </row>
        <row r="5">
          <cell r="FO5">
            <v>1</v>
          </cell>
        </row>
        <row r="8">
          <cell r="FO8"/>
        </row>
        <row r="9">
          <cell r="FO9"/>
        </row>
        <row r="15">
          <cell r="FN15"/>
          <cell r="FO15">
            <v>1</v>
          </cell>
        </row>
        <row r="16">
          <cell r="FN16"/>
          <cell r="FO16"/>
        </row>
        <row r="19">
          <cell r="EZ19">
            <v>1335</v>
          </cell>
          <cell r="FA19">
            <v>1366</v>
          </cell>
          <cell r="FN19">
            <v>0</v>
          </cell>
          <cell r="FO19">
            <v>2</v>
          </cell>
        </row>
        <row r="22">
          <cell r="FO22"/>
        </row>
        <row r="23">
          <cell r="FO23"/>
        </row>
        <row r="27">
          <cell r="FO27"/>
        </row>
        <row r="28">
          <cell r="FO28"/>
        </row>
        <row r="32">
          <cell r="FN32"/>
          <cell r="FO32"/>
        </row>
        <row r="33">
          <cell r="FN33"/>
          <cell r="FO33"/>
        </row>
        <row r="37">
          <cell r="FN37"/>
          <cell r="FO37"/>
        </row>
        <row r="38">
          <cell r="FN38"/>
          <cell r="FO38"/>
        </row>
        <row r="41">
          <cell r="EZ41">
            <v>72674</v>
          </cell>
          <cell r="FA41">
            <v>75801</v>
          </cell>
          <cell r="FN41">
            <v>0</v>
          </cell>
          <cell r="FO41">
            <v>0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BG58"/>
        </row>
        <row r="70">
          <cell r="BG70">
            <v>26242</v>
          </cell>
        </row>
        <row r="71">
          <cell r="BG71">
            <v>44562</v>
          </cell>
        </row>
        <row r="73">
          <cell r="BG73">
            <v>1540</v>
          </cell>
          <cell r="FO73"/>
        </row>
        <row r="74">
          <cell r="BG74">
            <v>2614</v>
          </cell>
          <cell r="FO74"/>
        </row>
      </sheetData>
      <sheetData sheetId="33"/>
      <sheetData sheetId="34">
        <row r="4">
          <cell r="FO4">
            <v>7</v>
          </cell>
        </row>
        <row r="5">
          <cell r="FO5">
            <v>7</v>
          </cell>
        </row>
        <row r="8">
          <cell r="FO8"/>
        </row>
        <row r="9">
          <cell r="FO9"/>
        </row>
        <row r="19">
          <cell r="EZ19">
            <v>24</v>
          </cell>
          <cell r="FA19">
            <v>40</v>
          </cell>
          <cell r="FN19">
            <v>12</v>
          </cell>
          <cell r="FO19">
            <v>14</v>
          </cell>
        </row>
        <row r="22">
          <cell r="FO22">
            <v>213</v>
          </cell>
        </row>
        <row r="23">
          <cell r="FO23">
            <v>240</v>
          </cell>
        </row>
        <row r="27">
          <cell r="FO27">
            <v>9</v>
          </cell>
        </row>
        <row r="28">
          <cell r="FO28">
            <v>2</v>
          </cell>
        </row>
        <row r="41">
          <cell r="EZ41">
            <v>994</v>
          </cell>
          <cell r="FA41">
            <v>1332</v>
          </cell>
          <cell r="FN41">
            <v>487</v>
          </cell>
          <cell r="FO41">
            <v>453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BG58"/>
        </row>
      </sheetData>
      <sheetData sheetId="35"/>
      <sheetData sheetId="36">
        <row r="4">
          <cell r="FO4">
            <v>243</v>
          </cell>
        </row>
        <row r="5">
          <cell r="FO5">
            <v>242</v>
          </cell>
        </row>
        <row r="8">
          <cell r="FO8"/>
        </row>
        <row r="9">
          <cell r="FO9">
            <v>3</v>
          </cell>
        </row>
        <row r="15">
          <cell r="FN15">
            <v>52</v>
          </cell>
          <cell r="FO15">
            <v>46</v>
          </cell>
        </row>
        <row r="16">
          <cell r="FN16">
            <v>53</v>
          </cell>
          <cell r="FO16">
            <v>44</v>
          </cell>
        </row>
        <row r="19">
          <cell r="EZ19">
            <v>599</v>
          </cell>
          <cell r="FA19">
            <v>574</v>
          </cell>
          <cell r="FN19">
            <v>602</v>
          </cell>
          <cell r="FO19">
            <v>578</v>
          </cell>
        </row>
        <row r="22">
          <cell r="FO22">
            <v>13213</v>
          </cell>
        </row>
        <row r="23">
          <cell r="FO23">
            <v>13898</v>
          </cell>
        </row>
        <row r="27">
          <cell r="FO27">
            <v>514</v>
          </cell>
        </row>
        <row r="28">
          <cell r="FO28">
            <v>471</v>
          </cell>
        </row>
        <row r="32">
          <cell r="FN32">
            <v>3029</v>
          </cell>
          <cell r="FO32">
            <v>2858</v>
          </cell>
        </row>
        <row r="33">
          <cell r="FN33">
            <v>2891</v>
          </cell>
          <cell r="FO33">
            <v>2444</v>
          </cell>
        </row>
        <row r="37">
          <cell r="FN37">
            <v>47</v>
          </cell>
          <cell r="FO37">
            <v>35</v>
          </cell>
        </row>
        <row r="38">
          <cell r="FN38">
            <v>46</v>
          </cell>
          <cell r="FO38">
            <v>44</v>
          </cell>
        </row>
        <row r="41">
          <cell r="EZ41">
            <v>31136</v>
          </cell>
          <cell r="FA41">
            <v>30347</v>
          </cell>
          <cell r="FN41">
            <v>32883</v>
          </cell>
          <cell r="FO41">
            <v>32413</v>
          </cell>
        </row>
        <row r="47">
          <cell r="FO47">
            <v>132</v>
          </cell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BK58"/>
        </row>
        <row r="70">
          <cell r="FO70">
            <v>7241</v>
          </cell>
        </row>
        <row r="71">
          <cell r="FO71">
            <v>6657</v>
          </cell>
        </row>
        <row r="73">
          <cell r="FO73">
            <v>1273</v>
          </cell>
        </row>
        <row r="74">
          <cell r="FO74">
            <v>1171</v>
          </cell>
        </row>
      </sheetData>
      <sheetData sheetId="37">
        <row r="4">
          <cell r="FO4">
            <v>19</v>
          </cell>
        </row>
        <row r="5">
          <cell r="FO5">
            <v>19</v>
          </cell>
        </row>
        <row r="8">
          <cell r="FO8"/>
        </row>
        <row r="9">
          <cell r="FO9"/>
        </row>
        <row r="19">
          <cell r="EZ19">
            <v>26</v>
          </cell>
          <cell r="FA19">
            <v>10</v>
          </cell>
          <cell r="FN19">
            <v>42</v>
          </cell>
          <cell r="FO19">
            <v>38</v>
          </cell>
        </row>
        <row r="22">
          <cell r="FO22">
            <v>1270</v>
          </cell>
        </row>
        <row r="23">
          <cell r="FO23">
            <v>1225</v>
          </cell>
        </row>
        <row r="27">
          <cell r="FO27">
            <v>27</v>
          </cell>
        </row>
        <row r="28">
          <cell r="FO28">
            <v>26</v>
          </cell>
        </row>
        <row r="41">
          <cell r="EZ41">
            <v>1669</v>
          </cell>
          <cell r="FA41">
            <v>590</v>
          </cell>
          <cell r="FN41">
            <v>2732</v>
          </cell>
          <cell r="FO41">
            <v>2495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AJ57"/>
        </row>
        <row r="58">
          <cell r="AJ58"/>
        </row>
      </sheetData>
      <sheetData sheetId="38">
        <row r="4">
          <cell r="FO4">
            <v>39</v>
          </cell>
        </row>
        <row r="5">
          <cell r="FO5">
            <v>39</v>
          </cell>
        </row>
        <row r="8">
          <cell r="FO8"/>
        </row>
        <row r="9">
          <cell r="FO9"/>
        </row>
        <row r="19">
          <cell r="EZ19">
            <v>0</v>
          </cell>
          <cell r="FA19">
            <v>0</v>
          </cell>
          <cell r="FN19">
            <v>65</v>
          </cell>
          <cell r="FO19">
            <v>78</v>
          </cell>
        </row>
        <row r="22">
          <cell r="FO22">
            <v>2619</v>
          </cell>
        </row>
        <row r="23">
          <cell r="FO23">
            <v>2632</v>
          </cell>
        </row>
        <row r="27">
          <cell r="FO27">
            <v>51</v>
          </cell>
        </row>
        <row r="28">
          <cell r="FO28">
            <v>45</v>
          </cell>
        </row>
        <row r="41">
          <cell r="EZ41">
            <v>0</v>
          </cell>
          <cell r="FA41">
            <v>0</v>
          </cell>
          <cell r="FN41">
            <v>3640</v>
          </cell>
          <cell r="FO41">
            <v>5251</v>
          </cell>
        </row>
        <row r="47">
          <cell r="FO47">
            <v>10</v>
          </cell>
        </row>
        <row r="48">
          <cell r="FO48">
            <v>798</v>
          </cell>
        </row>
        <row r="52">
          <cell r="FO52"/>
        </row>
        <row r="53">
          <cell r="FO53">
            <v>1264</v>
          </cell>
        </row>
        <row r="57">
          <cell r="FO57"/>
        </row>
        <row r="58">
          <cell r="BF58"/>
        </row>
      </sheetData>
      <sheetData sheetId="39">
        <row r="4">
          <cell r="FO4">
            <v>131</v>
          </cell>
        </row>
        <row r="5">
          <cell r="FO5">
            <v>131</v>
          </cell>
        </row>
        <row r="8">
          <cell r="FO8"/>
        </row>
        <row r="9">
          <cell r="FO9"/>
        </row>
        <row r="19">
          <cell r="EZ19">
            <v>308</v>
          </cell>
          <cell r="FA19">
            <v>274</v>
          </cell>
          <cell r="FN19">
            <v>216</v>
          </cell>
          <cell r="FO19">
            <v>262</v>
          </cell>
        </row>
        <row r="22">
          <cell r="FO22">
            <v>7397</v>
          </cell>
        </row>
        <row r="23">
          <cell r="FO23">
            <v>8152</v>
          </cell>
        </row>
        <row r="27">
          <cell r="FO27">
            <v>288</v>
          </cell>
        </row>
        <row r="28">
          <cell r="FO28">
            <v>272</v>
          </cell>
        </row>
        <row r="41">
          <cell r="EZ41">
            <v>18312</v>
          </cell>
          <cell r="FA41">
            <v>15679</v>
          </cell>
          <cell r="FN41">
            <v>13139</v>
          </cell>
          <cell r="FO41">
            <v>15549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40">
        <row r="19">
          <cell r="EZ19">
            <v>0</v>
          </cell>
          <cell r="FA19">
            <v>0</v>
          </cell>
        </row>
        <row r="41">
          <cell r="EZ41">
            <v>0</v>
          </cell>
          <cell r="FA41">
            <v>0</v>
          </cell>
        </row>
        <row r="57">
          <cell r="AJ57"/>
        </row>
        <row r="58">
          <cell r="AJ58"/>
        </row>
      </sheetData>
      <sheetData sheetId="41"/>
      <sheetData sheetId="42">
        <row r="4">
          <cell r="FO4">
            <v>979</v>
          </cell>
        </row>
        <row r="5">
          <cell r="FO5">
            <v>978</v>
          </cell>
        </row>
        <row r="8">
          <cell r="FO8"/>
        </row>
        <row r="9">
          <cell r="FO9">
            <v>3</v>
          </cell>
        </row>
        <row r="15">
          <cell r="FN15">
            <v>33</v>
          </cell>
          <cell r="FO15">
            <v>36</v>
          </cell>
        </row>
        <row r="16">
          <cell r="FN16">
            <v>31</v>
          </cell>
          <cell r="FO16">
            <v>34</v>
          </cell>
        </row>
        <row r="19">
          <cell r="EZ19">
            <v>3344</v>
          </cell>
          <cell r="FA19">
            <v>2955</v>
          </cell>
          <cell r="FN19">
            <v>2156</v>
          </cell>
          <cell r="FO19">
            <v>2030</v>
          </cell>
        </row>
        <row r="22">
          <cell r="FO22">
            <v>53921</v>
          </cell>
        </row>
        <row r="23">
          <cell r="FO23">
            <v>54600</v>
          </cell>
        </row>
        <row r="27">
          <cell r="FO27">
            <v>2306</v>
          </cell>
        </row>
        <row r="28">
          <cell r="FO28">
            <v>2331</v>
          </cell>
        </row>
        <row r="32">
          <cell r="FN32">
            <v>1877</v>
          </cell>
          <cell r="FO32">
            <v>2203</v>
          </cell>
        </row>
        <row r="33">
          <cell r="FN33">
            <v>1763</v>
          </cell>
          <cell r="FO33">
            <v>2158</v>
          </cell>
        </row>
        <row r="37">
          <cell r="FN37">
            <v>28</v>
          </cell>
          <cell r="FO37">
            <v>29</v>
          </cell>
        </row>
        <row r="38">
          <cell r="FN38">
            <v>29</v>
          </cell>
          <cell r="FO38">
            <v>29</v>
          </cell>
        </row>
        <row r="41">
          <cell r="EZ41">
            <v>162729</v>
          </cell>
          <cell r="FA41">
            <v>143573</v>
          </cell>
          <cell r="FN41">
            <v>114265</v>
          </cell>
          <cell r="FO41">
            <v>112882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  <row r="70">
          <cell r="FO70">
            <v>23751</v>
          </cell>
        </row>
        <row r="71">
          <cell r="FO71">
            <v>30849</v>
          </cell>
        </row>
        <row r="73">
          <cell r="FO73">
            <v>939</v>
          </cell>
        </row>
        <row r="74">
          <cell r="FO74">
            <v>1219</v>
          </cell>
        </row>
      </sheetData>
      <sheetData sheetId="43">
        <row r="4">
          <cell r="FO4">
            <v>30</v>
          </cell>
        </row>
        <row r="5">
          <cell r="FO5">
            <v>30</v>
          </cell>
        </row>
        <row r="8">
          <cell r="FO8"/>
        </row>
        <row r="9">
          <cell r="FO9"/>
        </row>
        <row r="19">
          <cell r="EZ19">
            <v>34</v>
          </cell>
          <cell r="FA19">
            <v>40</v>
          </cell>
          <cell r="FN19">
            <v>50</v>
          </cell>
          <cell r="FO19">
            <v>60</v>
          </cell>
        </row>
        <row r="22">
          <cell r="FO22">
            <v>1124</v>
          </cell>
        </row>
        <row r="23">
          <cell r="FO23">
            <v>1368</v>
          </cell>
        </row>
        <row r="27">
          <cell r="FO27">
            <v>69</v>
          </cell>
        </row>
        <row r="28">
          <cell r="FO28">
            <v>50</v>
          </cell>
        </row>
        <row r="41">
          <cell r="EZ41">
            <v>1314</v>
          </cell>
          <cell r="FA41">
            <v>1518</v>
          </cell>
          <cell r="FN41">
            <v>1731</v>
          </cell>
          <cell r="FO41">
            <v>2492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BG58"/>
        </row>
      </sheetData>
      <sheetData sheetId="44">
        <row r="4">
          <cell r="FO4">
            <v>189</v>
          </cell>
        </row>
        <row r="5">
          <cell r="FO5">
            <v>190</v>
          </cell>
        </row>
        <row r="8">
          <cell r="FO8"/>
        </row>
        <row r="9">
          <cell r="FO9"/>
        </row>
        <row r="19">
          <cell r="EZ19">
            <v>270</v>
          </cell>
          <cell r="FA19">
            <v>242</v>
          </cell>
          <cell r="FN19">
            <v>377</v>
          </cell>
          <cell r="FO19">
            <v>379</v>
          </cell>
        </row>
        <row r="22">
          <cell r="FO22">
            <v>10070</v>
          </cell>
        </row>
        <row r="23">
          <cell r="FO23">
            <v>9714</v>
          </cell>
        </row>
        <row r="27">
          <cell r="FO27">
            <v>382</v>
          </cell>
        </row>
        <row r="28">
          <cell r="FO28">
            <v>440</v>
          </cell>
        </row>
        <row r="41">
          <cell r="EZ41">
            <v>9578</v>
          </cell>
          <cell r="FA41">
            <v>10413</v>
          </cell>
          <cell r="FN41">
            <v>19544</v>
          </cell>
          <cell r="FO41">
            <v>19784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45">
        <row r="4">
          <cell r="FO4">
            <v>175</v>
          </cell>
        </row>
        <row r="5">
          <cell r="FO5">
            <v>175</v>
          </cell>
        </row>
        <row r="8">
          <cell r="FO8"/>
        </row>
        <row r="9">
          <cell r="FO9"/>
        </row>
        <row r="19">
          <cell r="EZ19">
            <v>234</v>
          </cell>
          <cell r="FA19">
            <v>198</v>
          </cell>
          <cell r="FN19">
            <v>388</v>
          </cell>
          <cell r="FO19">
            <v>350</v>
          </cell>
        </row>
        <row r="22">
          <cell r="FO22">
            <v>10567</v>
          </cell>
        </row>
        <row r="23">
          <cell r="FO23">
            <v>10709</v>
          </cell>
        </row>
        <row r="27">
          <cell r="FO27">
            <v>325</v>
          </cell>
        </row>
        <row r="28">
          <cell r="FO28">
            <v>395</v>
          </cell>
        </row>
        <row r="41">
          <cell r="EZ41">
            <v>13131</v>
          </cell>
          <cell r="FA41">
            <v>10499</v>
          </cell>
          <cell r="FN41">
            <v>24560</v>
          </cell>
          <cell r="FO41">
            <v>21276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</sheetData>
      <sheetData sheetId="46">
        <row r="8">
          <cell r="FO8"/>
        </row>
        <row r="9">
          <cell r="FO9"/>
        </row>
        <row r="15">
          <cell r="FN15">
            <v>81</v>
          </cell>
          <cell r="FO15">
            <v>74</v>
          </cell>
        </row>
        <row r="16">
          <cell r="FN16">
            <v>81</v>
          </cell>
          <cell r="FO16">
            <v>74</v>
          </cell>
        </row>
        <row r="19">
          <cell r="EZ19">
            <v>0</v>
          </cell>
          <cell r="FA19">
            <v>0</v>
          </cell>
          <cell r="FN19">
            <v>162</v>
          </cell>
          <cell r="FO19">
            <v>148</v>
          </cell>
        </row>
        <row r="32">
          <cell r="FN32">
            <v>3937</v>
          </cell>
          <cell r="FO32">
            <v>3744</v>
          </cell>
        </row>
        <row r="33">
          <cell r="FN33">
            <v>3798</v>
          </cell>
          <cell r="FO33">
            <v>3598</v>
          </cell>
        </row>
        <row r="37">
          <cell r="FN37">
            <v>50</v>
          </cell>
          <cell r="FO37">
            <v>31</v>
          </cell>
        </row>
        <row r="38">
          <cell r="FN38">
            <v>60</v>
          </cell>
          <cell r="FO38">
            <v>29</v>
          </cell>
        </row>
        <row r="41">
          <cell r="EZ41">
            <v>0</v>
          </cell>
          <cell r="FA41">
            <v>0</v>
          </cell>
          <cell r="FN41">
            <v>7735</v>
          </cell>
          <cell r="FO41">
            <v>7342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</sheetData>
      <sheetData sheetId="47">
        <row r="4">
          <cell r="FO4">
            <v>3003</v>
          </cell>
        </row>
        <row r="5">
          <cell r="FO5">
            <v>2994</v>
          </cell>
        </row>
        <row r="8">
          <cell r="FO8">
            <v>1</v>
          </cell>
        </row>
        <row r="9">
          <cell r="FO9">
            <v>8</v>
          </cell>
        </row>
        <row r="15">
          <cell r="FN15">
            <v>215</v>
          </cell>
          <cell r="FO15">
            <v>200</v>
          </cell>
        </row>
        <row r="16">
          <cell r="FN16">
            <v>215</v>
          </cell>
          <cell r="FO16">
            <v>200</v>
          </cell>
        </row>
        <row r="19">
          <cell r="EZ19">
            <v>4715</v>
          </cell>
          <cell r="FA19">
            <v>4481</v>
          </cell>
          <cell r="FN19">
            <v>6516</v>
          </cell>
          <cell r="FO19">
            <v>6406</v>
          </cell>
        </row>
        <row r="22">
          <cell r="FO22">
            <v>141897</v>
          </cell>
        </row>
        <row r="23">
          <cell r="FO23">
            <v>141046</v>
          </cell>
        </row>
        <row r="27">
          <cell r="FO27">
            <v>5500</v>
          </cell>
        </row>
        <row r="28">
          <cell r="FO28">
            <v>5370</v>
          </cell>
        </row>
        <row r="32">
          <cell r="FN32">
            <v>12640</v>
          </cell>
          <cell r="FO32">
            <v>12342</v>
          </cell>
        </row>
        <row r="33">
          <cell r="FN33">
            <v>12556</v>
          </cell>
          <cell r="FO33">
            <v>12494</v>
          </cell>
        </row>
        <row r="37">
          <cell r="FN37">
            <v>138</v>
          </cell>
          <cell r="FO37">
            <v>104</v>
          </cell>
        </row>
        <row r="38">
          <cell r="FN38">
            <v>120</v>
          </cell>
          <cell r="FO38">
            <v>108</v>
          </cell>
        </row>
        <row r="41">
          <cell r="EZ41">
            <v>204085</v>
          </cell>
          <cell r="FA41">
            <v>198392</v>
          </cell>
          <cell r="FN41">
            <v>286592</v>
          </cell>
          <cell r="FO41">
            <v>307779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  <row r="70">
          <cell r="FO70">
            <v>50636</v>
          </cell>
        </row>
        <row r="71">
          <cell r="FO71">
            <v>90410</v>
          </cell>
        </row>
        <row r="73">
          <cell r="FO73">
            <v>4485</v>
          </cell>
        </row>
        <row r="74">
          <cell r="FO74">
            <v>8009</v>
          </cell>
        </row>
      </sheetData>
      <sheetData sheetId="48">
        <row r="4">
          <cell r="FO4">
            <v>71</v>
          </cell>
        </row>
        <row r="5">
          <cell r="FO5">
            <v>71</v>
          </cell>
        </row>
        <row r="8">
          <cell r="FO8"/>
        </row>
        <row r="9">
          <cell r="FO9"/>
        </row>
        <row r="19">
          <cell r="EZ19">
            <v>274</v>
          </cell>
          <cell r="FA19">
            <v>252</v>
          </cell>
          <cell r="FN19">
            <v>200</v>
          </cell>
          <cell r="FO19">
            <v>142</v>
          </cell>
        </row>
        <row r="22">
          <cell r="FO22">
            <v>4779</v>
          </cell>
        </row>
        <row r="23">
          <cell r="FO23">
            <v>4958</v>
          </cell>
        </row>
        <row r="27">
          <cell r="FO27">
            <v>118</v>
          </cell>
        </row>
        <row r="28">
          <cell r="FO28">
            <v>120</v>
          </cell>
        </row>
        <row r="41">
          <cell r="EZ41">
            <v>18583</v>
          </cell>
          <cell r="FA41">
            <v>16596</v>
          </cell>
          <cell r="FN41">
            <v>13680</v>
          </cell>
          <cell r="FO41">
            <v>9737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49">
        <row r="19">
          <cell r="EZ19">
            <v>0</v>
          </cell>
          <cell r="FA19">
            <v>0</v>
          </cell>
        </row>
        <row r="41">
          <cell r="EZ41">
            <v>0</v>
          </cell>
          <cell r="FA41">
            <v>0</v>
          </cell>
        </row>
      </sheetData>
      <sheetData sheetId="50">
        <row r="4">
          <cell r="FO4">
            <v>24</v>
          </cell>
        </row>
        <row r="5">
          <cell r="FO5">
            <v>24</v>
          </cell>
        </row>
        <row r="8">
          <cell r="FO8"/>
        </row>
        <row r="9">
          <cell r="FO9"/>
        </row>
        <row r="19">
          <cell r="EZ19">
            <v>0</v>
          </cell>
          <cell r="FA19">
            <v>4</v>
          </cell>
          <cell r="FN19">
            <v>44</v>
          </cell>
          <cell r="FO19">
            <v>48</v>
          </cell>
        </row>
        <row r="22">
          <cell r="FO22">
            <v>1571</v>
          </cell>
        </row>
        <row r="23">
          <cell r="FO23">
            <v>1539</v>
          </cell>
        </row>
        <row r="27">
          <cell r="FO27">
            <v>54</v>
          </cell>
        </row>
        <row r="28">
          <cell r="FO28">
            <v>63</v>
          </cell>
        </row>
        <row r="41">
          <cell r="EZ41">
            <v>0</v>
          </cell>
          <cell r="FA41">
            <v>232</v>
          </cell>
          <cell r="FN41">
            <v>2634</v>
          </cell>
          <cell r="FO41">
            <v>3110</v>
          </cell>
        </row>
        <row r="47">
          <cell r="FO47">
            <v>771</v>
          </cell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</sheetData>
      <sheetData sheetId="51">
        <row r="4">
          <cell r="FO4">
            <v>43</v>
          </cell>
        </row>
        <row r="5">
          <cell r="FO5">
            <v>43</v>
          </cell>
        </row>
        <row r="8">
          <cell r="FO8"/>
        </row>
        <row r="9">
          <cell r="FO9"/>
        </row>
        <row r="19">
          <cell r="EZ19">
            <v>57</v>
          </cell>
          <cell r="FA19">
            <v>56</v>
          </cell>
          <cell r="FN19">
            <v>120</v>
          </cell>
          <cell r="FO19">
            <v>86</v>
          </cell>
        </row>
        <row r="22">
          <cell r="FO22">
            <v>2886</v>
          </cell>
        </row>
        <row r="23">
          <cell r="FO23">
            <v>2810</v>
          </cell>
        </row>
        <row r="27">
          <cell r="FO27">
            <v>67</v>
          </cell>
        </row>
        <row r="28">
          <cell r="FO28">
            <v>86</v>
          </cell>
        </row>
        <row r="41">
          <cell r="EZ41">
            <v>3510</v>
          </cell>
          <cell r="FA41">
            <v>3407</v>
          </cell>
          <cell r="FN41">
            <v>7126</v>
          </cell>
          <cell r="FO41">
            <v>5696</v>
          </cell>
        </row>
        <row r="47">
          <cell r="FO47">
            <v>1262</v>
          </cell>
        </row>
        <row r="48">
          <cell r="FO48">
            <v>2431</v>
          </cell>
        </row>
        <row r="52">
          <cell r="FO52">
            <v>119</v>
          </cell>
        </row>
        <row r="53">
          <cell r="FO53">
            <v>528</v>
          </cell>
        </row>
        <row r="57">
          <cell r="FO57"/>
        </row>
        <row r="58">
          <cell r="FO58"/>
        </row>
      </sheetData>
      <sheetData sheetId="52">
        <row r="4">
          <cell r="FO4">
            <v>20</v>
          </cell>
        </row>
        <row r="5">
          <cell r="FO5">
            <v>20</v>
          </cell>
        </row>
        <row r="8">
          <cell r="FO8"/>
        </row>
        <row r="9">
          <cell r="FO9"/>
        </row>
        <row r="19">
          <cell r="EZ19">
            <v>138</v>
          </cell>
          <cell r="FA19">
            <v>6</v>
          </cell>
          <cell r="FN19">
            <v>30</v>
          </cell>
          <cell r="FO19">
            <v>40</v>
          </cell>
        </row>
        <row r="22">
          <cell r="FO22">
            <v>1193</v>
          </cell>
        </row>
        <row r="23">
          <cell r="FO23">
            <v>1197</v>
          </cell>
        </row>
        <row r="27">
          <cell r="FO27">
            <v>21</v>
          </cell>
        </row>
        <row r="28">
          <cell r="FO28">
            <v>22</v>
          </cell>
        </row>
        <row r="41">
          <cell r="EZ41">
            <v>7577</v>
          </cell>
          <cell r="FA41">
            <v>241</v>
          </cell>
          <cell r="FN41">
            <v>1815</v>
          </cell>
          <cell r="FO41">
            <v>2390</v>
          </cell>
        </row>
        <row r="47">
          <cell r="FO47">
            <v>28</v>
          </cell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BH58"/>
        </row>
        <row r="70">
          <cell r="FO70">
            <v>528</v>
          </cell>
        </row>
        <row r="71">
          <cell r="FO71">
            <v>669</v>
          </cell>
        </row>
        <row r="73">
          <cell r="FO73"/>
        </row>
        <row r="74">
          <cell r="FO74"/>
        </row>
      </sheetData>
      <sheetData sheetId="53">
        <row r="4">
          <cell r="FO4"/>
        </row>
        <row r="5">
          <cell r="FO5"/>
        </row>
        <row r="8">
          <cell r="FO8"/>
        </row>
        <row r="9">
          <cell r="FO9"/>
        </row>
        <row r="19">
          <cell r="EZ19">
            <v>24</v>
          </cell>
          <cell r="FA19">
            <v>0</v>
          </cell>
          <cell r="FN19">
            <v>0</v>
          </cell>
          <cell r="FO19">
            <v>0</v>
          </cell>
        </row>
        <row r="22">
          <cell r="FO22"/>
        </row>
        <row r="23">
          <cell r="FO23"/>
        </row>
        <row r="27">
          <cell r="FO27"/>
        </row>
        <row r="28">
          <cell r="FO28"/>
        </row>
        <row r="41">
          <cell r="EZ41">
            <v>1273</v>
          </cell>
          <cell r="FA41">
            <v>0</v>
          </cell>
          <cell r="FN41">
            <v>0</v>
          </cell>
          <cell r="FO41">
            <v>0</v>
          </cell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BG58"/>
        </row>
      </sheetData>
      <sheetData sheetId="54"/>
      <sheetData sheetId="55"/>
      <sheetData sheetId="56"/>
      <sheetData sheetId="57">
        <row r="4">
          <cell r="FO4"/>
        </row>
        <row r="5">
          <cell r="FO5"/>
        </row>
        <row r="15">
          <cell r="FN15"/>
          <cell r="FO15"/>
        </row>
        <row r="16">
          <cell r="FN16"/>
          <cell r="FO16"/>
        </row>
        <row r="22">
          <cell r="FO22"/>
        </row>
        <row r="23">
          <cell r="FO23"/>
        </row>
        <row r="32">
          <cell r="FN32"/>
          <cell r="FO32"/>
        </row>
        <row r="33">
          <cell r="FN33"/>
          <cell r="FO33"/>
        </row>
        <row r="37">
          <cell r="FN37"/>
          <cell r="FO37"/>
        </row>
        <row r="38">
          <cell r="FN38"/>
          <cell r="FO38"/>
        </row>
      </sheetData>
      <sheetData sheetId="58">
        <row r="4">
          <cell r="FO4"/>
        </row>
        <row r="5">
          <cell r="FO5"/>
        </row>
        <row r="15">
          <cell r="FO15"/>
        </row>
        <row r="16">
          <cell r="FO16"/>
        </row>
        <row r="22">
          <cell r="FO22"/>
        </row>
        <row r="23">
          <cell r="FO23"/>
        </row>
        <row r="32">
          <cell r="FO32"/>
        </row>
        <row r="33">
          <cell r="FO33"/>
        </row>
      </sheetData>
      <sheetData sheetId="59">
        <row r="8">
          <cell r="FO8">
            <v>1</v>
          </cell>
        </row>
        <row r="15">
          <cell r="FN15"/>
          <cell r="FO15"/>
        </row>
        <row r="16">
          <cell r="FN16"/>
          <cell r="FO16"/>
        </row>
        <row r="22">
          <cell r="FO22">
            <v>354</v>
          </cell>
        </row>
        <row r="32">
          <cell r="FN32"/>
          <cell r="FO32"/>
        </row>
        <row r="33">
          <cell r="FN33"/>
          <cell r="FO33"/>
        </row>
        <row r="37">
          <cell r="FN37"/>
          <cell r="FO37"/>
        </row>
        <row r="38">
          <cell r="FN38"/>
          <cell r="FO38"/>
        </row>
      </sheetData>
      <sheetData sheetId="60"/>
      <sheetData sheetId="61">
        <row r="4">
          <cell r="FO4">
            <v>4</v>
          </cell>
        </row>
        <row r="5">
          <cell r="FO5">
            <v>3</v>
          </cell>
        </row>
        <row r="15">
          <cell r="FN15"/>
          <cell r="FO15"/>
        </row>
        <row r="16">
          <cell r="FN16"/>
          <cell r="FO16"/>
        </row>
        <row r="22">
          <cell r="FO22">
            <v>726</v>
          </cell>
        </row>
        <row r="23">
          <cell r="FO23">
            <v>467</v>
          </cell>
        </row>
        <row r="32">
          <cell r="FN32"/>
          <cell r="FO32"/>
        </row>
        <row r="33">
          <cell r="FN33"/>
          <cell r="FO33"/>
        </row>
        <row r="37">
          <cell r="FN37"/>
          <cell r="FO37"/>
        </row>
        <row r="38">
          <cell r="FN38"/>
          <cell r="FO38"/>
        </row>
      </sheetData>
      <sheetData sheetId="62"/>
      <sheetData sheetId="63">
        <row r="4">
          <cell r="FO4">
            <v>20</v>
          </cell>
        </row>
        <row r="5">
          <cell r="FO5">
            <v>20</v>
          </cell>
        </row>
        <row r="12">
          <cell r="EZ12">
            <v>44</v>
          </cell>
          <cell r="FA12">
            <v>40</v>
          </cell>
          <cell r="FN12">
            <v>42</v>
          </cell>
          <cell r="FO12">
            <v>40</v>
          </cell>
        </row>
        <row r="47">
          <cell r="FO47">
            <v>584009</v>
          </cell>
        </row>
        <row r="48">
          <cell r="FO48"/>
        </row>
        <row r="52">
          <cell r="FO52">
            <v>508408</v>
          </cell>
        </row>
        <row r="53">
          <cell r="FO53"/>
        </row>
        <row r="57">
          <cell r="FO57"/>
        </row>
        <row r="58">
          <cell r="FO58"/>
        </row>
        <row r="64">
          <cell r="EZ64">
            <v>1093963</v>
          </cell>
          <cell r="FA64">
            <v>1067092</v>
          </cell>
          <cell r="FN64">
            <v>1155517</v>
          </cell>
          <cell r="FO64">
            <v>1092417</v>
          </cell>
        </row>
      </sheetData>
      <sheetData sheetId="64">
        <row r="4">
          <cell r="FO4">
            <v>26</v>
          </cell>
        </row>
        <row r="5">
          <cell r="FO5">
            <v>26</v>
          </cell>
        </row>
        <row r="12">
          <cell r="EZ12">
            <v>62</v>
          </cell>
          <cell r="FA12">
            <v>64</v>
          </cell>
          <cell r="FN12">
            <v>38</v>
          </cell>
          <cell r="FO12">
            <v>52</v>
          </cell>
        </row>
        <row r="15">
          <cell r="FO15"/>
        </row>
        <row r="47">
          <cell r="FO47">
            <v>18923</v>
          </cell>
        </row>
        <row r="48">
          <cell r="FO48"/>
        </row>
        <row r="52">
          <cell r="FO52">
            <v>45</v>
          </cell>
        </row>
        <row r="53">
          <cell r="FO53"/>
        </row>
        <row r="57">
          <cell r="FO57"/>
        </row>
        <row r="58">
          <cell r="FO58"/>
        </row>
        <row r="64">
          <cell r="EZ64">
            <v>79728</v>
          </cell>
          <cell r="FA64">
            <v>82812</v>
          </cell>
          <cell r="FN64">
            <v>23766</v>
          </cell>
          <cell r="FO64">
            <v>18968</v>
          </cell>
        </row>
      </sheetData>
      <sheetData sheetId="65">
        <row r="12">
          <cell r="EZ12">
            <v>0</v>
          </cell>
          <cell r="FA12">
            <v>0</v>
          </cell>
          <cell r="FN12">
            <v>0</v>
          </cell>
          <cell r="FO12">
            <v>0</v>
          </cell>
        </row>
        <row r="15">
          <cell r="FO15"/>
        </row>
        <row r="16">
          <cell r="FO16"/>
        </row>
        <row r="47">
          <cell r="FO47"/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  <row r="64">
          <cell r="EZ64">
            <v>91167</v>
          </cell>
          <cell r="FA64">
            <v>84036</v>
          </cell>
          <cell r="FN64">
            <v>0</v>
          </cell>
          <cell r="FO64">
            <v>0</v>
          </cell>
        </row>
      </sheetData>
      <sheetData sheetId="66">
        <row r="4">
          <cell r="FO4">
            <v>121</v>
          </cell>
        </row>
        <row r="5">
          <cell r="FO5">
            <v>121</v>
          </cell>
        </row>
        <row r="12">
          <cell r="EZ12">
            <v>176</v>
          </cell>
          <cell r="FA12">
            <v>168</v>
          </cell>
          <cell r="FN12">
            <v>258</v>
          </cell>
          <cell r="FO12">
            <v>242</v>
          </cell>
        </row>
        <row r="15">
          <cell r="FO15"/>
        </row>
        <row r="47">
          <cell r="FO47">
            <v>8157076</v>
          </cell>
        </row>
        <row r="48">
          <cell r="FO48"/>
        </row>
        <row r="52">
          <cell r="FO52">
            <v>7537779</v>
          </cell>
        </row>
        <row r="53">
          <cell r="FO53"/>
        </row>
        <row r="57">
          <cell r="FO57"/>
        </row>
        <row r="58">
          <cell r="FO58"/>
        </row>
        <row r="64">
          <cell r="EZ64">
            <v>16128912</v>
          </cell>
          <cell r="FA64">
            <v>15428532</v>
          </cell>
          <cell r="FN64">
            <v>16987230</v>
          </cell>
          <cell r="FO64">
            <v>15694855</v>
          </cell>
        </row>
      </sheetData>
      <sheetData sheetId="67">
        <row r="4">
          <cell r="FO4">
            <v>92</v>
          </cell>
        </row>
        <row r="5">
          <cell r="FO5">
            <v>92</v>
          </cell>
        </row>
        <row r="12">
          <cell r="EZ12">
            <v>182</v>
          </cell>
          <cell r="FA12">
            <v>166</v>
          </cell>
          <cell r="FN12">
            <v>198</v>
          </cell>
          <cell r="FO12">
            <v>184</v>
          </cell>
        </row>
        <row r="15">
          <cell r="FO15">
            <v>16</v>
          </cell>
        </row>
        <row r="16">
          <cell r="FO16">
            <v>16</v>
          </cell>
        </row>
        <row r="47">
          <cell r="FO47">
            <v>5034928</v>
          </cell>
        </row>
        <row r="48">
          <cell r="FO48">
            <v>653</v>
          </cell>
        </row>
        <row r="52">
          <cell r="FO52">
            <v>4220259</v>
          </cell>
        </row>
        <row r="53">
          <cell r="FO53">
            <v>556481</v>
          </cell>
        </row>
        <row r="57">
          <cell r="FO57"/>
        </row>
        <row r="58">
          <cell r="FO58"/>
        </row>
        <row r="64">
          <cell r="EZ64">
            <v>8668992</v>
          </cell>
          <cell r="FA64">
            <v>9141105</v>
          </cell>
          <cell r="FN64">
            <v>10765966</v>
          </cell>
          <cell r="FO64">
            <v>9812321</v>
          </cell>
        </row>
      </sheetData>
      <sheetData sheetId="68"/>
      <sheetData sheetId="69"/>
      <sheetData sheetId="70"/>
      <sheetData sheetId="71">
        <row r="4">
          <cell r="FO4">
            <v>260</v>
          </cell>
        </row>
        <row r="5">
          <cell r="FO5">
            <v>260</v>
          </cell>
        </row>
        <row r="12">
          <cell r="EZ12">
            <v>540</v>
          </cell>
          <cell r="FA12">
            <v>492</v>
          </cell>
          <cell r="FN12">
            <v>614</v>
          </cell>
          <cell r="FO12">
            <v>520</v>
          </cell>
        </row>
      </sheetData>
      <sheetData sheetId="72">
        <row r="4">
          <cell r="FO4"/>
        </row>
        <row r="5">
          <cell r="FO5">
            <v>2</v>
          </cell>
        </row>
        <row r="12">
          <cell r="EZ12">
            <v>40</v>
          </cell>
          <cell r="FA12">
            <v>42</v>
          </cell>
          <cell r="FN12">
            <v>0</v>
          </cell>
          <cell r="FO12">
            <v>2</v>
          </cell>
        </row>
        <row r="47">
          <cell r="FO47"/>
        </row>
        <row r="48">
          <cell r="FO48"/>
        </row>
        <row r="52">
          <cell r="FO52">
            <v>3414</v>
          </cell>
        </row>
        <row r="53">
          <cell r="FO53"/>
        </row>
        <row r="57">
          <cell r="FO57"/>
        </row>
        <row r="58">
          <cell r="FO58"/>
        </row>
        <row r="64">
          <cell r="EZ64">
            <v>60838</v>
          </cell>
          <cell r="FA64">
            <v>59935</v>
          </cell>
          <cell r="FN64">
            <v>0</v>
          </cell>
          <cell r="FO64">
            <v>3414</v>
          </cell>
        </row>
      </sheetData>
      <sheetData sheetId="73">
        <row r="4">
          <cell r="FO4">
            <v>19</v>
          </cell>
        </row>
        <row r="5">
          <cell r="FO5">
            <v>19</v>
          </cell>
        </row>
        <row r="12">
          <cell r="EZ12">
            <v>40</v>
          </cell>
          <cell r="FA12">
            <v>34</v>
          </cell>
          <cell r="FN12">
            <v>38</v>
          </cell>
          <cell r="FO12">
            <v>38</v>
          </cell>
        </row>
        <row r="47">
          <cell r="FO47">
            <v>44235</v>
          </cell>
        </row>
        <row r="48">
          <cell r="FO48"/>
        </row>
        <row r="52">
          <cell r="FO52">
            <v>75619</v>
          </cell>
        </row>
        <row r="53">
          <cell r="FO53"/>
        </row>
        <row r="57">
          <cell r="FO57"/>
        </row>
        <row r="58">
          <cell r="FO58"/>
        </row>
        <row r="64">
          <cell r="EZ64">
            <v>158796</v>
          </cell>
          <cell r="FA64">
            <v>143386</v>
          </cell>
          <cell r="FN64">
            <v>135846</v>
          </cell>
          <cell r="FO64">
            <v>119854</v>
          </cell>
        </row>
      </sheetData>
      <sheetData sheetId="74">
        <row r="4">
          <cell r="FO4"/>
        </row>
        <row r="5">
          <cell r="FO5"/>
        </row>
        <row r="8">
          <cell r="FO8">
            <v>1</v>
          </cell>
        </row>
        <row r="9">
          <cell r="FO9"/>
        </row>
        <row r="12">
          <cell r="EZ12">
            <v>43</v>
          </cell>
          <cell r="FA12">
            <v>40</v>
          </cell>
          <cell r="FN12">
            <v>48</v>
          </cell>
          <cell r="FO12">
            <v>1</v>
          </cell>
        </row>
        <row r="47">
          <cell r="FO47">
            <v>14442</v>
          </cell>
        </row>
        <row r="48">
          <cell r="FO48"/>
        </row>
        <row r="52">
          <cell r="FO52"/>
        </row>
        <row r="53">
          <cell r="FO53"/>
        </row>
        <row r="57">
          <cell r="FO57"/>
        </row>
        <row r="58">
          <cell r="FO58"/>
        </row>
        <row r="64">
          <cell r="EZ64">
            <v>49029</v>
          </cell>
          <cell r="FA64">
            <v>86453</v>
          </cell>
          <cell r="FN64">
            <v>91916</v>
          </cell>
          <cell r="FO64">
            <v>14442</v>
          </cell>
        </row>
      </sheetData>
      <sheetData sheetId="75">
        <row r="4">
          <cell r="FO4">
            <v>61</v>
          </cell>
        </row>
        <row r="5">
          <cell r="FO5">
            <v>61</v>
          </cell>
        </row>
      </sheetData>
      <sheetData sheetId="76">
        <row r="4">
          <cell r="FO4">
            <v>982</v>
          </cell>
        </row>
        <row r="5">
          <cell r="FO5">
            <v>983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" zoomScale="115" zoomScaleNormal="115" zoomScaleSheetLayoutView="100" workbookViewId="0">
      <selection activeCell="C22" sqref="C2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1.71093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81">
        <v>43132</v>
      </c>
      <c r="B2" s="17"/>
      <c r="C2" s="17"/>
      <c r="D2" s="518" t="s">
        <v>211</v>
      </c>
      <c r="E2" s="518" t="s">
        <v>188</v>
      </c>
      <c r="F2" s="8"/>
      <c r="G2" s="8"/>
      <c r="H2" s="8"/>
      <c r="I2" s="8"/>
      <c r="J2" s="23"/>
    </row>
    <row r="3" spans="1:14" ht="13.5" thickBot="1" x14ac:dyDescent="0.25">
      <c r="A3" s="387"/>
      <c r="B3" s="8" t="s">
        <v>0</v>
      </c>
      <c r="C3" s="8" t="s">
        <v>1</v>
      </c>
      <c r="D3" s="519"/>
      <c r="E3" s="520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Stats'!J4</f>
        <v>1009813</v>
      </c>
      <c r="C5" s="296">
        <f>'Major Airline Stats'!J5</f>
        <v>1052422</v>
      </c>
      <c r="D5" s="5">
        <f>'Major Airline Stats'!J6</f>
        <v>2062235</v>
      </c>
      <c r="E5" s="9">
        <f>'[1]Monthly Summary'!D5</f>
        <v>1977865</v>
      </c>
      <c r="F5" s="39">
        <f>(D5-E5)/E5</f>
        <v>4.2657107537673197E-2</v>
      </c>
      <c r="G5" s="9">
        <f>+D5+'[2]Monthly Summary'!G5</f>
        <v>4110800</v>
      </c>
      <c r="H5" s="9">
        <f>'[1]Monthly Summary'!G5</f>
        <v>3987968</v>
      </c>
      <c r="I5" s="85">
        <f>(G5-H5)/H5</f>
        <v>3.0800648350237516E-2</v>
      </c>
      <c r="J5" s="9"/>
    </row>
    <row r="6" spans="1:14" x14ac:dyDescent="0.2">
      <c r="A6" s="67" t="s">
        <v>5</v>
      </c>
      <c r="B6" s="294">
        <f>'Regional Major'!M5</f>
        <v>280876</v>
      </c>
      <c r="C6" s="294">
        <f>'Regional Major'!M6</f>
        <v>281652</v>
      </c>
      <c r="D6" s="5">
        <f>B6+C6</f>
        <v>562528</v>
      </c>
      <c r="E6" s="9">
        <f>'[1]Monthly Summary'!D6</f>
        <v>544459</v>
      </c>
      <c r="F6" s="39">
        <f>(D6-E6)/E6</f>
        <v>3.3187071937464528E-2</v>
      </c>
      <c r="G6" s="9">
        <f>+D6+'[2]Monthly Summary'!G6</f>
        <v>1106200</v>
      </c>
      <c r="H6" s="9">
        <f>'[1]Monthly Summary'!G6</f>
        <v>1133999</v>
      </c>
      <c r="I6" s="85">
        <f>(G6-H6)/H6</f>
        <v>-2.4514130964842121E-2</v>
      </c>
      <c r="J6" s="20"/>
      <c r="K6" s="2"/>
    </row>
    <row r="7" spans="1:14" x14ac:dyDescent="0.2">
      <c r="A7" s="67" t="s">
        <v>6</v>
      </c>
      <c r="B7" s="9">
        <f>Charter!G5</f>
        <v>1080</v>
      </c>
      <c r="C7" s="295">
        <f>Charter!G6</f>
        <v>467</v>
      </c>
      <c r="D7" s="5">
        <f>B7+C7</f>
        <v>1547</v>
      </c>
      <c r="E7" s="9">
        <f>'[1]Monthly Summary'!D7</f>
        <v>539</v>
      </c>
      <c r="F7" s="39">
        <f>(D7-E7)/E7</f>
        <v>1.8701298701298701</v>
      </c>
      <c r="G7" s="9">
        <f>+D7+'[2]Monthly Summary'!G7</f>
        <v>1941</v>
      </c>
      <c r="H7" s="9">
        <f>'[1]Monthly Summary'!G7</f>
        <v>686</v>
      </c>
      <c r="I7" s="85">
        <f>(G7-H7)/H7</f>
        <v>1.8294460641399417</v>
      </c>
      <c r="J7" s="20"/>
      <c r="K7" s="2"/>
    </row>
    <row r="8" spans="1:14" x14ac:dyDescent="0.2">
      <c r="A8" s="70" t="s">
        <v>7</v>
      </c>
      <c r="B8" s="148">
        <f>SUM(B5:B7)</f>
        <v>1291769</v>
      </c>
      <c r="C8" s="148">
        <f>SUM(C5:C7)</f>
        <v>1334541</v>
      </c>
      <c r="D8" s="148">
        <f>SUM(D5:D7)</f>
        <v>2626310</v>
      </c>
      <c r="E8" s="148">
        <f>SUM(E5:E7)</f>
        <v>2522863</v>
      </c>
      <c r="F8" s="92">
        <f>(D8-E8)/E8</f>
        <v>4.1003811939054953E-2</v>
      </c>
      <c r="G8" s="148">
        <f>SUM(G5:G7)</f>
        <v>5218941</v>
      </c>
      <c r="H8" s="148">
        <f>SUM(H5:H7)</f>
        <v>5122653</v>
      </c>
      <c r="I8" s="91">
        <f>(G8-H8)/H8</f>
        <v>1.8796510323849772E-2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Stats'!J9+'Regional Major'!M10</f>
        <v>42505</v>
      </c>
      <c r="C10" s="297">
        <f>'Major Airline Stats'!J10+'Regional Major'!M11</f>
        <v>42558</v>
      </c>
      <c r="D10" s="120">
        <f>SUM(B10:C10)</f>
        <v>85063</v>
      </c>
      <c r="E10" s="120">
        <f>'[1]Monthly Summary'!D10</f>
        <v>87559</v>
      </c>
      <c r="F10" s="93">
        <f>(D10-E10)/E10</f>
        <v>-2.850649276487854E-2</v>
      </c>
      <c r="G10" s="514">
        <f>+D10+'[2]Monthly Summary'!G10</f>
        <v>177242</v>
      </c>
      <c r="H10" s="120">
        <f>'[1]Monthly Summary'!G10</f>
        <v>180195</v>
      </c>
      <c r="I10" s="96">
        <f>(G10-H10)/H10</f>
        <v>-1.6387802103277005E-2</v>
      </c>
      <c r="J10" s="264"/>
    </row>
    <row r="11" spans="1:14" ht="15.75" thickBot="1" x14ac:dyDescent="0.3">
      <c r="A11" s="69" t="s">
        <v>13</v>
      </c>
      <c r="B11" s="273">
        <f>B10+B8</f>
        <v>1334274</v>
      </c>
      <c r="C11" s="273">
        <f>C10+C8</f>
        <v>1377099</v>
      </c>
      <c r="D11" s="273">
        <f>D10+D8</f>
        <v>2711373</v>
      </c>
      <c r="E11" s="273">
        <f>E10+E8</f>
        <v>2610422</v>
      </c>
      <c r="F11" s="94">
        <f>(D11-E11)/E11</f>
        <v>3.8672291300027355E-2</v>
      </c>
      <c r="G11" s="273">
        <f>G8+G10</f>
        <v>5396183</v>
      </c>
      <c r="H11" s="273">
        <f>H8+H10</f>
        <v>5302848</v>
      </c>
      <c r="I11" s="97">
        <f>(G11-H11)/H11</f>
        <v>1.760091935503337E-2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18" t="s">
        <v>211</v>
      </c>
      <c r="E13" s="518" t="s">
        <v>188</v>
      </c>
      <c r="F13" s="454"/>
      <c r="G13" s="454"/>
      <c r="H13" s="454"/>
      <c r="I13" s="454"/>
    </row>
    <row r="14" spans="1:14" ht="13.5" thickBot="1" x14ac:dyDescent="0.25">
      <c r="A14" s="16"/>
      <c r="B14" s="454" t="s">
        <v>208</v>
      </c>
      <c r="C14" s="454" t="s">
        <v>209</v>
      </c>
      <c r="D14" s="519"/>
      <c r="E14" s="520"/>
      <c r="F14" s="454" t="s">
        <v>2</v>
      </c>
      <c r="G14" s="505" t="s">
        <v>212</v>
      </c>
      <c r="H14" s="505" t="s">
        <v>189</v>
      </c>
      <c r="I14" s="454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Stats'!J15+'Major Airline Stats'!J19</f>
        <v>8018</v>
      </c>
      <c r="C16" s="305">
        <f>'Major Airline Stats'!J16+'Major Airline Stats'!J20</f>
        <v>8011</v>
      </c>
      <c r="D16" s="47">
        <f t="shared" ref="D16:D21" si="0">SUM(B16:C16)</f>
        <v>16029</v>
      </c>
      <c r="E16" s="9">
        <f>'[1]Monthly Summary'!D16</f>
        <v>15972</v>
      </c>
      <c r="F16" s="95">
        <f t="shared" ref="F16:F22" si="1">(D16-E16)/E16</f>
        <v>3.5687453042824945E-3</v>
      </c>
      <c r="G16" s="9">
        <f>+D16+'[2]Monthly Summary'!G16</f>
        <v>32744</v>
      </c>
      <c r="H16" s="9">
        <f>'[1]Monthly Summary'!G16</f>
        <v>32891</v>
      </c>
      <c r="I16" s="262">
        <f t="shared" ref="I16:I22" si="2">(G16-H16)/H16</f>
        <v>-4.4693077133562374E-3</v>
      </c>
      <c r="N16" s="130"/>
    </row>
    <row r="17" spans="1:12" x14ac:dyDescent="0.2">
      <c r="A17" s="68" t="s">
        <v>5</v>
      </c>
      <c r="B17" s="47">
        <f>'Regional Major'!M15+'Regional Major'!M18</f>
        <v>5463</v>
      </c>
      <c r="C17" s="47">
        <f>'Regional Major'!M16+'Regional Major'!M19</f>
        <v>5462</v>
      </c>
      <c r="D17" s="47">
        <f>SUM(B17:C17)</f>
        <v>10925</v>
      </c>
      <c r="E17" s="9">
        <f>'[1]Monthly Summary'!D17</f>
        <v>11218</v>
      </c>
      <c r="F17" s="95">
        <f t="shared" si="1"/>
        <v>-2.6118737742913175E-2</v>
      </c>
      <c r="G17" s="9">
        <f>+D17+'[2]Monthly Summary'!G17</f>
        <v>22129</v>
      </c>
      <c r="H17" s="9">
        <f>'[1]Monthly Summary'!G17</f>
        <v>23460</v>
      </c>
      <c r="I17" s="262">
        <f t="shared" si="2"/>
        <v>-5.6734867860187554E-2</v>
      </c>
    </row>
    <row r="18" spans="1:12" x14ac:dyDescent="0.2">
      <c r="A18" s="68" t="s">
        <v>10</v>
      </c>
      <c r="B18" s="47">
        <f>Charter!G10</f>
        <v>5</v>
      </c>
      <c r="C18" s="47">
        <f>Charter!G11</f>
        <v>3</v>
      </c>
      <c r="D18" s="47">
        <f t="shared" si="0"/>
        <v>8</v>
      </c>
      <c r="E18" s="9">
        <f>'[1]Monthly Summary'!D18</f>
        <v>7</v>
      </c>
      <c r="F18" s="95">
        <f t="shared" si="1"/>
        <v>0.14285714285714285</v>
      </c>
      <c r="G18" s="9">
        <f>+D18+'[2]Monthly Summary'!G18</f>
        <v>12</v>
      </c>
      <c r="H18" s="9">
        <f>'[1]Monthly Summary'!G18</f>
        <v>9</v>
      </c>
      <c r="I18" s="262">
        <f t="shared" si="2"/>
        <v>0.33333333333333331</v>
      </c>
    </row>
    <row r="19" spans="1:12" x14ac:dyDescent="0.2">
      <c r="A19" s="68" t="s">
        <v>11</v>
      </c>
      <c r="B19" s="47">
        <f>Cargo!M4</f>
        <v>554</v>
      </c>
      <c r="C19" s="47">
        <f>Cargo!M5</f>
        <v>556</v>
      </c>
      <c r="D19" s="47">
        <f t="shared" si="0"/>
        <v>1110</v>
      </c>
      <c r="E19" s="9">
        <f>'[1]Monthly Summary'!D19</f>
        <v>1116</v>
      </c>
      <c r="F19" s="95">
        <f t="shared" si="1"/>
        <v>-5.3763440860215058E-3</v>
      </c>
      <c r="G19" s="9">
        <f>+D19+'[2]Monthly Summary'!G19</f>
        <v>2380</v>
      </c>
      <c r="H19" s="9">
        <f>'[1]Monthly Summary'!G19</f>
        <v>2314</v>
      </c>
      <c r="I19" s="262">
        <f t="shared" si="2"/>
        <v>2.8522039757994815E-2</v>
      </c>
    </row>
    <row r="20" spans="1:12" x14ac:dyDescent="0.2">
      <c r="A20" s="68" t="s">
        <v>153</v>
      </c>
      <c r="B20" s="47">
        <f>'[3]General Avation'!$FO$4</f>
        <v>982</v>
      </c>
      <c r="C20" s="47">
        <f>'[3]General Avation'!$FO$5</f>
        <v>983</v>
      </c>
      <c r="D20" s="47">
        <f t="shared" si="0"/>
        <v>1965</v>
      </c>
      <c r="E20" s="9">
        <f>'[1]Monthly Summary'!D20</f>
        <v>1695</v>
      </c>
      <c r="F20" s="95">
        <f t="shared" si="1"/>
        <v>0.15929203539823009</v>
      </c>
      <c r="G20" s="9">
        <f>+D20+'[2]Monthly Summary'!G20</f>
        <v>3506</v>
      </c>
      <c r="H20" s="9">
        <f>'[1]Monthly Summary'!G20</f>
        <v>3320</v>
      </c>
      <c r="I20" s="262">
        <f t="shared" si="2"/>
        <v>5.602409638554217E-2</v>
      </c>
    </row>
    <row r="21" spans="1:12" ht="12.75" customHeight="1" x14ac:dyDescent="0.2">
      <c r="A21" s="68" t="s">
        <v>12</v>
      </c>
      <c r="B21" s="18">
        <f>'[3]Military '!$FO$4</f>
        <v>61</v>
      </c>
      <c r="C21" s="18">
        <f>'[3]Military '!$FO$5</f>
        <v>61</v>
      </c>
      <c r="D21" s="18">
        <f t="shared" si="0"/>
        <v>122</v>
      </c>
      <c r="E21" s="120">
        <f>'[1]Monthly Summary'!D21</f>
        <v>39</v>
      </c>
      <c r="F21" s="260">
        <f t="shared" si="1"/>
        <v>2.1282051282051282</v>
      </c>
      <c r="G21" s="120">
        <f>+D21+'[2]Monthly Summary'!G21</f>
        <v>204</v>
      </c>
      <c r="H21" s="120">
        <f>'[1]Monthly Summary'!G21</f>
        <v>87</v>
      </c>
      <c r="I21" s="263">
        <f t="shared" si="2"/>
        <v>1.3448275862068966</v>
      </c>
    </row>
    <row r="22" spans="1:12" ht="15.75" thickBot="1" x14ac:dyDescent="0.3">
      <c r="A22" s="69" t="s">
        <v>28</v>
      </c>
      <c r="B22" s="274">
        <f>SUM(B16:B21)</f>
        <v>15083</v>
      </c>
      <c r="C22" s="274">
        <f>SUM(C16:C21)</f>
        <v>15076</v>
      </c>
      <c r="D22" s="274">
        <f>SUM(D16:D21)</f>
        <v>30159</v>
      </c>
      <c r="E22" s="274">
        <f>SUM(E16:E21)</f>
        <v>30047</v>
      </c>
      <c r="F22" s="270">
        <f t="shared" si="1"/>
        <v>3.7274935933703864E-3</v>
      </c>
      <c r="G22" s="274">
        <f>SUM(G16:G21)</f>
        <v>60975</v>
      </c>
      <c r="H22" s="274">
        <f>SUM(H16:H21)</f>
        <v>62081</v>
      </c>
      <c r="I22" s="271">
        <f t="shared" si="2"/>
        <v>-1.7815434674054866E-2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18" t="s">
        <v>211</v>
      </c>
      <c r="E24" s="518" t="s">
        <v>188</v>
      </c>
      <c r="F24" s="454"/>
      <c r="G24" s="454"/>
      <c r="H24" s="454"/>
      <c r="I24" s="454"/>
    </row>
    <row r="25" spans="1:12" ht="13.5" thickBot="1" x14ac:dyDescent="0.25">
      <c r="B25" s="454" t="s">
        <v>0</v>
      </c>
      <c r="C25" s="454" t="s">
        <v>1</v>
      </c>
      <c r="D25" s="519"/>
      <c r="E25" s="520"/>
      <c r="F25" s="454" t="s">
        <v>2</v>
      </c>
      <c r="G25" s="505" t="s">
        <v>212</v>
      </c>
      <c r="H25" s="505" t="s">
        <v>189</v>
      </c>
      <c r="I25" s="454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(Cargo!M16+'Major Airline Stats'!J28+'Regional Major'!M25)*0.00045359237</f>
        <v>8539.6297821765693</v>
      </c>
      <c r="C27" s="22">
        <f>(Cargo!M21+'Major Airline Stats'!J33+'Regional Major'!M30)*0.00045359237</f>
        <v>6938.6501110888503</v>
      </c>
      <c r="D27" s="22">
        <f>(SUM(B27:C27)+('Cargo Summary'!E17*0.00045359237))</f>
        <v>15478.279893265419</v>
      </c>
      <c r="E27" s="9">
        <f>'[1]Monthly Summary'!D27</f>
        <v>14773.16284303013</v>
      </c>
      <c r="F27" s="98">
        <f>(D27-E27)/E27</f>
        <v>4.7729593028073738E-2</v>
      </c>
      <c r="G27" s="9">
        <f>+D27+'[2]Monthly Summary'!G27</f>
        <v>31643.955436462598</v>
      </c>
      <c r="H27" s="9">
        <f>'[1]Monthly Summary'!G27</f>
        <v>29967.42995615138</v>
      </c>
      <c r="I27" s="100">
        <f>(G27-H27)/H27</f>
        <v>5.5944920293943323E-2</v>
      </c>
    </row>
    <row r="28" spans="1:12" x14ac:dyDescent="0.2">
      <c r="A28" s="62" t="s">
        <v>16</v>
      </c>
      <c r="B28" s="22">
        <f>(Cargo!M17+'Major Airline Stats'!J29+'Regional Major'!M26)*0.00045359237</f>
        <v>783.27918024894996</v>
      </c>
      <c r="C28" s="22">
        <f>(Cargo!M22+'Major Airline Stats'!J34+'Regional Major'!M31)*0.00045359237</f>
        <v>999.43272747163996</v>
      </c>
      <c r="D28" s="22">
        <f>SUM(B28:C28)</f>
        <v>1782.7119077205898</v>
      </c>
      <c r="E28" s="9">
        <f>'[1]Monthly Summary'!D28</f>
        <v>1817.4126312103299</v>
      </c>
      <c r="F28" s="98">
        <f>(D28-E28)/E28</f>
        <v>-1.9093475468270889E-2</v>
      </c>
      <c r="G28" s="120">
        <f>+D28+'[2]Monthly Summary'!G28</f>
        <v>3859.3494032393296</v>
      </c>
      <c r="H28" s="9">
        <f>'[1]Monthly Summary'!G28</f>
        <v>3210.8025790209599</v>
      </c>
      <c r="I28" s="100">
        <f>(G28-H28)/H28</f>
        <v>0.20198900687818838</v>
      </c>
    </row>
    <row r="29" spans="1:12" ht="15.75" thickBot="1" x14ac:dyDescent="0.3">
      <c r="A29" s="63" t="s">
        <v>62</v>
      </c>
      <c r="B29" s="54">
        <f>SUM(B27:B28)</f>
        <v>9322.9089624255193</v>
      </c>
      <c r="C29" s="54">
        <f>SUM(C27:C28)</f>
        <v>7938.08283856049</v>
      </c>
      <c r="D29" s="54">
        <f>SUM(D27:D28)</f>
        <v>17260.991800986008</v>
      </c>
      <c r="E29" s="54">
        <f>SUM(E27:E28)</f>
        <v>16590.575474240461</v>
      </c>
      <c r="F29" s="99">
        <f>(D29-E29)/E29</f>
        <v>4.0409467880513077E-2</v>
      </c>
      <c r="G29" s="54">
        <f>SUM(G27:G28)</f>
        <v>35503.30483970193</v>
      </c>
      <c r="H29" s="54">
        <f>SUM(H27:H28)</f>
        <v>33178.232535172341</v>
      </c>
      <c r="I29" s="101">
        <f>(G29-H29)/H29</f>
        <v>7.0078244887360197E-2</v>
      </c>
    </row>
    <row r="30" spans="1:12" s="7" customFormat="1" ht="4.5" customHeight="1" thickBot="1" x14ac:dyDescent="0.3">
      <c r="A30" s="59"/>
      <c r="B30" s="389"/>
      <c r="C30" s="389"/>
      <c r="D30" s="389"/>
      <c r="E30" s="389"/>
      <c r="F30" s="275"/>
      <c r="G30" s="389"/>
      <c r="H30" s="389"/>
      <c r="I30" s="275"/>
    </row>
    <row r="31" spans="1:12" ht="13.5" thickBot="1" x14ac:dyDescent="0.25">
      <c r="B31" s="517" t="s">
        <v>149</v>
      </c>
      <c r="C31" s="516"/>
      <c r="D31" s="517" t="s">
        <v>156</v>
      </c>
      <c r="E31" s="516"/>
      <c r="F31" s="412"/>
      <c r="G31" s="413"/>
      <c r="H31" s="411"/>
      <c r="I31" s="411"/>
    </row>
    <row r="32" spans="1:12" x14ac:dyDescent="0.2">
      <c r="A32" s="393" t="s">
        <v>150</v>
      </c>
      <c r="B32" s="394">
        <f>C8-B33</f>
        <v>901324</v>
      </c>
      <c r="C32" s="395">
        <f>B32/C8</f>
        <v>0.67538127341160747</v>
      </c>
      <c r="D32" s="396">
        <f>+B32+'[2]Monthly Summary'!$D$32</f>
        <v>1750784</v>
      </c>
      <c r="E32" s="397">
        <f>+D32/D34</f>
        <v>0.66478509148472686</v>
      </c>
      <c r="G32" s="419"/>
      <c r="H32" s="411"/>
      <c r="I32" s="410"/>
    </row>
    <row r="33" spans="1:14" ht="13.5" thickBot="1" x14ac:dyDescent="0.25">
      <c r="A33" s="398" t="s">
        <v>151</v>
      </c>
      <c r="B33" s="399">
        <f>'Major Airline Stats'!J51+'Regional Major'!M45</f>
        <v>433217</v>
      </c>
      <c r="C33" s="400">
        <f>+B33/C8</f>
        <v>0.32461872658839258</v>
      </c>
      <c r="D33" s="401">
        <f>+B33+'[2]Monthly Summary'!$D$33</f>
        <v>882825</v>
      </c>
      <c r="E33" s="402">
        <f>+D33/D34</f>
        <v>0.33521490851527314</v>
      </c>
      <c r="G33" s="411"/>
      <c r="H33" s="411"/>
      <c r="I33" s="410"/>
    </row>
    <row r="34" spans="1:14" ht="13.5" thickBot="1" x14ac:dyDescent="0.25">
      <c r="B34" s="309"/>
      <c r="D34" s="403">
        <f>SUM(D32:D33)</f>
        <v>2633609</v>
      </c>
    </row>
    <row r="35" spans="1:14" ht="13.5" thickBot="1" x14ac:dyDescent="0.25">
      <c r="B35" s="515" t="s">
        <v>229</v>
      </c>
      <c r="C35" s="516"/>
      <c r="D35" s="517" t="s">
        <v>213</v>
      </c>
      <c r="E35" s="516"/>
    </row>
    <row r="36" spans="1:14" x14ac:dyDescent="0.2">
      <c r="A36" s="393" t="s">
        <v>150</v>
      </c>
      <c r="B36" s="394">
        <f>'[1]Monthly Summary'!$B$32</f>
        <v>816089</v>
      </c>
      <c r="C36" s="395">
        <f>+B36/B38</f>
        <v>0.64283626871091515</v>
      </c>
      <c r="D36" s="396">
        <f>'[1]Monthly Summary'!$D$32</f>
        <v>1645414</v>
      </c>
      <c r="E36" s="397">
        <f>+D36/D38</f>
        <v>0.63778900658637327</v>
      </c>
    </row>
    <row r="37" spans="1:14" ht="13.5" thickBot="1" x14ac:dyDescent="0.25">
      <c r="A37" s="398" t="s">
        <v>151</v>
      </c>
      <c r="B37" s="399">
        <f>'[1]Monthly Summary'!$B$33</f>
        <v>453424</v>
      </c>
      <c r="C37" s="402">
        <f>+B37/B38</f>
        <v>0.35716373128908485</v>
      </c>
      <c r="D37" s="401">
        <f>'[1]Monthly Summary'!$D$33</f>
        <v>934458</v>
      </c>
      <c r="E37" s="402">
        <f>+D37/D38</f>
        <v>0.36221099341362673</v>
      </c>
      <c r="M37" s="13"/>
    </row>
    <row r="38" spans="1:14" x14ac:dyDescent="0.2">
      <c r="B38" s="418">
        <f>+SUM(B36:B37)</f>
        <v>1269513</v>
      </c>
      <c r="D38" s="403">
        <f>SUM(D36:D37)</f>
        <v>2579872</v>
      </c>
    </row>
    <row r="39" spans="1:14" x14ac:dyDescent="0.2">
      <c r="A39" s="407" t="s">
        <v>152</v>
      </c>
    </row>
    <row r="40" spans="1:14" x14ac:dyDescent="0.2">
      <c r="A40" s="229" t="s">
        <v>154</v>
      </c>
      <c r="I40" s="2"/>
    </row>
    <row r="41" spans="1:14" x14ac:dyDescent="0.2">
      <c r="N41" s="408"/>
    </row>
    <row r="42" spans="1:14" x14ac:dyDescent="0.2">
      <c r="G42" s="2"/>
      <c r="N42" s="408"/>
    </row>
    <row r="43" spans="1:14" x14ac:dyDescent="0.2">
      <c r="B43" s="309"/>
      <c r="J43" s="2"/>
      <c r="N43" s="408"/>
    </row>
    <row r="44" spans="1:14" x14ac:dyDescent="0.2">
      <c r="B44" s="309"/>
      <c r="N44" s="408"/>
    </row>
    <row r="45" spans="1:14" x14ac:dyDescent="0.2">
      <c r="J45" s="2"/>
      <c r="N45" s="408"/>
    </row>
    <row r="46" spans="1:14" x14ac:dyDescent="0.2">
      <c r="B46" s="2"/>
      <c r="F46" s="309"/>
    </row>
    <row r="47" spans="1:14" x14ac:dyDescent="0.2">
      <c r="N47" s="408"/>
    </row>
    <row r="51" spans="12:12" x14ac:dyDescent="0.2">
      <c r="L51" s="409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February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topLeftCell="A13" zoomScaleNormal="100" zoomScaleSheetLayoutView="100" workbookViewId="0">
      <selection activeCell="I9" sqref="I9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81">
        <v>43132</v>
      </c>
      <c r="B1" s="12" t="s">
        <v>18</v>
      </c>
      <c r="C1" s="504" t="s">
        <v>222</v>
      </c>
      <c r="D1" s="426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2" t="s">
        <v>144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4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[3]Delta!$FO$32</f>
        <v>81807</v>
      </c>
      <c r="C4" s="21">
        <f>'[3]Atlantic Southeast'!$FO$32</f>
        <v>1111</v>
      </c>
      <c r="D4" s="21">
        <f>[3]Pinnacle!$FO$32</f>
        <v>2203</v>
      </c>
      <c r="E4" s="21">
        <f>[3]Compass!$FO$32</f>
        <v>0</v>
      </c>
      <c r="F4" s="21">
        <f>'[3]Sky West'!$FO$32</f>
        <v>12342</v>
      </c>
      <c r="G4" s="21">
        <f>'[3]Go Jet'!$FO$32</f>
        <v>2858</v>
      </c>
      <c r="H4" s="21">
        <f>'[3]Sun Country'!$FO$32</f>
        <v>32562</v>
      </c>
      <c r="I4" s="21">
        <f>[3]Icelandair!$FO$32</f>
        <v>0</v>
      </c>
      <c r="J4" s="21">
        <f>[3]KLM!$FO$32</f>
        <v>2187</v>
      </c>
      <c r="K4" s="21">
        <f>'[3]Air Georgian'!$FO$32</f>
        <v>0</v>
      </c>
      <c r="L4" s="21">
        <f>'[3]Sky Regional'!$FO$32</f>
        <v>3744</v>
      </c>
      <c r="M4" s="21">
        <f>[3]Condor!$FO$32</f>
        <v>0</v>
      </c>
      <c r="N4" s="21">
        <f>'[3]Air France'!$FO$32</f>
        <v>0</v>
      </c>
      <c r="O4" s="21">
        <f>'[3]Charter Misc'!$FO$32+[3]Ryan!$FO$32+[3]Omni!$FO$32</f>
        <v>0</v>
      </c>
      <c r="P4" s="281">
        <f>SUM(B4:O4)</f>
        <v>138814</v>
      </c>
    </row>
    <row r="5" spans="1:16" x14ac:dyDescent="0.2">
      <c r="A5" s="62" t="s">
        <v>31</v>
      </c>
      <c r="B5" s="14">
        <f>[3]Delta!$FO$33</f>
        <v>80963</v>
      </c>
      <c r="C5" s="14">
        <f>'[3]Atlantic Southeast'!$FO$33</f>
        <v>1562</v>
      </c>
      <c r="D5" s="14">
        <f>[3]Pinnacle!$FO$33</f>
        <v>2158</v>
      </c>
      <c r="E5" s="14">
        <f>[3]Compass!$FO$33</f>
        <v>0</v>
      </c>
      <c r="F5" s="14">
        <f>'[3]Sky West'!$FO$33</f>
        <v>12494</v>
      </c>
      <c r="G5" s="14">
        <f>'[3]Go Jet'!$FO$33</f>
        <v>2444</v>
      </c>
      <c r="H5" s="14">
        <f>'[3]Sun Country'!$FO$33</f>
        <v>35468</v>
      </c>
      <c r="I5" s="14">
        <f>[3]Icelandair!$FO$33</f>
        <v>0</v>
      </c>
      <c r="J5" s="14">
        <f>[3]KLM!$FO$33</f>
        <v>1897</v>
      </c>
      <c r="K5" s="14">
        <f>'[3]Air Georgian'!$FO$33</f>
        <v>0</v>
      </c>
      <c r="L5" s="14">
        <f>'[3]Sky Regional'!$FO$33</f>
        <v>3598</v>
      </c>
      <c r="M5" s="14">
        <f>[3]Condor!$FO$33</f>
        <v>0</v>
      </c>
      <c r="N5" s="14">
        <f>'[3]Air France'!$FO$33</f>
        <v>0</v>
      </c>
      <c r="O5" s="14">
        <f>'[3]Charter Misc'!$FO$33++[3]Ryan!$FO$33+[3]Omni!$FO$33</f>
        <v>0</v>
      </c>
      <c r="P5" s="282">
        <f>SUM(B5:O5)</f>
        <v>140584</v>
      </c>
    </row>
    <row r="6" spans="1:16" ht="15" x14ac:dyDescent="0.25">
      <c r="A6" s="60" t="s">
        <v>7</v>
      </c>
      <c r="B6" s="34">
        <f t="shared" ref="B6:O6" si="0">SUM(B4:B5)</f>
        <v>162770</v>
      </c>
      <c r="C6" s="34">
        <f t="shared" si="0"/>
        <v>2673</v>
      </c>
      <c r="D6" s="34">
        <f t="shared" si="0"/>
        <v>4361</v>
      </c>
      <c r="E6" s="34">
        <f t="shared" si="0"/>
        <v>0</v>
      </c>
      <c r="F6" s="34">
        <f t="shared" si="0"/>
        <v>24836</v>
      </c>
      <c r="G6" s="34">
        <f t="shared" ref="G6" si="1">SUM(G4:G5)</f>
        <v>5302</v>
      </c>
      <c r="H6" s="34">
        <f t="shared" si="0"/>
        <v>68030</v>
      </c>
      <c r="I6" s="34">
        <f t="shared" si="0"/>
        <v>0</v>
      </c>
      <c r="J6" s="34">
        <f t="shared" ref="J6" si="2">SUM(J4:J5)</f>
        <v>4084</v>
      </c>
      <c r="K6" s="34">
        <f t="shared" si="0"/>
        <v>0</v>
      </c>
      <c r="L6" s="34">
        <f t="shared" ref="L6" si="3">SUM(L4:L5)</f>
        <v>7342</v>
      </c>
      <c r="M6" s="34">
        <f t="shared" ref="M6" si="4">SUM(M4:M5)</f>
        <v>0</v>
      </c>
      <c r="N6" s="34">
        <f t="shared" si="0"/>
        <v>0</v>
      </c>
      <c r="O6" s="34">
        <f t="shared" si="0"/>
        <v>0</v>
      </c>
      <c r="P6" s="283">
        <f>SUM(B6:O6)</f>
        <v>279398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[3]Delta!$FO$37</f>
        <v>2388</v>
      </c>
      <c r="C9" s="21">
        <f>'[3]Atlantic Southeast'!$FO$37</f>
        <v>30</v>
      </c>
      <c r="D9" s="21">
        <f>[3]Pinnacle!$FO$37</f>
        <v>29</v>
      </c>
      <c r="E9" s="21">
        <f>[3]Compass!$FO$37</f>
        <v>0</v>
      </c>
      <c r="F9" s="21">
        <f>'[3]Sky West'!$FO$37</f>
        <v>104</v>
      </c>
      <c r="G9" s="21">
        <f>'[3]Go Jet'!$FO$37</f>
        <v>35</v>
      </c>
      <c r="H9" s="21">
        <f>'[3]Sun Country'!$FO$37</f>
        <v>188</v>
      </c>
      <c r="I9" s="21">
        <f>[3]Icelandair!$FO$37</f>
        <v>0</v>
      </c>
      <c r="J9" s="21">
        <f>[3]KLM!$FO$37</f>
        <v>24</v>
      </c>
      <c r="K9" s="21">
        <f>'[3]Air Georgian'!$FO$37</f>
        <v>0</v>
      </c>
      <c r="L9" s="21">
        <f>'[3]Sky Regional'!$FO$37</f>
        <v>31</v>
      </c>
      <c r="M9" s="21">
        <f>[3]Condor!$FO$37</f>
        <v>0</v>
      </c>
      <c r="N9" s="21">
        <f>'[3]Air France'!$FO$37</f>
        <v>0</v>
      </c>
      <c r="O9" s="21">
        <f>'[3]Charter Misc'!$FO$37+[3]Ryan!$FO$37+[3]Omni!$FO$37</f>
        <v>0</v>
      </c>
      <c r="P9" s="281">
        <f>SUM(B9:O9)</f>
        <v>2829</v>
      </c>
    </row>
    <row r="10" spans="1:16" x14ac:dyDescent="0.2">
      <c r="A10" s="62" t="s">
        <v>33</v>
      </c>
      <c r="B10" s="14">
        <f>[3]Delta!$FO$38</f>
        <v>2391</v>
      </c>
      <c r="C10" s="14">
        <f>'[3]Atlantic Southeast'!$FO$38</f>
        <v>17</v>
      </c>
      <c r="D10" s="14">
        <f>[3]Pinnacle!$FO$38</f>
        <v>29</v>
      </c>
      <c r="E10" s="14">
        <f>[3]Compass!$FO$38</f>
        <v>0</v>
      </c>
      <c r="F10" s="14">
        <f>'[3]Sky West'!$FO$38</f>
        <v>108</v>
      </c>
      <c r="G10" s="14">
        <f>'[3]Go Jet'!$FO$38</f>
        <v>44</v>
      </c>
      <c r="H10" s="14">
        <f>'[3]Sun Country'!$FO$38</f>
        <v>256</v>
      </c>
      <c r="I10" s="14">
        <f>[3]Icelandair!$FO$38</f>
        <v>0</v>
      </c>
      <c r="J10" s="14">
        <f>[3]KLM!$FO$38</f>
        <v>14</v>
      </c>
      <c r="K10" s="14">
        <f>'[3]Air Georgian'!$FO$38</f>
        <v>0</v>
      </c>
      <c r="L10" s="14">
        <f>'[3]Sky Regional'!$FO$38</f>
        <v>29</v>
      </c>
      <c r="M10" s="14">
        <f>[3]Condor!$FO$38</f>
        <v>0</v>
      </c>
      <c r="N10" s="14">
        <f>'[3]Air France'!$FO$38</f>
        <v>0</v>
      </c>
      <c r="O10" s="14">
        <f>'[3]Charter Misc'!$FO$38+[3]Ryan!$FO$38+[3]Omni!$FO$38</f>
        <v>0</v>
      </c>
      <c r="P10" s="282">
        <f>SUM(B10:O10)</f>
        <v>2888</v>
      </c>
    </row>
    <row r="11" spans="1:16" ht="15.75" thickBot="1" x14ac:dyDescent="0.3">
      <c r="A11" s="63" t="s">
        <v>34</v>
      </c>
      <c r="B11" s="284">
        <f t="shared" ref="B11:H11" si="5">SUM(B9:B10)</f>
        <v>4779</v>
      </c>
      <c r="C11" s="284">
        <f t="shared" si="5"/>
        <v>47</v>
      </c>
      <c r="D11" s="284">
        <f t="shared" si="5"/>
        <v>58</v>
      </c>
      <c r="E11" s="284">
        <f t="shared" si="5"/>
        <v>0</v>
      </c>
      <c r="F11" s="284">
        <f t="shared" si="5"/>
        <v>212</v>
      </c>
      <c r="G11" s="284">
        <f t="shared" ref="G11" si="6">SUM(G9:G10)</f>
        <v>79</v>
      </c>
      <c r="H11" s="284">
        <f t="shared" si="5"/>
        <v>444</v>
      </c>
      <c r="I11" s="284">
        <f t="shared" ref="I11:O11" si="7">SUM(I9:I10)</f>
        <v>0</v>
      </c>
      <c r="J11" s="284">
        <f t="shared" ref="J11" si="8">SUM(J9:J10)</f>
        <v>38</v>
      </c>
      <c r="K11" s="284">
        <f t="shared" si="7"/>
        <v>0</v>
      </c>
      <c r="L11" s="284">
        <f t="shared" ref="L11" si="9">SUM(L9:L10)</f>
        <v>60</v>
      </c>
      <c r="M11" s="284">
        <f t="shared" si="7"/>
        <v>0</v>
      </c>
      <c r="N11" s="284">
        <f t="shared" si="7"/>
        <v>0</v>
      </c>
      <c r="O11" s="284">
        <f t="shared" si="7"/>
        <v>0</v>
      </c>
      <c r="P11" s="285">
        <f>SUM(B11:O11)</f>
        <v>5717</v>
      </c>
    </row>
    <row r="12" spans="1:16" ht="15" x14ac:dyDescent="0.25">
      <c r="A12" s="386"/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  <c r="O12" s="382"/>
      <c r="P12" s="383"/>
    </row>
    <row r="13" spans="1:16" ht="39" thickBot="1" x14ac:dyDescent="0.25">
      <c r="B13" s="12" t="s">
        <v>18</v>
      </c>
      <c r="C13" s="504" t="s">
        <v>222</v>
      </c>
      <c r="D13" s="426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5" t="s">
        <v>146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7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SUM([3]Delta!$FN$32:$FO$32)</f>
        <v>166794</v>
      </c>
      <c r="C16" s="21">
        <f>SUM('[3]Atlantic Southeast'!$FN$32:$FO$32)</f>
        <v>2247</v>
      </c>
      <c r="D16" s="21">
        <f>SUM([3]Pinnacle!$FN$32:$FO$32)</f>
        <v>4080</v>
      </c>
      <c r="E16" s="21">
        <f>SUM([3]Compass!$FN$32:$FO$32)</f>
        <v>0</v>
      </c>
      <c r="F16" s="21">
        <f>SUM('[3]Sky West'!$FN$32:$FO$32)</f>
        <v>24982</v>
      </c>
      <c r="G16" s="21">
        <f>SUM('[3]Go Jet'!$FN$32:$FO$32)</f>
        <v>5887</v>
      </c>
      <c r="H16" s="21">
        <f>SUM('[3]Sun Country'!$FN$32:$FO$32)</f>
        <v>54836</v>
      </c>
      <c r="I16" s="21">
        <f>SUM([3]Icelandair!$FN$32:$FO$32)</f>
        <v>852</v>
      </c>
      <c r="J16" s="21">
        <f>SUM([3]KLM!$FN$32:$FO$32)</f>
        <v>5656</v>
      </c>
      <c r="K16" s="21">
        <f>SUM('[3]Air Georgian'!$FN$32:$FO$32)</f>
        <v>0</v>
      </c>
      <c r="L16" s="21">
        <f>SUM('[3]Sky Regional'!$FN$32:$FO$32)</f>
        <v>7681</v>
      </c>
      <c r="M16" s="21">
        <f>SUM([3]Condor!$FN$32:$FO$32)</f>
        <v>0</v>
      </c>
      <c r="N16" s="21">
        <f>SUM('[3]Air France'!$FN$32:$FO$32)</f>
        <v>0</v>
      </c>
      <c r="O16" s="21">
        <f>SUM('[3]Charter Misc'!$FN$32:$FO$32)+SUM([3]Ryan!$FN$32:$FO$32)+SUM([3]Omni!$FN$32:$FO$32)</f>
        <v>0</v>
      </c>
      <c r="P16" s="281">
        <f>SUM(B16:O16)</f>
        <v>273015</v>
      </c>
    </row>
    <row r="17" spans="1:19" x14ac:dyDescent="0.2">
      <c r="A17" s="62" t="s">
        <v>31</v>
      </c>
      <c r="B17" s="14">
        <f>SUM([3]Delta!$FN$33:$FO$33)</f>
        <v>161887</v>
      </c>
      <c r="C17" s="14">
        <f>SUM('[3]Atlantic Southeast'!$FN$33:$FO$33)</f>
        <v>2924</v>
      </c>
      <c r="D17" s="14">
        <f>SUM([3]Pinnacle!$FN$33:$FO$33)</f>
        <v>3921</v>
      </c>
      <c r="E17" s="14">
        <f>SUM([3]Compass!$FN$33:$FO$33)</f>
        <v>0</v>
      </c>
      <c r="F17" s="14">
        <f>SUM('[3]Sky West'!$FN$33:$FO$33)</f>
        <v>25050</v>
      </c>
      <c r="G17" s="14">
        <f>SUM('[3]Go Jet'!$FN$33:$FO$33)</f>
        <v>5335</v>
      </c>
      <c r="H17" s="14">
        <f>SUM('[3]Sun Country'!$FN$33:$FO$33)</f>
        <v>57741</v>
      </c>
      <c r="I17" s="14">
        <f>SUM([3]Icelandair!$FN$33:$FO$33)</f>
        <v>671</v>
      </c>
      <c r="J17" s="14">
        <f>SUM([3]KLM!$FN$33:$FO$33)</f>
        <v>4407</v>
      </c>
      <c r="K17" s="14">
        <f>SUM('[3]Air Georgian'!$FN$33:$FO$33)</f>
        <v>0</v>
      </c>
      <c r="L17" s="14">
        <f>SUM('[3]Sky Regional'!$FN$33:$FO$33)</f>
        <v>7396</v>
      </c>
      <c r="M17" s="14">
        <f>SUM([3]Condor!$FN$33:$FO$33)</f>
        <v>0</v>
      </c>
      <c r="N17" s="14">
        <f>SUM('[3]Air France'!$FN$33:$FO$33)</f>
        <v>0</v>
      </c>
      <c r="O17" s="14">
        <f>SUM('[3]Charter Misc'!$FN$33:$FO$33)++SUM([3]Ryan!$FN$33:$FO$33)+SUM([3]Omni!$FN$33:$FO$33)</f>
        <v>0</v>
      </c>
      <c r="P17" s="282">
        <f>SUM(B17:O17)</f>
        <v>269332</v>
      </c>
    </row>
    <row r="18" spans="1:19" ht="15" x14ac:dyDescent="0.25">
      <c r="A18" s="60" t="s">
        <v>7</v>
      </c>
      <c r="B18" s="34">
        <f t="shared" ref="B18:O18" si="10">SUM(B16:B17)</f>
        <v>328681</v>
      </c>
      <c r="C18" s="34">
        <f t="shared" si="10"/>
        <v>5171</v>
      </c>
      <c r="D18" s="34">
        <f t="shared" si="10"/>
        <v>8001</v>
      </c>
      <c r="E18" s="34">
        <f t="shared" si="10"/>
        <v>0</v>
      </c>
      <c r="F18" s="34">
        <f t="shared" si="10"/>
        <v>50032</v>
      </c>
      <c r="G18" s="34">
        <f t="shared" ref="G18" si="11">SUM(G16:G17)</f>
        <v>11222</v>
      </c>
      <c r="H18" s="34">
        <f t="shared" si="10"/>
        <v>112577</v>
      </c>
      <c r="I18" s="34">
        <f t="shared" si="10"/>
        <v>1523</v>
      </c>
      <c r="J18" s="34">
        <f t="shared" ref="J18" si="12">SUM(J16:J17)</f>
        <v>10063</v>
      </c>
      <c r="K18" s="34">
        <f t="shared" si="10"/>
        <v>0</v>
      </c>
      <c r="L18" s="34">
        <f t="shared" ref="L18" si="13">SUM(L16:L17)</f>
        <v>15077</v>
      </c>
      <c r="M18" s="34">
        <f t="shared" ref="M18" si="14">SUM(M16:M17)</f>
        <v>0</v>
      </c>
      <c r="N18" s="34">
        <f t="shared" si="10"/>
        <v>0</v>
      </c>
      <c r="O18" s="34">
        <f t="shared" si="10"/>
        <v>0</v>
      </c>
      <c r="P18" s="283">
        <f>SUM(B18:O18)</f>
        <v>542347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SUM([3]Delta!$FN$37:$FO$37)</f>
        <v>4827</v>
      </c>
      <c r="C21" s="21">
        <f>SUM('[3]Atlantic Southeast'!$FN$37:$FO$37)</f>
        <v>47</v>
      </c>
      <c r="D21" s="21">
        <f>SUM([3]Pinnacle!$FN$37:$FO$37)</f>
        <v>57</v>
      </c>
      <c r="E21" s="21">
        <f>SUM([3]Compass!$FN$37:$FO$37)</f>
        <v>0</v>
      </c>
      <c r="F21" s="21">
        <f>SUM('[3]Sky West'!$FN$37:$FO$37)</f>
        <v>242</v>
      </c>
      <c r="G21" s="21">
        <f>SUM('[3]Go Jet'!$FN$37:$FO$37)</f>
        <v>82</v>
      </c>
      <c r="H21" s="21">
        <f>SUM('[3]Sun Country'!$FN$37:$FO$37)</f>
        <v>402</v>
      </c>
      <c r="I21" s="21">
        <f>SUM([3]Icelandair!$FN$37:$FO$37)</f>
        <v>20</v>
      </c>
      <c r="J21" s="21">
        <f>SUM([3]KLM!$FN$37:$FO$37)</f>
        <v>49</v>
      </c>
      <c r="K21" s="21">
        <f>SUM('[3]Air Georgian'!$FN$37:$FO$37)</f>
        <v>0</v>
      </c>
      <c r="L21" s="21">
        <f>SUM('[3]Sky Regional'!$FN$37:$FO$37)</f>
        <v>81</v>
      </c>
      <c r="M21" s="21">
        <f>SUM([3]Condor!$FN$37:$FO$37)</f>
        <v>0</v>
      </c>
      <c r="N21" s="21">
        <f>SUM('[3]Air France'!$FN$37:$FO$37)</f>
        <v>0</v>
      </c>
      <c r="O21" s="21">
        <f>SUM('[3]Charter Misc'!$FN$37:$FO$37)++SUM([3]Ryan!$FN$37:$FO$37)+SUM([3]Omni!$FN$37:$FO$37)</f>
        <v>0</v>
      </c>
      <c r="P21" s="281">
        <f>SUM(B21:O21)</f>
        <v>5807</v>
      </c>
    </row>
    <row r="22" spans="1:19" x14ac:dyDescent="0.2">
      <c r="A22" s="62" t="s">
        <v>33</v>
      </c>
      <c r="B22" s="14">
        <f>SUM([3]Delta!$FN$38:$FO$38)</f>
        <v>4755</v>
      </c>
      <c r="C22" s="14">
        <f>SUM('[3]Atlantic Southeast'!$FN$38:$FO$38)</f>
        <v>31</v>
      </c>
      <c r="D22" s="14">
        <f>SUM([3]Pinnacle!$FN$38:$FO$38)</f>
        <v>58</v>
      </c>
      <c r="E22" s="14">
        <f>SUM([3]Compass!$FN$38:$FO$38)</f>
        <v>0</v>
      </c>
      <c r="F22" s="14">
        <f>SUM('[3]Sky West'!$FN$38:$FO$38)</f>
        <v>228</v>
      </c>
      <c r="G22" s="14">
        <f>SUM('[3]Go Jet'!$FN$38:$FO$38)</f>
        <v>90</v>
      </c>
      <c r="H22" s="14">
        <f>SUM('[3]Sun Country'!$FN$38:$FO$38)</f>
        <v>496</v>
      </c>
      <c r="I22" s="14">
        <f>SUM([3]Icelandair!$FN$38:$FO$38)</f>
        <v>13</v>
      </c>
      <c r="J22" s="14">
        <f>SUM([3]KLM!$FN$38:$FO$38)</f>
        <v>38</v>
      </c>
      <c r="K22" s="14">
        <f>SUM('[3]Air Georgian'!$FN$38:$FO$38)</f>
        <v>0</v>
      </c>
      <c r="L22" s="14">
        <f>SUM('[3]Sky Regional'!$FN$38:$FO$38)</f>
        <v>89</v>
      </c>
      <c r="M22" s="14">
        <f>SUM([3]Condor!$FN$38:$FO$38)</f>
        <v>0</v>
      </c>
      <c r="N22" s="14">
        <f>SUM('[3]Air France'!$FN$38:$FO$38)</f>
        <v>0</v>
      </c>
      <c r="O22" s="14">
        <f>SUM('[3]Charter Misc'!$FN$38:$FO$38)++SUM([3]Ryan!$FN$38:$FO$38)+SUM([3]Omni!$FN$38:$FO$38)</f>
        <v>0</v>
      </c>
      <c r="P22" s="282">
        <f>SUM(B22:O22)</f>
        <v>5798</v>
      </c>
    </row>
    <row r="23" spans="1:19" ht="15.75" thickBot="1" x14ac:dyDescent="0.3">
      <c r="A23" s="63" t="s">
        <v>34</v>
      </c>
      <c r="B23" s="284">
        <f t="shared" ref="B23:O23" si="15">SUM(B21:B22)</f>
        <v>9582</v>
      </c>
      <c r="C23" s="284">
        <f t="shared" si="15"/>
        <v>78</v>
      </c>
      <c r="D23" s="284">
        <f t="shared" si="15"/>
        <v>115</v>
      </c>
      <c r="E23" s="284">
        <f t="shared" si="15"/>
        <v>0</v>
      </c>
      <c r="F23" s="284">
        <f t="shared" si="15"/>
        <v>470</v>
      </c>
      <c r="G23" s="284">
        <f t="shared" ref="G23" si="16">SUM(G21:G22)</f>
        <v>172</v>
      </c>
      <c r="H23" s="284">
        <f t="shared" si="15"/>
        <v>898</v>
      </c>
      <c r="I23" s="284">
        <f t="shared" si="15"/>
        <v>33</v>
      </c>
      <c r="J23" s="284">
        <f t="shared" ref="J23" si="17">SUM(J21:J22)</f>
        <v>87</v>
      </c>
      <c r="K23" s="284">
        <f t="shared" si="15"/>
        <v>0</v>
      </c>
      <c r="L23" s="284">
        <f t="shared" ref="L23" si="18">SUM(L21:L22)</f>
        <v>170</v>
      </c>
      <c r="M23" s="284">
        <f t="shared" ref="M23" si="19">SUM(M21:M22)</f>
        <v>0</v>
      </c>
      <c r="N23" s="284">
        <f t="shared" si="15"/>
        <v>0</v>
      </c>
      <c r="O23" s="284">
        <f t="shared" si="15"/>
        <v>0</v>
      </c>
      <c r="P23" s="285">
        <f>SUM(B23:O23)</f>
        <v>11605</v>
      </c>
    </row>
    <row r="25" spans="1:19" ht="39" thickBot="1" x14ac:dyDescent="0.25">
      <c r="B25" s="12" t="s">
        <v>18</v>
      </c>
      <c r="C25" s="504" t="s">
        <v>222</v>
      </c>
      <c r="D25" s="426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58" t="s">
        <v>147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60"/>
    </row>
    <row r="27" spans="1:19" x14ac:dyDescent="0.2">
      <c r="A27" s="62" t="s">
        <v>22</v>
      </c>
      <c r="B27" s="21">
        <f>[3]Delta!$FO$15</f>
        <v>538</v>
      </c>
      <c r="C27" s="21">
        <f>'[3]Atlantic Southeast'!$FO$15</f>
        <v>22</v>
      </c>
      <c r="D27" s="21">
        <f>[3]Pinnacle!$FO$15</f>
        <v>36</v>
      </c>
      <c r="E27" s="21">
        <f>[3]Compass!$FO$15</f>
        <v>1</v>
      </c>
      <c r="F27" s="21">
        <f>'[3]Sky West'!$FO$15</f>
        <v>200</v>
      </c>
      <c r="G27" s="21">
        <f>'[3]Go Jet'!$FO$15</f>
        <v>46</v>
      </c>
      <c r="H27" s="21">
        <f>'[3]Sun Country'!$FO$15</f>
        <v>294</v>
      </c>
      <c r="I27" s="21">
        <f>[3]Icelandair!$FO$15</f>
        <v>0</v>
      </c>
      <c r="J27" s="21">
        <f>[3]KLM!$FO$15</f>
        <v>12</v>
      </c>
      <c r="K27" s="21">
        <f>'[3]Air Georgian'!$FO$15</f>
        <v>0</v>
      </c>
      <c r="L27" s="21">
        <f>'[3]Sky Regional'!$FO$15</f>
        <v>74</v>
      </c>
      <c r="M27" s="21">
        <f>[3]Condor!$FO$15</f>
        <v>0</v>
      </c>
      <c r="N27" s="21">
        <f>'[3]Air France'!$FO$15</f>
        <v>0</v>
      </c>
      <c r="O27" s="21">
        <f>'[3]Charter Misc'!$FO$15+[3]Ryan!$FO$15+[3]Omni!$FO$15</f>
        <v>0</v>
      </c>
      <c r="P27" s="281">
        <f>SUM(B27:O27)</f>
        <v>1223</v>
      </c>
    </row>
    <row r="28" spans="1:19" x14ac:dyDescent="0.2">
      <c r="A28" s="62" t="s">
        <v>23</v>
      </c>
      <c r="B28" s="21">
        <f>[3]Delta!$FO$16</f>
        <v>536</v>
      </c>
      <c r="C28" s="21">
        <f>'[3]Atlantic Southeast'!$FO$16</f>
        <v>26</v>
      </c>
      <c r="D28" s="21">
        <f>[3]Pinnacle!$FO$16</f>
        <v>34</v>
      </c>
      <c r="E28" s="21">
        <f>[3]Compass!$FO$16</f>
        <v>0</v>
      </c>
      <c r="F28" s="21">
        <f>'[3]Sky West'!$FO$16</f>
        <v>200</v>
      </c>
      <c r="G28" s="21">
        <f>'[3]Go Jet'!$FO$16</f>
        <v>44</v>
      </c>
      <c r="H28" s="21">
        <f>'[3]Sun Country'!$FO$16</f>
        <v>293</v>
      </c>
      <c r="I28" s="21">
        <f>[3]Icelandair!$FO$16</f>
        <v>0</v>
      </c>
      <c r="J28" s="21">
        <f>[3]KLM!$FO$16</f>
        <v>12</v>
      </c>
      <c r="K28" s="21">
        <f>'[3]Air Georgian'!$FO$16</f>
        <v>0</v>
      </c>
      <c r="L28" s="21">
        <f>'[3]Sky Regional'!$FO$16</f>
        <v>74</v>
      </c>
      <c r="M28" s="21">
        <f>[3]Condor!$FO$16</f>
        <v>0</v>
      </c>
      <c r="N28" s="21">
        <f>'[3]Air France'!$FO$16</f>
        <v>0</v>
      </c>
      <c r="O28" s="21">
        <f>'[3]Charter Misc'!$FO$16+[3]Ryan!$FO$16+[3]Omni!$FO$16</f>
        <v>0</v>
      </c>
      <c r="P28" s="281">
        <f>SUM(B28:O28)</f>
        <v>1219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4">
        <f t="shared" ref="B30:K30" si="20">SUM(B27:B28)</f>
        <v>1074</v>
      </c>
      <c r="C30" s="384">
        <f t="shared" si="20"/>
        <v>48</v>
      </c>
      <c r="D30" s="384">
        <f t="shared" si="20"/>
        <v>70</v>
      </c>
      <c r="E30" s="384">
        <f t="shared" si="20"/>
        <v>1</v>
      </c>
      <c r="F30" s="384">
        <f>SUM(F27:F28)</f>
        <v>400</v>
      </c>
      <c r="G30" s="384">
        <f>SUM(G27:G28)</f>
        <v>90</v>
      </c>
      <c r="H30" s="384">
        <f t="shared" si="20"/>
        <v>587</v>
      </c>
      <c r="I30" s="384">
        <f t="shared" si="20"/>
        <v>0</v>
      </c>
      <c r="J30" s="384">
        <f t="shared" ref="J30" si="21">SUM(J27:J28)</f>
        <v>24</v>
      </c>
      <c r="K30" s="384">
        <f t="shared" si="20"/>
        <v>0</v>
      </c>
      <c r="L30" s="384">
        <f t="shared" ref="L30" si="22">SUM(L27:L28)</f>
        <v>148</v>
      </c>
      <c r="M30" s="384">
        <f>SUM(M27:M28)</f>
        <v>0</v>
      </c>
      <c r="N30" s="384">
        <f>SUM(N27:N28)</f>
        <v>0</v>
      </c>
      <c r="O30" s="384">
        <f>SUM(O27:O28)</f>
        <v>0</v>
      </c>
      <c r="P30" s="385">
        <f>SUM(B30:O30)</f>
        <v>2442</v>
      </c>
    </row>
    <row r="31" spans="1:19" ht="15" x14ac:dyDescent="0.25">
      <c r="A31" s="386"/>
    </row>
    <row r="32" spans="1:19" ht="39" thickBot="1" x14ac:dyDescent="0.25">
      <c r="B32" s="12" t="s">
        <v>18</v>
      </c>
      <c r="C32" s="504" t="s">
        <v>222</v>
      </c>
      <c r="D32" s="426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1" t="s">
        <v>148</v>
      </c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2"/>
      <c r="N33" s="562"/>
      <c r="O33" s="562"/>
      <c r="P33" s="563"/>
    </row>
    <row r="34" spans="1:16" x14ac:dyDescent="0.2">
      <c r="A34" s="62" t="s">
        <v>22</v>
      </c>
      <c r="B34" s="21">
        <f>SUM([3]Delta!$FN$15:$FO$15)</f>
        <v>1089</v>
      </c>
      <c r="C34" s="21">
        <f>SUM('[3]Atlantic Southeast'!$FN$15:$FO$15)</f>
        <v>43</v>
      </c>
      <c r="D34" s="21">
        <f>SUM([3]Pinnacle!$FN$15:$FO$15)</f>
        <v>69</v>
      </c>
      <c r="E34" s="21">
        <f>SUM([3]Compass!$FN$15:$FO$15)</f>
        <v>1</v>
      </c>
      <c r="F34" s="21">
        <f>SUM('[3]Sky West'!$FN$15:$FO$15)</f>
        <v>415</v>
      </c>
      <c r="G34" s="21">
        <f>SUM('[3]Go Jet'!$FN$15:$FO$15)</f>
        <v>98</v>
      </c>
      <c r="H34" s="21">
        <f>SUM('[3]Sun Country'!$FN$15:$FO$15)</f>
        <v>494</v>
      </c>
      <c r="I34" s="21">
        <f>SUM([3]Icelandair!$FN$15:$FO$15)</f>
        <v>5</v>
      </c>
      <c r="J34" s="21">
        <f>SUM([3]KLM!$FN$15:$FO$15)</f>
        <v>26</v>
      </c>
      <c r="K34" s="21">
        <f>SUM('[3]Air Georgian'!$FN$15:$FO$15)</f>
        <v>0</v>
      </c>
      <c r="L34" s="21">
        <f>SUM('[3]Sky Regional'!$FN$15:$FO$15)</f>
        <v>155</v>
      </c>
      <c r="M34" s="21">
        <f>SUM([3]Condor!$FN$15:$FO$15)</f>
        <v>0</v>
      </c>
      <c r="N34" s="21">
        <f>SUM('[3]Air France'!$FN$15:$FO$15)</f>
        <v>0</v>
      </c>
      <c r="O34" s="21">
        <f>SUM('[3]Charter Misc'!$FN$15:$FO$15)+SUM([3]Ryan!$FN$15:$FO$15)+SUM([3]Omni!$FN$15:$FO$15)</f>
        <v>0</v>
      </c>
      <c r="P34" s="281">
        <f>SUM(B34:O34)</f>
        <v>2395</v>
      </c>
    </row>
    <row r="35" spans="1:16" x14ac:dyDescent="0.2">
      <c r="A35" s="62" t="s">
        <v>23</v>
      </c>
      <c r="B35" s="21">
        <f>SUM([3]Delta!$FN$16:$FO$16)</f>
        <v>1097</v>
      </c>
      <c r="C35" s="21">
        <f>SUM('[3]Atlantic Southeast'!$FN$16:$FO$16)</f>
        <v>49</v>
      </c>
      <c r="D35" s="21">
        <f>SUM([3]Pinnacle!$FN$16:$FO$16)</f>
        <v>65</v>
      </c>
      <c r="E35" s="21">
        <f>SUM([3]Compass!$FN$16:$FO$16)</f>
        <v>0</v>
      </c>
      <c r="F35" s="21">
        <f>SUM('[3]Sky West'!$FN$16:$FO$16)</f>
        <v>415</v>
      </c>
      <c r="G35" s="21">
        <f>SUM('[3]Go Jet'!$FN$16:$FO$16)</f>
        <v>97</v>
      </c>
      <c r="H35" s="21">
        <f>SUM('[3]Sun Country'!$FN$16:$FO$16)</f>
        <v>491</v>
      </c>
      <c r="I35" s="21">
        <f>SUM([3]Icelandair!$FN$16:$FO$16)</f>
        <v>5</v>
      </c>
      <c r="J35" s="21">
        <f>SUM([3]KLM!$FN$16:$FO$16)</f>
        <v>26</v>
      </c>
      <c r="K35" s="21">
        <f>SUM('[3]Air Georgian'!$FN$16:$FO$16)</f>
        <v>0</v>
      </c>
      <c r="L35" s="21">
        <f>SUM('[3]Sky Regional'!$FN$16:$FO$16)</f>
        <v>155</v>
      </c>
      <c r="M35" s="21">
        <f>SUM([3]Condor!$FN$16:$FO$16)</f>
        <v>0</v>
      </c>
      <c r="N35" s="21">
        <f>SUM('[3]Air France'!$FN$16:$FO$16)</f>
        <v>0</v>
      </c>
      <c r="O35" s="21">
        <f>SUM('[3]Charter Misc'!$FN$16:$FO$16)+SUM([3]Ryan!$FN$16:$FO$16)+SUM([3]Omni!$FN$16:$FO$16)</f>
        <v>0</v>
      </c>
      <c r="P35" s="281">
        <f>SUM(B35:O35)</f>
        <v>2400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4">
        <f t="shared" ref="B37:K37" si="23">+SUM(B34:B35)</f>
        <v>2186</v>
      </c>
      <c r="C37" s="384">
        <f t="shared" si="23"/>
        <v>92</v>
      </c>
      <c r="D37" s="384">
        <f t="shared" si="23"/>
        <v>134</v>
      </c>
      <c r="E37" s="384">
        <f t="shared" si="23"/>
        <v>1</v>
      </c>
      <c r="F37" s="384">
        <f>+SUM(F34:F35)</f>
        <v>830</v>
      </c>
      <c r="G37" s="384">
        <f>+SUM(G34:G35)</f>
        <v>195</v>
      </c>
      <c r="H37" s="384">
        <f t="shared" si="23"/>
        <v>985</v>
      </c>
      <c r="I37" s="384">
        <f t="shared" si="23"/>
        <v>10</v>
      </c>
      <c r="J37" s="384">
        <f t="shared" ref="J37" si="24">+SUM(J34:J35)</f>
        <v>52</v>
      </c>
      <c r="K37" s="384">
        <f t="shared" si="23"/>
        <v>0</v>
      </c>
      <c r="L37" s="384">
        <f t="shared" ref="L37" si="25">+SUM(L34:L35)</f>
        <v>310</v>
      </c>
      <c r="M37" s="384">
        <f>+SUM(M34:M35)</f>
        <v>0</v>
      </c>
      <c r="N37" s="384">
        <f>+SUM(N34:N35)</f>
        <v>0</v>
      </c>
      <c r="O37" s="384">
        <f>+SUM(O34:O35)</f>
        <v>0</v>
      </c>
      <c r="P37" s="385">
        <f>SUM(B37:O37)</f>
        <v>4795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&amp;"Arial,Bold"February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04"/>
  <sheetViews>
    <sheetView topLeftCell="A41" zoomScaleNormal="100" zoomScaleSheetLayoutView="85" workbookViewId="0">
      <selection activeCell="O63" sqref="O63:P65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7" t="s">
        <v>135</v>
      </c>
      <c r="B1" s="568"/>
      <c r="C1" s="457" t="s">
        <v>217</v>
      </c>
      <c r="D1" s="458" t="s">
        <v>192</v>
      </c>
      <c r="E1" s="267" t="s">
        <v>98</v>
      </c>
      <c r="F1" s="266" t="s">
        <v>218</v>
      </c>
      <c r="G1" s="458" t="s">
        <v>193</v>
      </c>
      <c r="H1" s="265" t="s">
        <v>99</v>
      </c>
      <c r="I1" s="267" t="s">
        <v>140</v>
      </c>
      <c r="J1" s="573" t="s">
        <v>139</v>
      </c>
      <c r="K1" s="574"/>
      <c r="L1" s="455" t="s">
        <v>219</v>
      </c>
      <c r="M1" s="456" t="s">
        <v>194</v>
      </c>
      <c r="N1" s="343" t="s">
        <v>99</v>
      </c>
      <c r="O1" s="496" t="s">
        <v>220</v>
      </c>
      <c r="P1" s="268" t="s">
        <v>195</v>
      </c>
      <c r="Q1" s="492" t="s">
        <v>99</v>
      </c>
      <c r="R1" s="497" t="s">
        <v>221</v>
      </c>
    </row>
    <row r="2" spans="1:19" s="224" customFormat="1" ht="13.5" customHeight="1" thickBot="1" x14ac:dyDescent="0.25">
      <c r="A2" s="569">
        <v>43132</v>
      </c>
      <c r="B2" s="570"/>
      <c r="C2" s="571" t="s">
        <v>9</v>
      </c>
      <c r="D2" s="572"/>
      <c r="E2" s="572"/>
      <c r="F2" s="572"/>
      <c r="G2" s="572"/>
      <c r="H2" s="572"/>
      <c r="I2" s="459"/>
      <c r="J2" s="569">
        <f>+A2</f>
        <v>43132</v>
      </c>
      <c r="K2" s="570"/>
      <c r="L2" s="564" t="s">
        <v>141</v>
      </c>
      <c r="M2" s="565"/>
      <c r="N2" s="565"/>
      <c r="O2" s="565"/>
      <c r="P2" s="565"/>
      <c r="Q2" s="565"/>
      <c r="R2" s="566"/>
    </row>
    <row r="3" spans="1:19" x14ac:dyDescent="0.2">
      <c r="A3" s="344"/>
      <c r="B3" s="345"/>
      <c r="C3" s="346"/>
      <c r="D3" s="347"/>
      <c r="E3" s="348"/>
      <c r="F3" s="414"/>
      <c r="G3" s="415"/>
      <c r="H3" s="489"/>
      <c r="I3" s="348"/>
      <c r="J3" s="349"/>
      <c r="K3" s="345"/>
      <c r="L3" s="498"/>
      <c r="M3" s="5"/>
      <c r="N3" s="85"/>
      <c r="O3" s="344"/>
      <c r="P3" s="350"/>
      <c r="Q3" s="350"/>
      <c r="R3" s="345"/>
    </row>
    <row r="4" spans="1:19" ht="14.1" customHeight="1" x14ac:dyDescent="0.2">
      <c r="A4" s="351" t="s">
        <v>101</v>
      </c>
      <c r="B4" s="55"/>
      <c r="C4" s="352">
        <f>SUM(C5:C7)</f>
        <v>148</v>
      </c>
      <c r="D4" s="354">
        <f>SUM(D5:D7)</f>
        <v>156</v>
      </c>
      <c r="E4" s="355">
        <f>(C4-D4)/D4</f>
        <v>-5.128205128205128E-2</v>
      </c>
      <c r="F4" s="352">
        <f>SUM(F5:F7)</f>
        <v>310</v>
      </c>
      <c r="G4" s="354">
        <f>SUM(G5:G7)</f>
        <v>328</v>
      </c>
      <c r="H4" s="353">
        <f>(F4-G4)/G4</f>
        <v>-5.4878048780487805E-2</v>
      </c>
      <c r="I4" s="355">
        <f>F4/$F$65</f>
        <v>5.6494086344832609E-3</v>
      </c>
      <c r="J4" s="351" t="s">
        <v>101</v>
      </c>
      <c r="K4" s="55"/>
      <c r="L4" s="352">
        <f>SUM(L5:L7)</f>
        <v>7342</v>
      </c>
      <c r="M4" s="354">
        <f>SUM(M5:M7)</f>
        <v>5762</v>
      </c>
      <c r="N4" s="355">
        <f>(L4-M4)/M4</f>
        <v>0.27421034363068381</v>
      </c>
      <c r="O4" s="352">
        <f>SUM(O5:O7)</f>
        <v>15077</v>
      </c>
      <c r="P4" s="354">
        <f>SUM(P5:P7)</f>
        <v>12091</v>
      </c>
      <c r="Q4" s="353">
        <f>(O4-P4)/P4</f>
        <v>0.24696054916880325</v>
      </c>
      <c r="R4" s="355">
        <f>O4/$O$65</f>
        <v>2.8899750814644432E-3</v>
      </c>
      <c r="S4" s="20"/>
    </row>
    <row r="5" spans="1:19" ht="14.1" customHeight="1" x14ac:dyDescent="0.2">
      <c r="A5" s="351"/>
      <c r="B5" s="428" t="s">
        <v>101</v>
      </c>
      <c r="C5" s="356">
        <f>+[3]AirCanada!$FO$19</f>
        <v>0</v>
      </c>
      <c r="D5" s="9">
        <f>+[3]AirCanada!$FA$19</f>
        <v>0</v>
      </c>
      <c r="E5" s="86" t="e">
        <f>(C5-D5)/D5</f>
        <v>#DIV/0!</v>
      </c>
      <c r="F5" s="295">
        <f>SUM([3]AirCanada!$FN$19:$FO$19)</f>
        <v>0</v>
      </c>
      <c r="G5" s="295">
        <f>SUM([3]AirCanada!$EZ$19:$FA$19)</f>
        <v>0</v>
      </c>
      <c r="H5" s="435" t="e">
        <f>(F5-G5)/G5</f>
        <v>#DIV/0!</v>
      </c>
      <c r="I5" s="86">
        <f>F5/$F$65</f>
        <v>0</v>
      </c>
      <c r="J5" s="351"/>
      <c r="K5" s="428" t="s">
        <v>101</v>
      </c>
      <c r="L5" s="434">
        <f>+[3]AirCanada!$FO$41</f>
        <v>0</v>
      </c>
      <c r="M5" s="295">
        <f>+[3]AirCanada!$FA$41</f>
        <v>0</v>
      </c>
      <c r="N5" s="436" t="e">
        <f>(L5-M5)/M5</f>
        <v>#DIV/0!</v>
      </c>
      <c r="O5" s="434">
        <f>SUM([3]AirCanada!$FN$41:$FO$41)</f>
        <v>0</v>
      </c>
      <c r="P5" s="295">
        <f>SUM([3]AirCanada!$EZ$41:$FA$41)</f>
        <v>0</v>
      </c>
      <c r="Q5" s="435" t="e">
        <f>(O5-P5)/P5</f>
        <v>#DIV/0!</v>
      </c>
      <c r="R5" s="436">
        <f>O5/$O$65</f>
        <v>0</v>
      </c>
      <c r="S5" s="20"/>
    </row>
    <row r="6" spans="1:19" ht="14.1" customHeight="1" x14ac:dyDescent="0.2">
      <c r="A6" s="351"/>
      <c r="B6" s="428" t="s">
        <v>172</v>
      </c>
      <c r="C6" s="356">
        <f>'[3]Air Georgian'!$FO$19</f>
        <v>0</v>
      </c>
      <c r="D6" s="9">
        <f>'[3]Air Georgian'!$FA$19</f>
        <v>156</v>
      </c>
      <c r="E6" s="86">
        <f>(C6-D6)/D6</f>
        <v>-1</v>
      </c>
      <c r="F6" s="295">
        <f>SUM('[3]Air Georgian'!$FN$19:$FO$19)</f>
        <v>0</v>
      </c>
      <c r="G6" s="295">
        <f>SUM('[3]Air Georgian'!$EZ$19:$FA$19)</f>
        <v>328</v>
      </c>
      <c r="H6" s="435">
        <f>(F6-G6)/G6</f>
        <v>-1</v>
      </c>
      <c r="I6" s="86">
        <f>F6/$F$65</f>
        <v>0</v>
      </c>
      <c r="J6" s="351"/>
      <c r="K6" s="428" t="s">
        <v>172</v>
      </c>
      <c r="L6" s="356">
        <f>'[3]Air Georgian'!$FO$41</f>
        <v>0</v>
      </c>
      <c r="M6" s="9">
        <f>'[3]Air Georgian'!$FA$41</f>
        <v>5762</v>
      </c>
      <c r="N6" s="86">
        <f>(L6-M6)/M6</f>
        <v>-1</v>
      </c>
      <c r="O6" s="356">
        <f>SUM('[3]Air Georgian'!$FN$41:$FO$41)</f>
        <v>0</v>
      </c>
      <c r="P6" s="9">
        <f>SUM('[3]Air Georgian'!$EZ$41:$FA$41)</f>
        <v>12091</v>
      </c>
      <c r="Q6" s="39">
        <f>(O6-P6)/P6</f>
        <v>-1</v>
      </c>
      <c r="R6" s="86">
        <f>O6/$O$65</f>
        <v>0</v>
      </c>
      <c r="S6" s="20"/>
    </row>
    <row r="7" spans="1:19" ht="14.1" customHeight="1" x14ac:dyDescent="0.2">
      <c r="A7" s="351"/>
      <c r="B7" s="428" t="s">
        <v>214</v>
      </c>
      <c r="C7" s="356">
        <f>'[3]Sky Regional'!$FO$19</f>
        <v>148</v>
      </c>
      <c r="D7" s="9">
        <f>'[3]Sky Regional'!$FA$19</f>
        <v>0</v>
      </c>
      <c r="E7" s="86" t="e">
        <f>(C7-D7)/D7</f>
        <v>#DIV/0!</v>
      </c>
      <c r="F7" s="295">
        <f>SUM('[3]Sky Regional'!$FN$19:$FO$19)</f>
        <v>310</v>
      </c>
      <c r="G7" s="295">
        <f>SUM('[3]Sky Regional'!$EZ$19:$FA$19)</f>
        <v>0</v>
      </c>
      <c r="H7" s="435" t="e">
        <f>(F7-G7)/G7</f>
        <v>#DIV/0!</v>
      </c>
      <c r="I7" s="86">
        <f>F7/$F$65</f>
        <v>5.6494086344832609E-3</v>
      </c>
      <c r="J7" s="351"/>
      <c r="K7" s="428" t="s">
        <v>214</v>
      </c>
      <c r="L7" s="356">
        <f>'[3]Sky Regional'!$FO$41</f>
        <v>7342</v>
      </c>
      <c r="M7" s="9">
        <f>'[3]Sky Regional'!$FA$41</f>
        <v>0</v>
      </c>
      <c r="N7" s="86" t="e">
        <f>(L7-M7)/M7</f>
        <v>#DIV/0!</v>
      </c>
      <c r="O7" s="356">
        <f>SUM('[3]Sky Regional'!$FN$41:$FO$41)</f>
        <v>15077</v>
      </c>
      <c r="P7" s="9">
        <f>SUM('[3]Sky Regional'!$EZ$41:$FA$41)</f>
        <v>0</v>
      </c>
      <c r="Q7" s="39" t="e">
        <f>(O7-P7)/P7</f>
        <v>#DIV/0!</v>
      </c>
      <c r="R7" s="86">
        <f>O7/$O$65</f>
        <v>2.8899750814644432E-3</v>
      </c>
      <c r="S7" s="20"/>
    </row>
    <row r="8" spans="1:19" ht="14.1" customHeight="1" x14ac:dyDescent="0.2">
      <c r="A8" s="351"/>
      <c r="B8" s="55"/>
      <c r="C8" s="352"/>
      <c r="D8" s="354"/>
      <c r="E8" s="355"/>
      <c r="F8" s="354"/>
      <c r="G8" s="354"/>
      <c r="H8" s="353"/>
      <c r="I8" s="355"/>
      <c r="J8" s="351"/>
      <c r="K8" s="55"/>
      <c r="L8" s="356"/>
      <c r="M8" s="9"/>
      <c r="N8" s="86"/>
      <c r="O8" s="356"/>
      <c r="P8" s="9"/>
      <c r="Q8" s="39"/>
      <c r="R8" s="86"/>
      <c r="S8" s="20"/>
    </row>
    <row r="9" spans="1:19" ht="14.1" customHeight="1" x14ac:dyDescent="0.2">
      <c r="A9" s="351" t="s">
        <v>196</v>
      </c>
      <c r="B9" s="55"/>
      <c r="C9" s="352">
        <f>'[3]Air Choice One'!$FO$19</f>
        <v>210</v>
      </c>
      <c r="D9" s="354">
        <f>'[3]Air Choice One'!$FA$19</f>
        <v>232</v>
      </c>
      <c r="E9" s="355">
        <f>(C9-D9)/D9</f>
        <v>-9.4827586206896547E-2</v>
      </c>
      <c r="F9" s="354">
        <f>SUM('[3]Air Choice One'!$FN$19:$FO$19)</f>
        <v>458</v>
      </c>
      <c r="G9" s="354">
        <f>SUM('[3]Air Choice One'!$EZ$19:$FA$19)</f>
        <v>464</v>
      </c>
      <c r="H9" s="353">
        <f>(F9-G9)/G9</f>
        <v>-1.2931034482758621E-2</v>
      </c>
      <c r="I9" s="355">
        <f>F9/$F$65</f>
        <v>8.3465456599784958E-3</v>
      </c>
      <c r="J9" s="351" t="s">
        <v>196</v>
      </c>
      <c r="K9" s="55"/>
      <c r="L9" s="352">
        <f>'[3]Air Choice One'!$FO$41</f>
        <v>755</v>
      </c>
      <c r="M9" s="354">
        <f>'[3]Air Choice One'!$FA$41</f>
        <v>811</v>
      </c>
      <c r="N9" s="355">
        <f>(L9-M9)/M9</f>
        <v>-6.9050554870530204E-2</v>
      </c>
      <c r="O9" s="352">
        <f>SUM('[3]Air Choice One'!$FN$41:$FO$41)</f>
        <v>1715</v>
      </c>
      <c r="P9" s="354">
        <f>SUM('[3]Air Choice One'!$EZ$41:$FA$41)</f>
        <v>1474</v>
      </c>
      <c r="Q9" s="353">
        <f>(O9-P9)/P9</f>
        <v>0.16350067842605157</v>
      </c>
      <c r="R9" s="355">
        <f>O9/$O$65</f>
        <v>3.2873298830745642E-4</v>
      </c>
      <c r="S9" s="20"/>
    </row>
    <row r="10" spans="1:19" ht="14.1" customHeight="1" x14ac:dyDescent="0.2">
      <c r="A10" s="351"/>
      <c r="B10" s="55"/>
      <c r="C10" s="352"/>
      <c r="D10" s="354"/>
      <c r="E10" s="355"/>
      <c r="F10" s="354"/>
      <c r="G10" s="354"/>
      <c r="H10" s="353"/>
      <c r="I10" s="355"/>
      <c r="J10" s="351"/>
      <c r="K10" s="55"/>
      <c r="L10" s="356"/>
      <c r="M10" s="9"/>
      <c r="N10" s="86"/>
      <c r="O10" s="356"/>
      <c r="P10" s="9"/>
      <c r="Q10" s="39"/>
      <c r="R10" s="86"/>
      <c r="S10" s="20"/>
    </row>
    <row r="11" spans="1:19" ht="14.1" customHeight="1" x14ac:dyDescent="0.2">
      <c r="A11" s="351" t="s">
        <v>162</v>
      </c>
      <c r="B11" s="55"/>
      <c r="C11" s="352">
        <f>'[3]Air France'!$FO$19</f>
        <v>0</v>
      </c>
      <c r="D11" s="354">
        <f>'[3]Air France'!$FA$19</f>
        <v>0</v>
      </c>
      <c r="E11" s="355" t="e">
        <f>(C11-D11)/D11</f>
        <v>#DIV/0!</v>
      </c>
      <c r="F11" s="354">
        <f>SUM('[3]Air France'!$FN$19:$FO$19)</f>
        <v>0</v>
      </c>
      <c r="G11" s="354">
        <f>SUM('[3]Air France'!$EZ$19:$FA$19)</f>
        <v>0</v>
      </c>
      <c r="H11" s="353" t="e">
        <f>(F11-G11)/G11</f>
        <v>#DIV/0!</v>
      </c>
      <c r="I11" s="355">
        <f>F11/$F$65</f>
        <v>0</v>
      </c>
      <c r="J11" s="351" t="s">
        <v>162</v>
      </c>
      <c r="K11" s="55"/>
      <c r="L11" s="352">
        <f>'[3]Air France'!$FO$41</f>
        <v>0</v>
      </c>
      <c r="M11" s="354">
        <f>'[3]Air France'!$FA$41</f>
        <v>0</v>
      </c>
      <c r="N11" s="355" t="e">
        <f>(L11-M11)/M11</f>
        <v>#DIV/0!</v>
      </c>
      <c r="O11" s="352">
        <f>SUM('[3]Air France'!$FN$41:$FO$41)</f>
        <v>0</v>
      </c>
      <c r="P11" s="354">
        <f>SUM('[3]Air France'!$EZ$41:$FA$41)</f>
        <v>0</v>
      </c>
      <c r="Q11" s="353" t="e">
        <f>(O11-P11)/P11</f>
        <v>#DIV/0!</v>
      </c>
      <c r="R11" s="355">
        <f>O11/$O$65</f>
        <v>0</v>
      </c>
      <c r="S11" s="20"/>
    </row>
    <row r="12" spans="1:19" ht="14.1" customHeight="1" x14ac:dyDescent="0.2">
      <c r="A12" s="351"/>
      <c r="B12" s="55"/>
      <c r="C12" s="352"/>
      <c r="D12" s="354"/>
      <c r="E12" s="355"/>
      <c r="F12" s="354"/>
      <c r="G12" s="354"/>
      <c r="H12" s="353"/>
      <c r="I12" s="355"/>
      <c r="J12" s="351"/>
      <c r="K12" s="55"/>
      <c r="L12" s="356"/>
      <c r="M12" s="9"/>
      <c r="N12" s="86"/>
      <c r="O12" s="356"/>
      <c r="P12" s="9"/>
      <c r="Q12" s="39"/>
      <c r="R12" s="86"/>
      <c r="S12" s="20"/>
    </row>
    <row r="13" spans="1:19" ht="14.1" customHeight="1" x14ac:dyDescent="0.2">
      <c r="A13" s="351" t="s">
        <v>131</v>
      </c>
      <c r="B13" s="55"/>
      <c r="C13" s="352">
        <f>SUM(C14:C16)</f>
        <v>278</v>
      </c>
      <c r="D13" s="354">
        <f>SUM(D14:D16)</f>
        <v>118</v>
      </c>
      <c r="E13" s="355">
        <f>(C13-D13)/D13</f>
        <v>1.3559322033898304</v>
      </c>
      <c r="F13" s="354">
        <f>SUM(F14:F16)</f>
        <v>583</v>
      </c>
      <c r="G13" s="354">
        <f>SUM(G14:G16)</f>
        <v>289</v>
      </c>
      <c r="H13" s="353">
        <f>(F13-G13)/G13</f>
        <v>1.0173010380622838</v>
      </c>
      <c r="I13" s="355">
        <f>F13/$F$65</f>
        <v>1.0624533012592714E-2</v>
      </c>
      <c r="J13" s="351" t="s">
        <v>131</v>
      </c>
      <c r="K13" s="55"/>
      <c r="L13" s="352">
        <f>SUM(L14:L16)</f>
        <v>26156</v>
      </c>
      <c r="M13" s="354">
        <f>SUM(M14:M16)</f>
        <v>11927</v>
      </c>
      <c r="N13" s="355">
        <f>(L13-M13)/M13</f>
        <v>1.1930074620608704</v>
      </c>
      <c r="O13" s="352">
        <f>SUM(O14:O16)</f>
        <v>52737</v>
      </c>
      <c r="P13" s="354">
        <f>SUM(P14:P16)</f>
        <v>30622</v>
      </c>
      <c r="Q13" s="353">
        <f>(O13-P13)/P13</f>
        <v>0.72219319443537322</v>
      </c>
      <c r="R13" s="355">
        <f>O13/$O$65</f>
        <v>1.0108683151236343E-2</v>
      </c>
      <c r="S13" s="20"/>
    </row>
    <row r="14" spans="1:19" ht="14.1" customHeight="1" x14ac:dyDescent="0.2">
      <c r="A14" s="351"/>
      <c r="B14" s="428" t="s">
        <v>131</v>
      </c>
      <c r="C14" s="434">
        <f>[3]Alaska!$FO$19</f>
        <v>114</v>
      </c>
      <c r="D14" s="295">
        <f>[3]Alaska!$FA$19</f>
        <v>62</v>
      </c>
      <c r="E14" s="436">
        <f>(C14-D14)/D14</f>
        <v>0.83870967741935487</v>
      </c>
      <c r="F14" s="295">
        <f>SUM([3]Alaska!$FN$19:$FO$19)</f>
        <v>234</v>
      </c>
      <c r="G14" s="295">
        <f>SUM([3]Alaska!$EZ$19:$FA$19)</f>
        <v>176</v>
      </c>
      <c r="H14" s="435">
        <f>(F14-G14)/G14</f>
        <v>0.32954545454545453</v>
      </c>
      <c r="I14" s="436">
        <f>F14/$F$65</f>
        <v>4.2643923240938165E-3</v>
      </c>
      <c r="J14" s="351"/>
      <c r="K14" s="428" t="s">
        <v>131</v>
      </c>
      <c r="L14" s="434">
        <f>[3]Alaska!$FO$41</f>
        <v>15209</v>
      </c>
      <c r="M14" s="295">
        <f>[3]Alaska!$FA$41</f>
        <v>8520</v>
      </c>
      <c r="N14" s="436">
        <f>(L14-M14)/M14</f>
        <v>0.78509389671361507</v>
      </c>
      <c r="O14" s="434">
        <f>SUM([3]Alaska!$FN$41:$FO$41)</f>
        <v>31024</v>
      </c>
      <c r="P14" s="295">
        <f>SUM([3]Alaska!$EZ$41:$FA$41)</f>
        <v>23705</v>
      </c>
      <c r="Q14" s="435">
        <f>(O14-P14)/P14</f>
        <v>0.30875342754693103</v>
      </c>
      <c r="R14" s="436">
        <f>O14/$O$65</f>
        <v>5.9467126701169253E-3</v>
      </c>
      <c r="S14" s="20"/>
    </row>
    <row r="15" spans="1:19" ht="14.1" customHeight="1" x14ac:dyDescent="0.2">
      <c r="A15" s="351"/>
      <c r="B15" s="428" t="s">
        <v>100</v>
      </c>
      <c r="C15" s="356">
        <f>'[3]Sky West_AS'!$FO$19</f>
        <v>86</v>
      </c>
      <c r="D15" s="9">
        <f>'[3]Sky West_AS'!$FA$19</f>
        <v>56</v>
      </c>
      <c r="E15" s="86">
        <f>(C15-D15)/D15</f>
        <v>0.5357142857142857</v>
      </c>
      <c r="F15" s="9">
        <f>SUM('[3]Sky West_AS'!$FN$19:$FO$19)</f>
        <v>206</v>
      </c>
      <c r="G15" s="9">
        <f>SUM('[3]Sky West_AS'!$EZ$19:$FA$19)</f>
        <v>113</v>
      </c>
      <c r="H15" s="39">
        <f>(F15-G15)/G15</f>
        <v>0.82300884955752207</v>
      </c>
      <c r="I15" s="86">
        <f>F15/$F$65</f>
        <v>3.7541231571082316E-3</v>
      </c>
      <c r="J15" s="351"/>
      <c r="K15" s="428" t="s">
        <v>100</v>
      </c>
      <c r="L15" s="356">
        <f>'[3]Sky West_AS'!$FO$41</f>
        <v>5696</v>
      </c>
      <c r="M15" s="9">
        <f>'[3]Sky West_AS'!$FA$41</f>
        <v>3407</v>
      </c>
      <c r="N15" s="86">
        <f>(L15-M15)/M15</f>
        <v>0.67185206926915175</v>
      </c>
      <c r="O15" s="356">
        <f>SUM('[3]Sky West_AS'!$FN$41:$FO$41)</f>
        <v>12822</v>
      </c>
      <c r="P15" s="9">
        <f>SUM('[3]Sky West_AS'!$EZ$41:$FA$41)</f>
        <v>6917</v>
      </c>
      <c r="Q15" s="39">
        <f>(O15-P15)/P15</f>
        <v>0.85369379788925837</v>
      </c>
      <c r="R15" s="436">
        <f>O15/$O$65</f>
        <v>2.4577343300747558E-3</v>
      </c>
      <c r="S15" s="20"/>
    </row>
    <row r="16" spans="1:19" ht="14.1" customHeight="1" x14ac:dyDescent="0.2">
      <c r="A16" s="351"/>
      <c r="B16" s="428" t="s">
        <v>215</v>
      </c>
      <c r="C16" s="356">
        <f>[3]Horizon_AS!$FO$19</f>
        <v>78</v>
      </c>
      <c r="D16" s="9">
        <f>[3]Horizon_AS!$FA$19</f>
        <v>0</v>
      </c>
      <c r="E16" s="86" t="e">
        <f>(C16-D16)/D16</f>
        <v>#DIV/0!</v>
      </c>
      <c r="F16" s="9">
        <f>SUM([3]Horizon_AS!$FN$19:$FO$19)</f>
        <v>143</v>
      </c>
      <c r="G16" s="9">
        <f>SUM([3]Horizon_AS!$EZ$19:$FA$19)</f>
        <v>0</v>
      </c>
      <c r="H16" s="39" t="e">
        <f>(F16-G16)/G16</f>
        <v>#DIV/0!</v>
      </c>
      <c r="I16" s="86">
        <f>F16/$F$65</f>
        <v>2.6060175313906658E-3</v>
      </c>
      <c r="J16" s="351"/>
      <c r="K16" s="428" t="s">
        <v>215</v>
      </c>
      <c r="L16" s="356">
        <f>[3]Horizon_AS!$FO$41</f>
        <v>5251</v>
      </c>
      <c r="M16" s="9">
        <f>[3]Horizon_AS!$FA$41</f>
        <v>0</v>
      </c>
      <c r="N16" s="86" t="e">
        <f>(L16-M16)/M16</f>
        <v>#DIV/0!</v>
      </c>
      <c r="O16" s="356">
        <f>SUM([3]Horizon_AS!$FN$41:$FO$41)</f>
        <v>8891</v>
      </c>
      <c r="P16" s="9">
        <f>SUM([3]Horizon_AS!$EZ$41:$FA$41)</f>
        <v>0</v>
      </c>
      <c r="Q16" s="39" t="e">
        <f>(O16-P16)/P16</f>
        <v>#DIV/0!</v>
      </c>
      <c r="R16" s="436">
        <f>O16/$O$65</f>
        <v>1.7042361510446616E-3</v>
      </c>
      <c r="S16" s="20"/>
    </row>
    <row r="17" spans="1:22" ht="14.1" customHeight="1" x14ac:dyDescent="0.2">
      <c r="A17" s="351"/>
      <c r="B17" s="55"/>
      <c r="C17" s="352"/>
      <c r="D17" s="357"/>
      <c r="E17" s="355"/>
      <c r="F17" s="357"/>
      <c r="G17" s="357"/>
      <c r="H17" s="353"/>
      <c r="I17" s="355"/>
      <c r="J17" s="351"/>
      <c r="K17" s="55"/>
      <c r="L17" s="358"/>
      <c r="M17" s="146"/>
      <c r="N17" s="86"/>
      <c r="O17" s="358"/>
      <c r="P17" s="146"/>
      <c r="Q17" s="39"/>
      <c r="R17" s="86"/>
      <c r="S17" s="20"/>
    </row>
    <row r="18" spans="1:22" ht="14.1" customHeight="1" x14ac:dyDescent="0.2">
      <c r="A18" s="351" t="s">
        <v>17</v>
      </c>
      <c r="B18" s="364"/>
      <c r="C18" s="352">
        <f>SUM(C19:C25)</f>
        <v>1604</v>
      </c>
      <c r="D18" s="354">
        <f>SUM(D19:D25)</f>
        <v>1695</v>
      </c>
      <c r="E18" s="355">
        <f t="shared" ref="E18:E25" si="0">(C18-D18)/D18</f>
        <v>-5.3687315634218288E-2</v>
      </c>
      <c r="F18" s="352">
        <f>SUM(F19:F25)</f>
        <v>3227</v>
      </c>
      <c r="G18" s="354">
        <f>SUM(G19:G25)</f>
        <v>3506</v>
      </c>
      <c r="H18" s="353">
        <f t="shared" ref="H18:H25" si="1">(F18-G18)/G18</f>
        <v>-7.9577866514546486E-2</v>
      </c>
      <c r="I18" s="355">
        <f t="shared" ref="I18:I25" si="2">F18/$F$65</f>
        <v>5.880852149508866E-2</v>
      </c>
      <c r="J18" s="351" t="s">
        <v>17</v>
      </c>
      <c r="K18" s="359"/>
      <c r="L18" s="352">
        <f>SUM(L19:L25)</f>
        <v>162571</v>
      </c>
      <c r="M18" s="354">
        <f>SUM(M19:M25)</f>
        <v>173917</v>
      </c>
      <c r="N18" s="355">
        <f t="shared" ref="N18:N25" si="3">(L18-M18)/M18</f>
        <v>-6.5238015835139745E-2</v>
      </c>
      <c r="O18" s="352">
        <f>SUM(O19:O25)</f>
        <v>325163</v>
      </c>
      <c r="P18" s="354">
        <f>SUM(P19:P25)</f>
        <v>345202</v>
      </c>
      <c r="Q18" s="353">
        <f t="shared" ref="Q18:Q25" si="4">(O18-P18)/P18</f>
        <v>-5.8050069234824829E-2</v>
      </c>
      <c r="R18" s="355">
        <f t="shared" ref="R18:R25" si="5">O18/$O$65</f>
        <v>6.2327582902050989E-2</v>
      </c>
      <c r="S18" s="20"/>
    </row>
    <row r="19" spans="1:22" ht="14.1" customHeight="1" x14ac:dyDescent="0.2">
      <c r="A19" s="53"/>
      <c r="B19" s="361" t="s">
        <v>17</v>
      </c>
      <c r="C19" s="356">
        <f>[3]American!$FO$19</f>
        <v>1079</v>
      </c>
      <c r="D19" s="9">
        <f>[3]American!$FA$19</f>
        <v>1390</v>
      </c>
      <c r="E19" s="86">
        <f t="shared" si="0"/>
        <v>-0.22374100719424461</v>
      </c>
      <c r="F19" s="9">
        <f>SUM([3]American!$FN$19:$FO$19)</f>
        <v>2219</v>
      </c>
      <c r="G19" s="9">
        <f>SUM([3]American!$EZ$19:$FA$19)</f>
        <v>2875</v>
      </c>
      <c r="H19" s="39">
        <f t="shared" si="1"/>
        <v>-0.22817391304347825</v>
      </c>
      <c r="I19" s="86">
        <f t="shared" si="2"/>
        <v>4.04388314836076E-2</v>
      </c>
      <c r="J19" s="53"/>
      <c r="K19" s="360" t="s">
        <v>17</v>
      </c>
      <c r="L19" s="356">
        <f>[3]American!$FO$41</f>
        <v>135003</v>
      </c>
      <c r="M19" s="9">
        <f>[3]American!$FA$41</f>
        <v>160767</v>
      </c>
      <c r="N19" s="86">
        <f t="shared" si="3"/>
        <v>-0.16025676911306425</v>
      </c>
      <c r="O19" s="356">
        <f>SUM([3]American!$FN$41:$FO$41)</f>
        <v>272964</v>
      </c>
      <c r="P19" s="9">
        <f>SUM([3]American!$EZ$41:$FA$41)</f>
        <v>320239</v>
      </c>
      <c r="Q19" s="39">
        <f t="shared" si="4"/>
        <v>-0.14762411823669197</v>
      </c>
      <c r="R19" s="86">
        <f t="shared" si="5"/>
        <v>5.2322024151811385E-2</v>
      </c>
      <c r="S19" s="20"/>
    </row>
    <row r="20" spans="1:22" ht="14.1" customHeight="1" x14ac:dyDescent="0.2">
      <c r="A20" s="53"/>
      <c r="B20" s="429" t="s">
        <v>173</v>
      </c>
      <c r="C20" s="356">
        <f>'[3]American Eagle'!$FO$19</f>
        <v>38</v>
      </c>
      <c r="D20" s="9">
        <f>'[3]American Eagle'!$FA$19</f>
        <v>17</v>
      </c>
      <c r="E20" s="86">
        <f t="shared" si="0"/>
        <v>1.2352941176470589</v>
      </c>
      <c r="F20" s="9">
        <f>SUM('[3]American Eagle'!$FN$19:$FO$19)</f>
        <v>50</v>
      </c>
      <c r="G20" s="9">
        <f>SUM('[3]American Eagle'!$EZ$19:$FA$19)</f>
        <v>39</v>
      </c>
      <c r="H20" s="39">
        <f t="shared" si="1"/>
        <v>0.28205128205128205</v>
      </c>
      <c r="I20" s="86">
        <f t="shared" si="2"/>
        <v>9.1119494104568727E-4</v>
      </c>
      <c r="J20" s="53"/>
      <c r="K20" s="427" t="s">
        <v>173</v>
      </c>
      <c r="L20" s="356">
        <f>'[3]American Eagle'!$FO$41</f>
        <v>2182</v>
      </c>
      <c r="M20" s="9">
        <f>'[3]American Eagle'!$FA$41</f>
        <v>897</v>
      </c>
      <c r="N20" s="86">
        <f t="shared" si="3"/>
        <v>1.4325529542920847</v>
      </c>
      <c r="O20" s="356">
        <f>SUM('[3]American Eagle'!$FN$41:$FO$41)</f>
        <v>2904</v>
      </c>
      <c r="P20" s="9">
        <f>SUM('[3]American Eagle'!$EZ$41:$FA$41)</f>
        <v>1818</v>
      </c>
      <c r="Q20" s="39">
        <f t="shared" si="4"/>
        <v>0.59735973597359737</v>
      </c>
      <c r="R20" s="86">
        <f t="shared" si="5"/>
        <v>5.5664174813110988E-4</v>
      </c>
      <c r="S20" s="20"/>
    </row>
    <row r="21" spans="1:22" ht="14.1" customHeight="1" x14ac:dyDescent="0.2">
      <c r="A21" s="53"/>
      <c r="B21" s="429" t="s">
        <v>52</v>
      </c>
      <c r="C21" s="356">
        <f>[3]Republic!$FO$19</f>
        <v>379</v>
      </c>
      <c r="D21" s="9">
        <f>[3]Republic!$FA$19</f>
        <v>242</v>
      </c>
      <c r="E21" s="86">
        <f t="shared" si="0"/>
        <v>0.56611570247933884</v>
      </c>
      <c r="F21" s="9">
        <f>SUM([3]Republic!$FN$19:$FO$19)</f>
        <v>756</v>
      </c>
      <c r="G21" s="9">
        <f>SUM([3]Republic!$EZ$19:$FA$19)</f>
        <v>512</v>
      </c>
      <c r="H21" s="39">
        <f t="shared" si="1"/>
        <v>0.4765625</v>
      </c>
      <c r="I21" s="86">
        <f t="shared" si="2"/>
        <v>1.3777267508610792E-2</v>
      </c>
      <c r="J21" s="366"/>
      <c r="K21" s="362" t="s">
        <v>52</v>
      </c>
      <c r="L21" s="356">
        <f>[3]Republic!$FO$41</f>
        <v>19784</v>
      </c>
      <c r="M21" s="9">
        <f>[3]Republic!$FA$41</f>
        <v>10413</v>
      </c>
      <c r="N21" s="86">
        <f t="shared" si="3"/>
        <v>0.89993277633727076</v>
      </c>
      <c r="O21" s="356">
        <f>SUM([3]Republic!$FN$41:$FO$41)</f>
        <v>39328</v>
      </c>
      <c r="P21" s="9">
        <f>SUM([3]Republic!$EZ$41:$FA$41)</f>
        <v>19991</v>
      </c>
      <c r="Q21" s="39">
        <f t="shared" si="4"/>
        <v>0.9672852783752689</v>
      </c>
      <c r="R21" s="86">
        <f t="shared" si="5"/>
        <v>7.538432049070347E-3</v>
      </c>
      <c r="S21" s="20"/>
    </row>
    <row r="22" spans="1:22" ht="14.1" customHeight="1" x14ac:dyDescent="0.2">
      <c r="A22" s="53"/>
      <c r="B22" s="429" t="s">
        <v>200</v>
      </c>
      <c r="C22" s="356">
        <f>[3]PSA!$FO$19</f>
        <v>60</v>
      </c>
      <c r="D22" s="9">
        <f>[3]PSA!$FA$19</f>
        <v>40</v>
      </c>
      <c r="E22" s="86">
        <f t="shared" si="0"/>
        <v>0.5</v>
      </c>
      <c r="F22" s="9">
        <f>SUM([3]PSA!$FN$19:$FO$19)</f>
        <v>110</v>
      </c>
      <c r="G22" s="9">
        <f>SUM([3]PSA!$EZ$19:$FA$19)</f>
        <v>74</v>
      </c>
      <c r="H22" s="39">
        <f t="shared" si="1"/>
        <v>0.48648648648648651</v>
      </c>
      <c r="I22" s="86">
        <f t="shared" si="2"/>
        <v>2.0046288703005123E-3</v>
      </c>
      <c r="J22" s="366"/>
      <c r="K22" s="429" t="s">
        <v>200</v>
      </c>
      <c r="L22" s="356">
        <f>[3]PSA!$FO$41</f>
        <v>2492</v>
      </c>
      <c r="M22" s="9">
        <f>[3]PSA!$FA$41</f>
        <v>1518</v>
      </c>
      <c r="N22" s="86">
        <f t="shared" si="3"/>
        <v>0.64163372859025036</v>
      </c>
      <c r="O22" s="356">
        <f>SUM([3]PSA!$FN$41:$FO$41)</f>
        <v>4223</v>
      </c>
      <c r="P22" s="9">
        <f>SUM([3]PSA!$EZ$41:$FA$41)</f>
        <v>2832</v>
      </c>
      <c r="Q22" s="39">
        <f t="shared" si="4"/>
        <v>0.4911723163841808</v>
      </c>
      <c r="R22" s="86">
        <f t="shared" si="5"/>
        <v>8.0946904351159672E-4</v>
      </c>
      <c r="S22" s="20"/>
    </row>
    <row r="23" spans="1:22" ht="14.1" customHeight="1" x14ac:dyDescent="0.2">
      <c r="A23" s="53"/>
      <c r="B23" s="428" t="s">
        <v>100</v>
      </c>
      <c r="C23" s="356">
        <f>'[3]Sky West_AA'!$FO$19</f>
        <v>48</v>
      </c>
      <c r="D23" s="9">
        <f>'[3]Sky West_AA'!$FA$19</f>
        <v>4</v>
      </c>
      <c r="E23" s="86">
        <f>(C23-D23)/D23</f>
        <v>11</v>
      </c>
      <c r="F23" s="9">
        <f>SUM('[3]Sky West_AA'!$FN$19:$FO$19)</f>
        <v>92</v>
      </c>
      <c r="G23" s="9">
        <f>SUM('[3]Sky West_AA'!$EZ$19:$FA$19)</f>
        <v>4</v>
      </c>
      <c r="H23" s="39">
        <f>(F23-G23)/G23</f>
        <v>22</v>
      </c>
      <c r="I23" s="86">
        <f t="shared" si="2"/>
        <v>1.6765986915240646E-3</v>
      </c>
      <c r="J23" s="366"/>
      <c r="K23" s="428" t="s">
        <v>100</v>
      </c>
      <c r="L23" s="356">
        <f>'[3]Sky West_AA'!$FO$41</f>
        <v>3110</v>
      </c>
      <c r="M23" s="9">
        <f>'[3]Sky West_AA'!$FA$41</f>
        <v>232</v>
      </c>
      <c r="N23" s="86">
        <f>(L23-M23)/M23</f>
        <v>12.405172413793103</v>
      </c>
      <c r="O23" s="356">
        <f>SUM('[3]Sky West_AA'!$FN$41:$FO$41)</f>
        <v>5744</v>
      </c>
      <c r="P23" s="9">
        <f>SUM('[3]Sky West_AA'!$EZ$41:$FA$41)</f>
        <v>232</v>
      </c>
      <c r="Q23" s="39">
        <f>(O23-P23)/P23</f>
        <v>23.758620689655171</v>
      </c>
      <c r="R23" s="436">
        <f t="shared" si="5"/>
        <v>1.1010159095265477E-3</v>
      </c>
      <c r="S23" s="20"/>
    </row>
    <row r="24" spans="1:22" ht="14.1" customHeight="1" x14ac:dyDescent="0.2">
      <c r="A24" s="53"/>
      <c r="B24" s="429" t="s">
        <v>51</v>
      </c>
      <c r="C24" s="356">
        <f>[3]MESA!$FO$19</f>
        <v>0</v>
      </c>
      <c r="D24" s="9">
        <f>[3]MESA!$FA$19</f>
        <v>0</v>
      </c>
      <c r="E24" s="86" t="e">
        <f t="shared" si="0"/>
        <v>#DIV/0!</v>
      </c>
      <c r="F24" s="9">
        <f>SUM([3]MESA!$FN$19:$FO$19)</f>
        <v>0</v>
      </c>
      <c r="G24" s="9">
        <f>SUM([3]MESA!$EZ$19:$FA$19)</f>
        <v>0</v>
      </c>
      <c r="H24" s="39" t="e">
        <f t="shared" si="1"/>
        <v>#DIV/0!</v>
      </c>
      <c r="I24" s="86">
        <f t="shared" si="2"/>
        <v>0</v>
      </c>
      <c r="J24" s="366"/>
      <c r="K24" s="427" t="s">
        <v>51</v>
      </c>
      <c r="L24" s="356">
        <f>[3]MESA!$FO$41</f>
        <v>0</v>
      </c>
      <c r="M24" s="9">
        <f>[3]MESA!$FA$41</f>
        <v>0</v>
      </c>
      <c r="N24" s="86" t="e">
        <f t="shared" si="3"/>
        <v>#DIV/0!</v>
      </c>
      <c r="O24" s="356">
        <f>SUM([3]MESA!$FN$41:$FO$41)</f>
        <v>0</v>
      </c>
      <c r="P24" s="9">
        <f>SUM([3]MESA!$EZ$41:$FA$41)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9" t="s">
        <v>50</v>
      </c>
      <c r="C25" s="356">
        <f>'[3]Air Wisconsin'!$FO$19</f>
        <v>0</v>
      </c>
      <c r="D25" s="9">
        <f>'[3]Air Wisconsin'!$FA$19</f>
        <v>2</v>
      </c>
      <c r="E25" s="86">
        <f t="shared" si="0"/>
        <v>-1</v>
      </c>
      <c r="F25" s="9">
        <f>SUM('[3]Air Wisconsin'!$FN$19:$FO$19)</f>
        <v>0</v>
      </c>
      <c r="G25" s="9">
        <f>SUM('[3]Air Wisconsin'!$EZ$19:$FA$19)</f>
        <v>2</v>
      </c>
      <c r="H25" s="490">
        <f t="shared" si="1"/>
        <v>-1</v>
      </c>
      <c r="I25" s="86">
        <f t="shared" si="2"/>
        <v>0</v>
      </c>
      <c r="J25" s="53"/>
      <c r="K25" s="430" t="s">
        <v>50</v>
      </c>
      <c r="L25" s="356">
        <f>'[3]Air Wisconsin'!$FO$41</f>
        <v>0</v>
      </c>
      <c r="M25" s="9">
        <f>'[3]Air Wisconsin'!$FA$41</f>
        <v>90</v>
      </c>
      <c r="N25" s="86">
        <f t="shared" si="3"/>
        <v>-1</v>
      </c>
      <c r="O25" s="356">
        <f>SUM('[3]Air Wisconsin'!$FN$41:$FO$41)</f>
        <v>0</v>
      </c>
      <c r="P25" s="9">
        <f>SUM('[3]Air Wisconsin'!$EZ$41:$FA$41)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61"/>
      <c r="C26" s="356"/>
      <c r="D26" s="9"/>
      <c r="E26" s="86"/>
      <c r="F26" s="9"/>
      <c r="G26" s="9"/>
      <c r="H26" s="39"/>
      <c r="I26" s="86"/>
      <c r="J26" s="53"/>
      <c r="K26" s="361"/>
      <c r="L26" s="356"/>
      <c r="M26" s="9"/>
      <c r="N26" s="86"/>
      <c r="O26" s="356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51" t="s">
        <v>197</v>
      </c>
      <c r="B27" s="361"/>
      <c r="C27" s="352">
        <f>'[3]Boutique Air'!$FO$19</f>
        <v>138</v>
      </c>
      <c r="D27" s="354">
        <f>'[3]Boutique Air'!$FA$19</f>
        <v>145</v>
      </c>
      <c r="E27" s="355">
        <f>(C27-D27)/D27</f>
        <v>-4.8275862068965517E-2</v>
      </c>
      <c r="F27" s="354">
        <f>SUM('[3]Boutique Air'!$FN$19:$FO$19)</f>
        <v>296</v>
      </c>
      <c r="G27" s="354">
        <f>SUM('[3]Boutique Air'!$EZ$19:$FA$19)</f>
        <v>296</v>
      </c>
      <c r="H27" s="353">
        <f>(F27-G27)/G27</f>
        <v>0</v>
      </c>
      <c r="I27" s="355">
        <f>F27/$F$65</f>
        <v>5.3942740509904689E-3</v>
      </c>
      <c r="J27" s="351" t="s">
        <v>197</v>
      </c>
      <c r="K27" s="361"/>
      <c r="L27" s="352">
        <f>'[3]Boutique Air'!$FO$41</f>
        <v>682</v>
      </c>
      <c r="M27" s="354">
        <f>'[3]Boutique Air'!$FA$41</f>
        <v>983</v>
      </c>
      <c r="N27" s="355">
        <f>(L27-M27)/M27</f>
        <v>-0.30620549338758901</v>
      </c>
      <c r="O27" s="352">
        <f>SUM('[3]Boutique Air'!$FN$41:$FO$41)</f>
        <v>1484</v>
      </c>
      <c r="P27" s="354">
        <f>SUM('[3]Boutique Air'!$EZ$41:$FA$41)</f>
        <v>2037</v>
      </c>
      <c r="Q27" s="353">
        <f>(O27-P27)/P27</f>
        <v>-0.27147766323024053</v>
      </c>
      <c r="R27" s="355">
        <f>O27/$O$65</f>
        <v>2.8445466743339085E-4</v>
      </c>
      <c r="S27" s="20"/>
      <c r="T27" s="9"/>
      <c r="U27" s="11"/>
      <c r="V27" s="11"/>
    </row>
    <row r="28" spans="1:22" ht="14.1" customHeight="1" x14ac:dyDescent="0.2">
      <c r="A28" s="53"/>
      <c r="B28" s="361"/>
      <c r="C28" s="356"/>
      <c r="D28" s="9"/>
      <c r="E28" s="86"/>
      <c r="F28" s="9"/>
      <c r="G28" s="9"/>
      <c r="H28" s="39"/>
      <c r="I28" s="86"/>
      <c r="J28" s="53"/>
      <c r="K28" s="361"/>
      <c r="L28" s="356"/>
      <c r="M28" s="9"/>
      <c r="N28" s="86"/>
      <c r="O28" s="356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51" t="s">
        <v>168</v>
      </c>
      <c r="B29" s="361"/>
      <c r="C29" s="352">
        <f>[3]Condor!$FO$19</f>
        <v>0</v>
      </c>
      <c r="D29" s="354">
        <f>[3]Condor!$FA$19</f>
        <v>0</v>
      </c>
      <c r="E29" s="355" t="e">
        <f>(C29-D29)/D29</f>
        <v>#DIV/0!</v>
      </c>
      <c r="F29" s="354">
        <f>SUM([3]Condor!$FN$19:$FO$19)</f>
        <v>0</v>
      </c>
      <c r="G29" s="354">
        <f>SUM([3]Condor!$EZ$19:$FA$19)</f>
        <v>0</v>
      </c>
      <c r="H29" s="353" t="e">
        <f>(F29-G29)/G29</f>
        <v>#DIV/0!</v>
      </c>
      <c r="I29" s="355">
        <f>F29/$F$65</f>
        <v>0</v>
      </c>
      <c r="J29" s="351" t="s">
        <v>168</v>
      </c>
      <c r="K29" s="361"/>
      <c r="L29" s="352">
        <f>[3]Condor!$FO$41</f>
        <v>0</v>
      </c>
      <c r="M29" s="354">
        <f>[3]Condor!$FA$41</f>
        <v>0</v>
      </c>
      <c r="N29" s="355" t="e">
        <f>(L29-M29)/M29</f>
        <v>#DIV/0!</v>
      </c>
      <c r="O29" s="352">
        <f>SUM([3]Condor!$FN$41:$FO$41)</f>
        <v>0</v>
      </c>
      <c r="P29" s="354">
        <f>SUM([3]Condor!$EZ$41:$FA$41)</f>
        <v>0</v>
      </c>
      <c r="Q29" s="353" t="e">
        <f>(O29-P29)/P29</f>
        <v>#DIV/0!</v>
      </c>
      <c r="R29" s="355">
        <f>O29/$O$65</f>
        <v>0</v>
      </c>
      <c r="S29" s="20"/>
      <c r="T29" s="9"/>
      <c r="U29" s="11"/>
      <c r="V29" s="11"/>
    </row>
    <row r="30" spans="1:22" ht="14.1" customHeight="1" x14ac:dyDescent="0.2">
      <c r="A30" s="53"/>
      <c r="B30" s="361"/>
      <c r="C30" s="356"/>
      <c r="D30" s="9"/>
      <c r="E30" s="86"/>
      <c r="F30" s="9"/>
      <c r="G30" s="9"/>
      <c r="H30" s="39"/>
      <c r="I30" s="86"/>
      <c r="J30" s="53"/>
      <c r="K30" s="361"/>
      <c r="L30" s="356"/>
      <c r="M30" s="9"/>
      <c r="N30" s="86"/>
      <c r="O30" s="356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51" t="s">
        <v>18</v>
      </c>
      <c r="B31" s="364"/>
      <c r="C31" s="352">
        <f>SUM(C32:C38)</f>
        <v>19123</v>
      </c>
      <c r="D31" s="354">
        <f>SUM(D32:D38)</f>
        <v>19343</v>
      </c>
      <c r="E31" s="355">
        <f t="shared" ref="E31:E38" si="6">(C31-D31)/D31</f>
        <v>-1.1373623533061056E-2</v>
      </c>
      <c r="F31" s="357">
        <f>SUM(F32:F38)</f>
        <v>39102</v>
      </c>
      <c r="G31" s="357">
        <f>SUM(G32:G38)</f>
        <v>40153</v>
      </c>
      <c r="H31" s="353">
        <f>(F31-G31)/G31</f>
        <v>-2.61748810798695E-2</v>
      </c>
      <c r="I31" s="355">
        <f t="shared" ref="I31:I38" si="7">F31/$F$65</f>
        <v>0.71259089169536927</v>
      </c>
      <c r="J31" s="351" t="s">
        <v>18</v>
      </c>
      <c r="K31" s="364"/>
      <c r="L31" s="352">
        <f>SUM(L32:L38)</f>
        <v>1801746</v>
      </c>
      <c r="M31" s="354">
        <f>SUM(M32:M38)</f>
        <v>1722860</v>
      </c>
      <c r="N31" s="355">
        <f t="shared" ref="N31:N38" si="8">(L31-M31)/M31</f>
        <v>4.5787817930650197E-2</v>
      </c>
      <c r="O31" s="352">
        <f>SUM(O32:O38)</f>
        <v>3595963</v>
      </c>
      <c r="P31" s="354">
        <f>SUM(P32:P38)</f>
        <v>3529938</v>
      </c>
      <c r="Q31" s="353">
        <f t="shared" ref="Q31:Q38" si="9">(O31-P31)/P31</f>
        <v>1.870429452301995E-2</v>
      </c>
      <c r="R31" s="355">
        <f t="shared" ref="R31:R38" si="10">O31/$O$65</f>
        <v>0.68927793751198008</v>
      </c>
      <c r="S31" s="417"/>
      <c r="U31" s="11"/>
      <c r="V31" s="11"/>
    </row>
    <row r="32" spans="1:22" ht="14.1" customHeight="1" x14ac:dyDescent="0.2">
      <c r="A32" s="53"/>
      <c r="B32" s="360" t="s">
        <v>18</v>
      </c>
      <c r="C32" s="356">
        <f>[3]Delta!$FO$19</f>
        <v>9841</v>
      </c>
      <c r="D32" s="9">
        <f>[3]Delta!$FA$19</f>
        <v>9416</v>
      </c>
      <c r="E32" s="86">
        <f t="shared" si="6"/>
        <v>4.5135938827527609E-2</v>
      </c>
      <c r="F32" s="9">
        <f>SUM([3]Delta!$FN$19:$FO$19)</f>
        <v>20304</v>
      </c>
      <c r="G32" s="9">
        <f>SUM([3]Delta!$EZ$19:$FA$19)</f>
        <v>19429</v>
      </c>
      <c r="H32" s="39">
        <f t="shared" ref="H32:H38" si="11">(F32-G32)/G32</f>
        <v>4.5035771269751404E-2</v>
      </c>
      <c r="I32" s="86">
        <f t="shared" si="7"/>
        <v>0.37001804165983271</v>
      </c>
      <c r="J32" s="53"/>
      <c r="K32" s="360" t="s">
        <v>18</v>
      </c>
      <c r="L32" s="356">
        <f>[3]Delta!$FO$41</f>
        <v>1334585</v>
      </c>
      <c r="M32" s="9">
        <f>[3]Delta!$FA$41</f>
        <v>1245416</v>
      </c>
      <c r="N32" s="86">
        <f t="shared" si="8"/>
        <v>7.1597763317638438E-2</v>
      </c>
      <c r="O32" s="356">
        <f>SUM([3]Delta!$FN$41:$FO$41)</f>
        <v>2682860</v>
      </c>
      <c r="P32" s="9">
        <f>SUM([3]Delta!$EZ$41:$FA$41)</f>
        <v>2538568</v>
      </c>
      <c r="Q32" s="39">
        <f t="shared" si="9"/>
        <v>5.6839919198540277E-2</v>
      </c>
      <c r="R32" s="86">
        <f t="shared" si="10"/>
        <v>0.51425340233850869</v>
      </c>
      <c r="S32" s="20"/>
      <c r="T32" s="9"/>
      <c r="U32" s="11"/>
      <c r="V32" s="11"/>
    </row>
    <row r="33" spans="1:22" ht="14.1" customHeight="1" x14ac:dyDescent="0.2">
      <c r="A33" s="53"/>
      <c r="B33" s="362" t="s">
        <v>120</v>
      </c>
      <c r="C33" s="356">
        <f>[3]Compass!$FO$19</f>
        <v>2</v>
      </c>
      <c r="D33" s="9">
        <f>[3]Compass!$FA$19</f>
        <v>1366</v>
      </c>
      <c r="E33" s="86">
        <f t="shared" si="6"/>
        <v>-0.99853587115666176</v>
      </c>
      <c r="F33" s="9">
        <f>SUM([3]Compass!$FN$19:$FO$19)</f>
        <v>2</v>
      </c>
      <c r="G33" s="9">
        <f>SUM([3]Compass!$EZ$19:$FA$19)</f>
        <v>2701</v>
      </c>
      <c r="H33" s="39">
        <f t="shared" si="11"/>
        <v>-0.99925953350610885</v>
      </c>
      <c r="I33" s="86">
        <f t="shared" si="7"/>
        <v>3.6447797641827492E-5</v>
      </c>
      <c r="J33" s="53"/>
      <c r="K33" s="362" t="s">
        <v>120</v>
      </c>
      <c r="L33" s="356">
        <f>[3]Compass!$FO$41</f>
        <v>0</v>
      </c>
      <c r="M33" s="9">
        <f>[3]Compass!$FA$41</f>
        <v>75801</v>
      </c>
      <c r="N33" s="86">
        <f t="shared" si="8"/>
        <v>-1</v>
      </c>
      <c r="O33" s="356">
        <f>SUM([3]Compass!$FN$41:$FO$41)</f>
        <v>0</v>
      </c>
      <c r="P33" s="9">
        <f>SUM([3]Compass!$EZ$41:$FA$41)</f>
        <v>148475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61" t="s">
        <v>164</v>
      </c>
      <c r="C34" s="356">
        <f>[3]Pinnacle!$FO$19</f>
        <v>2030</v>
      </c>
      <c r="D34" s="9">
        <f>[3]Pinnacle!$FA$19</f>
        <v>2955</v>
      </c>
      <c r="E34" s="86">
        <f t="shared" si="6"/>
        <v>-0.31302876480541453</v>
      </c>
      <c r="F34" s="9">
        <f>SUM([3]Pinnacle!$FN$19:$FO$19)</f>
        <v>4186</v>
      </c>
      <c r="G34" s="9">
        <f>SUM([3]Pinnacle!$EZ$19:$FA$19)</f>
        <v>6299</v>
      </c>
      <c r="H34" s="39">
        <f t="shared" si="11"/>
        <v>-0.33545007143991112</v>
      </c>
      <c r="I34" s="86">
        <f t="shared" si="7"/>
        <v>7.6285240464344942E-2</v>
      </c>
      <c r="J34" s="53"/>
      <c r="K34" s="361" t="s">
        <v>164</v>
      </c>
      <c r="L34" s="356">
        <f>[3]Pinnacle!$FO$41</f>
        <v>112882</v>
      </c>
      <c r="M34" s="9">
        <f>[3]Pinnacle!$FA$41</f>
        <v>143573</v>
      </c>
      <c r="N34" s="86">
        <f t="shared" si="8"/>
        <v>-0.21376581947859277</v>
      </c>
      <c r="O34" s="356">
        <f>SUM([3]Pinnacle!$FN$41:$FO$41)</f>
        <v>227147</v>
      </c>
      <c r="P34" s="9">
        <f>SUM([3]Pinnacle!$EZ$41:$FA$41)</f>
        <v>306302</v>
      </c>
      <c r="Q34" s="39">
        <f t="shared" si="9"/>
        <v>-0.25842142721888856</v>
      </c>
      <c r="R34" s="86">
        <f t="shared" si="10"/>
        <v>4.3539773816369559E-2</v>
      </c>
      <c r="S34" s="20"/>
      <c r="T34" s="11"/>
    </row>
    <row r="35" spans="1:22" ht="14.1" customHeight="1" x14ac:dyDescent="0.2">
      <c r="A35" s="53"/>
      <c r="B35" s="361" t="s">
        <v>160</v>
      </c>
      <c r="C35" s="356">
        <f>'[3]Go Jet'!$FO$19</f>
        <v>578</v>
      </c>
      <c r="D35" s="9">
        <f>'[3]Go Jet'!$FA$19</f>
        <v>574</v>
      </c>
      <c r="E35" s="86">
        <f t="shared" si="6"/>
        <v>6.9686411149825784E-3</v>
      </c>
      <c r="F35" s="9">
        <f>SUM('[3]Go Jet'!$FN$19:$FO$19)</f>
        <v>1180</v>
      </c>
      <c r="G35" s="9">
        <f>SUM('[3]Go Jet'!$EZ$19:$FA$19)</f>
        <v>1173</v>
      </c>
      <c r="H35" s="39">
        <f>(F35-G35)/G35</f>
        <v>5.9676044330775786E-3</v>
      </c>
      <c r="I35" s="86">
        <f t="shared" si="7"/>
        <v>2.150420060867822E-2</v>
      </c>
      <c r="J35" s="53"/>
      <c r="K35" s="360" t="s">
        <v>160</v>
      </c>
      <c r="L35" s="356">
        <f>'[3]Go Jet'!$FO$41</f>
        <v>32413</v>
      </c>
      <c r="M35" s="9">
        <f>'[3]Go Jet'!$FA$41</f>
        <v>30347</v>
      </c>
      <c r="N35" s="86">
        <f t="shared" si="8"/>
        <v>6.8079217056051675E-2</v>
      </c>
      <c r="O35" s="356">
        <f>SUM('[3]Go Jet'!$FN$41:$FO$41)</f>
        <v>65296</v>
      </c>
      <c r="P35" s="9">
        <f>SUM('[3]Go Jet'!$EZ$41:$FA$41)</f>
        <v>61483</v>
      </c>
      <c r="Q35" s="39">
        <f>(O35-P35)/P35</f>
        <v>6.2017142950083766E-2</v>
      </c>
      <c r="R35" s="86">
        <f t="shared" si="10"/>
        <v>1.2516005367069196E-2</v>
      </c>
      <c r="S35" s="330"/>
      <c r="T35" s="329"/>
    </row>
    <row r="36" spans="1:22" ht="14.1" customHeight="1" x14ac:dyDescent="0.2">
      <c r="A36" s="53"/>
      <c r="B36" s="361" t="s">
        <v>100</v>
      </c>
      <c r="C36" s="356">
        <f>'[3]Sky West'!$FO$19</f>
        <v>6406</v>
      </c>
      <c r="D36" s="9">
        <f>'[3]Sky West'!$FA$19</f>
        <v>4481</v>
      </c>
      <c r="E36" s="86">
        <f t="shared" si="6"/>
        <v>0.4295916090158447</v>
      </c>
      <c r="F36" s="9">
        <f>SUM('[3]Sky West'!$FN$19:$FO$19)</f>
        <v>12922</v>
      </c>
      <c r="G36" s="9">
        <f>SUM('[3]Sky West'!$EZ$19:$FA$19)</f>
        <v>9196</v>
      </c>
      <c r="H36" s="39">
        <f t="shared" si="11"/>
        <v>0.40517616354936931</v>
      </c>
      <c r="I36" s="86">
        <f t="shared" si="7"/>
        <v>0.23548922056384744</v>
      </c>
      <c r="J36" s="53"/>
      <c r="K36" s="361" t="s">
        <v>100</v>
      </c>
      <c r="L36" s="356">
        <f>'[3]Sky West'!$FO$41</f>
        <v>307779</v>
      </c>
      <c r="M36" s="9">
        <f>'[3]Sky West'!$FA$41</f>
        <v>198392</v>
      </c>
      <c r="N36" s="86">
        <f t="shared" si="8"/>
        <v>0.55136799870962538</v>
      </c>
      <c r="O36" s="356">
        <f>SUM('[3]Sky West'!$FN$41:$FO$41)</f>
        <v>594371</v>
      </c>
      <c r="P36" s="9">
        <f>SUM('[3]Sky West'!$EZ$41:$FA$41)</f>
        <v>402477</v>
      </c>
      <c r="Q36" s="39">
        <f t="shared" si="9"/>
        <v>0.47678252421877526</v>
      </c>
      <c r="R36" s="86">
        <f t="shared" si="10"/>
        <v>0.11392965305731263</v>
      </c>
      <c r="S36" s="20"/>
    </row>
    <row r="37" spans="1:22" ht="14.1" customHeight="1" x14ac:dyDescent="0.2">
      <c r="A37" s="53"/>
      <c r="B37" s="361" t="s">
        <v>134</v>
      </c>
      <c r="C37" s="356">
        <f>'[3]Shuttle America_Delta'!$FO$19</f>
        <v>40</v>
      </c>
      <c r="D37" s="9">
        <f>'[3]Shuttle America_Delta'!$FA$19</f>
        <v>6</v>
      </c>
      <c r="E37" s="86">
        <f t="shared" si="6"/>
        <v>5.666666666666667</v>
      </c>
      <c r="F37" s="9">
        <f>SUM('[3]Shuttle America_Delta'!$FN$19:$FO$19)</f>
        <v>70</v>
      </c>
      <c r="G37" s="9">
        <f>SUM('[3]Shuttle America_Delta'!$EZ$19:$FA$19)</f>
        <v>144</v>
      </c>
      <c r="H37" s="39">
        <f t="shared" si="11"/>
        <v>-0.51388888888888884</v>
      </c>
      <c r="I37" s="86">
        <f t="shared" si="7"/>
        <v>1.2756729174639623E-3</v>
      </c>
      <c r="J37" s="53"/>
      <c r="K37" s="361" t="s">
        <v>134</v>
      </c>
      <c r="L37" s="356">
        <f>'[3]Shuttle America_Delta'!$FO$41</f>
        <v>2390</v>
      </c>
      <c r="M37" s="9">
        <f>'[3]Shuttle America_Delta'!$FA$41</f>
        <v>241</v>
      </c>
      <c r="N37" s="86">
        <f t="shared" si="8"/>
        <v>8.9170124481327804</v>
      </c>
      <c r="O37" s="356">
        <f>SUM('[3]Shuttle America_Delta'!$FN$41:$FO$41)</f>
        <v>4205</v>
      </c>
      <c r="P37" s="9">
        <f>SUM('[3]Shuttle America_Delta'!$EZ$41:$FA$41)</f>
        <v>7818</v>
      </c>
      <c r="Q37" s="39">
        <f t="shared" si="9"/>
        <v>-0.46213865438731133</v>
      </c>
      <c r="R37" s="86">
        <f t="shared" si="10"/>
        <v>8.0601878474218902E-4</v>
      </c>
      <c r="S37" s="20"/>
    </row>
    <row r="38" spans="1:22" ht="14.1" customHeight="1" x14ac:dyDescent="0.2">
      <c r="A38" s="53"/>
      <c r="B38" s="429" t="s">
        <v>174</v>
      </c>
      <c r="C38" s="356">
        <f>'[3]Atlantic Southeast'!$FO$19</f>
        <v>226</v>
      </c>
      <c r="D38" s="9">
        <f>'[3]Atlantic Southeast'!$FA$19</f>
        <v>545</v>
      </c>
      <c r="E38" s="86">
        <f t="shared" si="6"/>
        <v>-0.58532110091743117</v>
      </c>
      <c r="F38" s="9">
        <f>SUM('[3]Atlantic Southeast'!$FN$19:$FO$19)</f>
        <v>438</v>
      </c>
      <c r="G38" s="9">
        <f>SUM('[3]Atlantic Southeast'!$EZ$19:$FA$19)</f>
        <v>1211</v>
      </c>
      <c r="H38" s="39">
        <f t="shared" si="11"/>
        <v>-0.63831544178364985</v>
      </c>
      <c r="I38" s="86">
        <f t="shared" si="7"/>
        <v>7.9820676835602213E-3</v>
      </c>
      <c r="J38" s="53"/>
      <c r="K38" s="429" t="s">
        <v>174</v>
      </c>
      <c r="L38" s="356">
        <f>'[3]Atlantic Southeast'!$FO$41</f>
        <v>11697</v>
      </c>
      <c r="M38" s="9">
        <f>'[3]Atlantic Southeast'!$FA$41</f>
        <v>29090</v>
      </c>
      <c r="N38" s="86">
        <f t="shared" si="8"/>
        <v>-0.59790305947060851</v>
      </c>
      <c r="O38" s="356">
        <f>SUM('[3]Atlantic Southeast'!$FN$41:$FO$41)</f>
        <v>22084</v>
      </c>
      <c r="P38" s="9">
        <f>SUM('[3]Atlantic Southeast'!$EZ$41:$FA$41)</f>
        <v>64815</v>
      </c>
      <c r="Q38" s="39">
        <f t="shared" si="9"/>
        <v>-0.65927640206742266</v>
      </c>
      <c r="R38" s="86">
        <f t="shared" si="10"/>
        <v>4.2330841479777653E-3</v>
      </c>
      <c r="S38" s="328"/>
    </row>
    <row r="39" spans="1:22" ht="14.1" customHeight="1" x14ac:dyDescent="0.2">
      <c r="A39" s="53"/>
      <c r="B39" s="429"/>
      <c r="C39" s="356"/>
      <c r="D39" s="9"/>
      <c r="E39" s="86"/>
      <c r="F39" s="9"/>
      <c r="G39" s="9"/>
      <c r="H39" s="39"/>
      <c r="I39" s="86"/>
      <c r="J39" s="53"/>
      <c r="K39" s="429"/>
      <c r="L39" s="356"/>
      <c r="M39" s="9"/>
      <c r="N39" s="86"/>
      <c r="O39" s="356"/>
      <c r="P39" s="9"/>
      <c r="Q39" s="39"/>
      <c r="R39" s="86"/>
      <c r="S39" s="328"/>
    </row>
    <row r="40" spans="1:22" s="7" customFormat="1" ht="14.1" customHeight="1" x14ac:dyDescent="0.2">
      <c r="A40" s="351" t="s">
        <v>47</v>
      </c>
      <c r="B40" s="365"/>
      <c r="C40" s="352">
        <f>[3]Frontier!$FO$19</f>
        <v>222</v>
      </c>
      <c r="D40" s="354">
        <f>[3]Frontier!$FA$19</f>
        <v>160</v>
      </c>
      <c r="E40" s="355">
        <f>(C40-D40)/D40</f>
        <v>0.38750000000000001</v>
      </c>
      <c r="F40" s="354">
        <f>SUM([3]Frontier!$FN$19:$FO$19)</f>
        <v>470</v>
      </c>
      <c r="G40" s="354">
        <f>SUM([3]Frontier!$EZ$19:$FA$19)</f>
        <v>338</v>
      </c>
      <c r="H40" s="353">
        <f>(F40-G40)/G40</f>
        <v>0.39053254437869822</v>
      </c>
      <c r="I40" s="355">
        <f>F40/$F$65</f>
        <v>8.5652324458294609E-3</v>
      </c>
      <c r="J40" s="351" t="s">
        <v>47</v>
      </c>
      <c r="K40" s="365"/>
      <c r="L40" s="352">
        <f>[3]Frontier!$FO$41</f>
        <v>35163</v>
      </c>
      <c r="M40" s="354">
        <f>[3]Frontier!$FA$41</f>
        <v>27143</v>
      </c>
      <c r="N40" s="355">
        <f>(L40-M40)/M40</f>
        <v>0.2954721290940574</v>
      </c>
      <c r="O40" s="352">
        <f>SUM([3]Frontier!$FN$41:$FO$41)</f>
        <v>73482</v>
      </c>
      <c r="P40" s="354">
        <f>SUM([3]Frontier!$EZ$41:$FA$41)</f>
        <v>56350</v>
      </c>
      <c r="Q40" s="353">
        <f>(O40-P40)/P40</f>
        <v>0.30402839396628217</v>
      </c>
      <c r="R40" s="355">
        <f>O40/$O$65</f>
        <v>1.4085106382978723E-2</v>
      </c>
      <c r="S40" s="474"/>
      <c r="T40"/>
      <c r="U40" s="4"/>
    </row>
    <row r="41" spans="1:22" s="7" customFormat="1" ht="14.1" customHeight="1" x14ac:dyDescent="0.2">
      <c r="A41" s="351"/>
      <c r="B41" s="365"/>
      <c r="C41" s="352"/>
      <c r="D41" s="354"/>
      <c r="E41" s="355"/>
      <c r="F41" s="354"/>
      <c r="G41" s="354"/>
      <c r="H41" s="353"/>
      <c r="I41" s="355"/>
      <c r="J41" s="351"/>
      <c r="K41" s="365"/>
      <c r="L41" s="356"/>
      <c r="M41" s="9"/>
      <c r="N41" s="86"/>
      <c r="O41" s="356"/>
      <c r="P41" s="9"/>
      <c r="Q41" s="39"/>
      <c r="R41" s="86"/>
      <c r="S41" s="474"/>
    </row>
    <row r="42" spans="1:22" s="7" customFormat="1" ht="14.1" customHeight="1" x14ac:dyDescent="0.2">
      <c r="A42" s="351" t="s">
        <v>48</v>
      </c>
      <c r="B42" s="365"/>
      <c r="C42" s="352">
        <f>[3]Icelandair!$FO$19</f>
        <v>0</v>
      </c>
      <c r="D42" s="354">
        <f>[3]Icelandair!$FA$19</f>
        <v>28</v>
      </c>
      <c r="E42" s="355">
        <f>(C42-D42)/D42</f>
        <v>-1</v>
      </c>
      <c r="F42" s="354">
        <f>SUM([3]Icelandair!$FN$19:$FO$19)</f>
        <v>10</v>
      </c>
      <c r="G42" s="354">
        <f>SUM([3]Icelandair!$EZ$19:$FA$19)</f>
        <v>60</v>
      </c>
      <c r="H42" s="353">
        <f>(F42-G42)/G42</f>
        <v>-0.83333333333333337</v>
      </c>
      <c r="I42" s="355">
        <f>F42/$F$65</f>
        <v>1.8223898820913747E-4</v>
      </c>
      <c r="J42" s="351" t="s">
        <v>48</v>
      </c>
      <c r="K42" s="365"/>
      <c r="L42" s="352">
        <f>[3]Icelandair!$FO$41</f>
        <v>0</v>
      </c>
      <c r="M42" s="354">
        <f>[3]Icelandair!$FA$41</f>
        <v>3399</v>
      </c>
      <c r="N42" s="355">
        <f>(L42-M42)/M42</f>
        <v>-1</v>
      </c>
      <c r="O42" s="352">
        <f>SUM([3]Icelandair!$FN$41:$FO$41)</f>
        <v>1523</v>
      </c>
      <c r="P42" s="354">
        <f>SUM([3]Icelandair!$EZ$41:$FA$41)</f>
        <v>7728</v>
      </c>
      <c r="Q42" s="353">
        <f>(O42-P42)/P42</f>
        <v>-0.80292443064182195</v>
      </c>
      <c r="R42" s="355">
        <f>O42/$O$65</f>
        <v>2.9193022810044086E-4</v>
      </c>
      <c r="S42" s="20"/>
    </row>
    <row r="43" spans="1:22" s="7" customFormat="1" ht="14.1" customHeight="1" x14ac:dyDescent="0.2">
      <c r="A43" s="351"/>
      <c r="B43" s="365"/>
      <c r="C43" s="352"/>
      <c r="D43" s="354"/>
      <c r="E43" s="355"/>
      <c r="F43" s="354"/>
      <c r="G43" s="354"/>
      <c r="H43" s="353"/>
      <c r="I43" s="355"/>
      <c r="J43" s="351"/>
      <c r="K43" s="365"/>
      <c r="L43" s="356"/>
      <c r="M43" s="9"/>
      <c r="N43" s="86"/>
      <c r="O43" s="356"/>
      <c r="P43" s="9"/>
      <c r="Q43" s="39"/>
      <c r="R43" s="86"/>
      <c r="S43" s="20"/>
    </row>
    <row r="44" spans="1:22" s="7" customFormat="1" ht="14.1" customHeight="1" x14ac:dyDescent="0.2">
      <c r="A44" s="351" t="s">
        <v>216</v>
      </c>
      <c r="B44" s="365"/>
      <c r="C44" s="352">
        <f>[3]KLM!$FO$19</f>
        <v>24</v>
      </c>
      <c r="D44" s="354">
        <f>[3]KLM!$FA$19</f>
        <v>0</v>
      </c>
      <c r="E44" s="355" t="e">
        <f>(C44-D44)/D44</f>
        <v>#DIV/0!</v>
      </c>
      <c r="F44" s="354">
        <f>SUM([3]KLM!$FN$19:$FO$19)</f>
        <v>52</v>
      </c>
      <c r="G44" s="354">
        <f>SUM([3]KLM!$EZ$19:$FA$19)</f>
        <v>0</v>
      </c>
      <c r="H44" s="353" t="e">
        <f>(F44-G44)/G44</f>
        <v>#DIV/0!</v>
      </c>
      <c r="I44" s="355">
        <f>F44/$F$65</f>
        <v>9.4764273868751486E-4</v>
      </c>
      <c r="J44" s="351" t="s">
        <v>216</v>
      </c>
      <c r="K44" s="365"/>
      <c r="L44" s="352">
        <f>[3]KLM!$FO$41</f>
        <v>4084</v>
      </c>
      <c r="M44" s="354">
        <f>[3]KLM!$FA$41</f>
        <v>0</v>
      </c>
      <c r="N44" s="355" t="e">
        <f>(L44-M44)/M44</f>
        <v>#DIV/0!</v>
      </c>
      <c r="O44" s="352">
        <f>SUM([3]KLM!$FN$41:$FO$41)</f>
        <v>10063</v>
      </c>
      <c r="P44" s="354">
        <f>SUM([3]KLM!$EZ$41:$FA$41)</f>
        <v>0</v>
      </c>
      <c r="Q44" s="353" t="e">
        <f>(O44-P44)/P44</f>
        <v>#DIV/0!</v>
      </c>
      <c r="R44" s="355">
        <f>O44/$O$65</f>
        <v>1.9288863331416524E-3</v>
      </c>
      <c r="S44" s="20"/>
    </row>
    <row r="45" spans="1:22" s="7" customFormat="1" ht="14.1" customHeight="1" x14ac:dyDescent="0.2">
      <c r="A45" s="351"/>
      <c r="B45" s="365"/>
      <c r="C45" s="352"/>
      <c r="D45" s="354"/>
      <c r="E45" s="355"/>
      <c r="F45" s="354"/>
      <c r="G45" s="354"/>
      <c r="H45" s="353"/>
      <c r="I45" s="355"/>
      <c r="J45" s="351"/>
      <c r="K45" s="365"/>
      <c r="L45" s="356"/>
      <c r="M45" s="9"/>
      <c r="N45" s="86"/>
      <c r="O45" s="356"/>
      <c r="P45" s="9"/>
      <c r="Q45" s="39"/>
      <c r="R45" s="86"/>
      <c r="S45" s="20"/>
    </row>
    <row r="46" spans="1:22" ht="14.1" customHeight="1" x14ac:dyDescent="0.2">
      <c r="A46" s="363" t="s">
        <v>132</v>
      </c>
      <c r="B46" s="55"/>
      <c r="C46" s="352">
        <f>SUM(C47:C47)</f>
        <v>1167</v>
      </c>
      <c r="D46" s="354">
        <f>SUM(D47:D47)</f>
        <v>1315</v>
      </c>
      <c r="E46" s="355">
        <f>(C46-D46)/D46</f>
        <v>-0.11254752851711027</v>
      </c>
      <c r="F46" s="352">
        <f>SUM(F47:F47)</f>
        <v>2421</v>
      </c>
      <c r="G46" s="354">
        <f>SUM(G47:G47)</f>
        <v>2756</v>
      </c>
      <c r="H46" s="353">
        <f>(F46-G46)/G46</f>
        <v>-0.12155297532656023</v>
      </c>
      <c r="I46" s="355">
        <f>F46/$F$65</f>
        <v>4.4120059045432182E-2</v>
      </c>
      <c r="J46" s="351" t="s">
        <v>132</v>
      </c>
      <c r="K46" s="55"/>
      <c r="L46" s="352">
        <f>SUM(L47:L47)</f>
        <v>140011</v>
      </c>
      <c r="M46" s="354">
        <f>SUM(M47:M47)</f>
        <v>144226</v>
      </c>
      <c r="N46" s="355">
        <f>(L46-M46)/M46</f>
        <v>-2.9224966372221373E-2</v>
      </c>
      <c r="O46" s="352">
        <f>SUM(O47:O47)</f>
        <v>286743</v>
      </c>
      <c r="P46" s="354">
        <f>SUM(P47:P47)</f>
        <v>297119</v>
      </c>
      <c r="Q46" s="353">
        <f>(O46-P46)/P46</f>
        <v>-3.4922034605663052E-2</v>
      </c>
      <c r="R46" s="355">
        <f>O46/$O$65</f>
        <v>5.4963197239792982E-2</v>
      </c>
      <c r="S46" s="20"/>
    </row>
    <row r="47" spans="1:22" ht="14.1" customHeight="1" x14ac:dyDescent="0.2">
      <c r="A47" s="363"/>
      <c r="B47" s="55" t="s">
        <v>132</v>
      </c>
      <c r="C47" s="434">
        <f>[3]Southwest!$FO$19</f>
        <v>1167</v>
      </c>
      <c r="D47" s="295">
        <f>[3]Southwest!$FA$19</f>
        <v>1315</v>
      </c>
      <c r="E47" s="436">
        <f>(C47-D47)/D47</f>
        <v>-0.11254752851711027</v>
      </c>
      <c r="F47" s="295">
        <f>SUM([3]Southwest!$FN$19:$FO$19)</f>
        <v>2421</v>
      </c>
      <c r="G47" s="295">
        <f>SUM([3]Southwest!$EZ$19:$FA$19)</f>
        <v>2756</v>
      </c>
      <c r="H47" s="435">
        <f>(F47-G47)/G47</f>
        <v>-0.12155297532656023</v>
      </c>
      <c r="I47" s="436">
        <f>F47/$F$65</f>
        <v>4.4120059045432182E-2</v>
      </c>
      <c r="J47" s="351"/>
      <c r="K47" s="55" t="s">
        <v>132</v>
      </c>
      <c r="L47" s="434">
        <f>[3]Southwest!$FO$41</f>
        <v>140011</v>
      </c>
      <c r="M47" s="295">
        <f>[3]Southwest!$FA$41</f>
        <v>144226</v>
      </c>
      <c r="N47" s="436">
        <f>(L47-M47)/M47</f>
        <v>-2.9224966372221373E-2</v>
      </c>
      <c r="O47" s="434">
        <f>SUM([3]Southwest!$FN$41:$FO$41)</f>
        <v>286743</v>
      </c>
      <c r="P47" s="295">
        <f>SUM([3]Southwest!$EZ$41:$FA$41)</f>
        <v>297119</v>
      </c>
      <c r="Q47" s="435">
        <f>(O47-P47)/P47</f>
        <v>-3.4922034605663052E-2</v>
      </c>
      <c r="R47" s="436">
        <f>O47/$O$65</f>
        <v>5.4963197239792982E-2</v>
      </c>
      <c r="S47" s="20"/>
    </row>
    <row r="48" spans="1:22" ht="14.1" customHeight="1" x14ac:dyDescent="0.2">
      <c r="A48" s="351"/>
      <c r="B48" s="55"/>
      <c r="C48" s="352"/>
      <c r="D48" s="354"/>
      <c r="E48" s="355"/>
      <c r="F48" s="354"/>
      <c r="G48" s="354"/>
      <c r="H48" s="353"/>
      <c r="I48" s="355"/>
      <c r="J48" s="351"/>
      <c r="K48" s="55"/>
      <c r="L48" s="356"/>
      <c r="M48" s="9"/>
      <c r="N48" s="86"/>
      <c r="O48" s="356"/>
      <c r="P48" s="9"/>
      <c r="Q48" s="39"/>
      <c r="R48" s="86"/>
      <c r="S48" s="20"/>
      <c r="T48" s="7"/>
    </row>
    <row r="49" spans="1:20" ht="14.1" customHeight="1" x14ac:dyDescent="0.2">
      <c r="A49" s="351" t="s">
        <v>161</v>
      </c>
      <c r="B49" s="55"/>
      <c r="C49" s="352">
        <f>[3]Spirit!$FO$19</f>
        <v>686</v>
      </c>
      <c r="D49" s="354">
        <f>[3]Spirit!$FA$19</f>
        <v>721</v>
      </c>
      <c r="E49" s="355">
        <f>(C49-D49)/D49</f>
        <v>-4.8543689320388349E-2</v>
      </c>
      <c r="F49" s="354">
        <f>SUM([3]Spirit!$FN$19:$FO$19)</f>
        <v>1438</v>
      </c>
      <c r="G49" s="354">
        <f>SUM([3]Spirit!$EZ$19:$FA$19)</f>
        <v>1513</v>
      </c>
      <c r="H49" s="353">
        <f>(F49-G49)/G49</f>
        <v>-4.9570389953734299E-2</v>
      </c>
      <c r="I49" s="355">
        <f>F49/$F$65</f>
        <v>2.6205966504473967E-2</v>
      </c>
      <c r="J49" s="351" t="s">
        <v>161</v>
      </c>
      <c r="K49" s="55"/>
      <c r="L49" s="352">
        <f>[3]Spirit!$FO$41</f>
        <v>93520</v>
      </c>
      <c r="M49" s="354">
        <f>[3]Spirit!$FA$41</f>
        <v>98383</v>
      </c>
      <c r="N49" s="355">
        <f>(L49-M49)/M49</f>
        <v>-4.9429271317199111E-2</v>
      </c>
      <c r="O49" s="352">
        <f>SUM([3]Spirit!$FN$41:$FO$41)</f>
        <v>187368</v>
      </c>
      <c r="P49" s="354">
        <f>SUM([3]Spirit!$EZ$41:$FA$41)</f>
        <v>195760</v>
      </c>
      <c r="Q49" s="353">
        <f>(O49-P49)/P49</f>
        <v>-4.2868818961994279E-2</v>
      </c>
      <c r="R49" s="355">
        <f>O49/$O$65</f>
        <v>3.5914893617021278E-2</v>
      </c>
      <c r="S49" s="20"/>
      <c r="T49" s="7"/>
    </row>
    <row r="50" spans="1:20" ht="14.1" customHeight="1" x14ac:dyDescent="0.2">
      <c r="A50" s="351"/>
      <c r="B50" s="55"/>
      <c r="C50" s="352"/>
      <c r="D50" s="354"/>
      <c r="E50" s="355"/>
      <c r="F50" s="354"/>
      <c r="G50" s="354"/>
      <c r="H50" s="353"/>
      <c r="I50" s="355"/>
      <c r="J50" s="351"/>
      <c r="K50" s="55"/>
      <c r="L50" s="356"/>
      <c r="M50" s="9"/>
      <c r="N50" s="86"/>
      <c r="O50" s="356"/>
      <c r="P50" s="9"/>
      <c r="Q50" s="39"/>
      <c r="R50" s="86">
        <f>O50/$O$65</f>
        <v>0</v>
      </c>
      <c r="S50" s="20"/>
      <c r="T50" s="7"/>
    </row>
    <row r="51" spans="1:20" s="7" customFormat="1" ht="14.1" customHeight="1" x14ac:dyDescent="0.2">
      <c r="A51" s="351" t="s">
        <v>49</v>
      </c>
      <c r="B51" s="365"/>
      <c r="C51" s="352">
        <f>'[3]Sun Country'!$FO$19</f>
        <v>1984</v>
      </c>
      <c r="D51" s="354">
        <f>'[3]Sun Country'!$FA$19</f>
        <v>1909</v>
      </c>
      <c r="E51" s="355">
        <f>(C51-D51)/D51</f>
        <v>3.9287585123101099E-2</v>
      </c>
      <c r="F51" s="354">
        <f>SUM('[3]Sun Country'!$FN$19:$FO$19)</f>
        <v>3820</v>
      </c>
      <c r="G51" s="354">
        <f>SUM('[3]Sun Country'!$EZ$19:$FA$19)</f>
        <v>3810</v>
      </c>
      <c r="H51" s="353">
        <f>(F51-G51)/G51</f>
        <v>2.6246719160104987E-3</v>
      </c>
      <c r="I51" s="355">
        <f>F51/$F$65</f>
        <v>6.9615293495890504E-2</v>
      </c>
      <c r="J51" s="351" t="s">
        <v>49</v>
      </c>
      <c r="K51" s="365"/>
      <c r="L51" s="352">
        <f>'[3]Sun Country'!$FO$41</f>
        <v>232543</v>
      </c>
      <c r="M51" s="354">
        <f>'[3]Sun Country'!$FA$41</f>
        <v>220246</v>
      </c>
      <c r="N51" s="355">
        <f>(L51-M51)/M51</f>
        <v>5.5833023074198851E-2</v>
      </c>
      <c r="O51" s="352">
        <f>SUM('[3]Sun Country'!$FN$41:$FO$41)</f>
        <v>433080</v>
      </c>
      <c r="P51" s="354">
        <f>SUM('[3]Sun Country'!$EZ$41:$FA$41)</f>
        <v>409910</v>
      </c>
      <c r="Q51" s="353">
        <f>(O51-P51)/P51</f>
        <v>5.6524602961625724E-2</v>
      </c>
      <c r="R51" s="355">
        <f>O51/$O$65</f>
        <v>8.3013225991949394E-2</v>
      </c>
      <c r="S51" s="20"/>
    </row>
    <row r="52" spans="1:20" s="7" customFormat="1" ht="14.1" customHeight="1" x14ac:dyDescent="0.2">
      <c r="A52" s="351"/>
      <c r="B52" s="365"/>
      <c r="C52" s="352"/>
      <c r="D52" s="354"/>
      <c r="E52" s="355"/>
      <c r="F52" s="354"/>
      <c r="G52" s="354"/>
      <c r="H52" s="353"/>
      <c r="I52" s="355"/>
      <c r="J52" s="351"/>
      <c r="K52" s="365"/>
      <c r="L52" s="356"/>
      <c r="M52" s="9"/>
      <c r="N52" s="86"/>
      <c r="O52" s="356"/>
      <c r="P52" s="9"/>
      <c r="Q52" s="39"/>
      <c r="R52" s="86"/>
      <c r="S52" s="20"/>
    </row>
    <row r="53" spans="1:20" s="7" customFormat="1" ht="14.1" customHeight="1" x14ac:dyDescent="0.2">
      <c r="A53" s="351" t="s">
        <v>19</v>
      </c>
      <c r="B53" s="359"/>
      <c r="C53" s="352">
        <f>SUM(C54:C60)</f>
        <v>1370</v>
      </c>
      <c r="D53" s="354">
        <f>SUM(D54:D60)</f>
        <v>1368</v>
      </c>
      <c r="E53" s="355">
        <f t="shared" ref="E53:E60" si="12">(C53-D53)/D53</f>
        <v>1.4619883040935672E-3</v>
      </c>
      <c r="F53" s="354">
        <f>SUM(F54:F60)</f>
        <v>2686</v>
      </c>
      <c r="G53" s="354">
        <f>SUM(G54:G60)</f>
        <v>2838</v>
      </c>
      <c r="H53" s="353">
        <f t="shared" ref="H53:H60" si="13">(F53-G53)/G53</f>
        <v>-5.3558844256518676E-2</v>
      </c>
      <c r="I53" s="355">
        <f t="shared" ref="I53:I60" si="14">F53/$F$65</f>
        <v>4.8949392232974322E-2</v>
      </c>
      <c r="J53" s="351" t="s">
        <v>19</v>
      </c>
      <c r="K53" s="359"/>
      <c r="L53" s="352">
        <f>SUM(L54:L60)</f>
        <v>120190</v>
      </c>
      <c r="M53" s="354">
        <f>SUM(M54:M60)</f>
        <v>112667</v>
      </c>
      <c r="N53" s="355">
        <f t="shared" ref="N53:N60" si="15">(L53-M53)/M53</f>
        <v>6.677199179884083E-2</v>
      </c>
      <c r="O53" s="352">
        <f>SUM(O54:O60)</f>
        <v>232602</v>
      </c>
      <c r="P53" s="354">
        <f>SUM(P54:P60)</f>
        <v>233736</v>
      </c>
      <c r="Q53" s="353">
        <f t="shared" ref="Q53:Q60" si="16">(O53-P53)/P53</f>
        <v>-4.8516274771537122E-3</v>
      </c>
      <c r="R53" s="355">
        <f t="shared" ref="R53:R60" si="17">O53/$O$65</f>
        <v>4.4585393904542837E-2</v>
      </c>
      <c r="S53" s="20"/>
      <c r="T53"/>
    </row>
    <row r="54" spans="1:20" s="7" customFormat="1" ht="14.1" customHeight="1" x14ac:dyDescent="0.2">
      <c r="A54" s="366"/>
      <c r="B54" s="427" t="s">
        <v>19</v>
      </c>
      <c r="C54" s="356">
        <f>[3]United!$FO$19</f>
        <v>564</v>
      </c>
      <c r="D54" s="9">
        <f>[3]United!$FA$19+[3]Continental!$FA$19</f>
        <v>594</v>
      </c>
      <c r="E54" s="86">
        <f t="shared" si="12"/>
        <v>-5.0505050505050504E-2</v>
      </c>
      <c r="F54" s="9">
        <f>SUM([3]United!$FN$19:$FO$19)</f>
        <v>1022</v>
      </c>
      <c r="G54" s="9">
        <f>SUM([3]United!$EZ$19:$FA$19)+SUM([3]Continental!$EZ$19:$FA$19)</f>
        <v>1174</v>
      </c>
      <c r="H54" s="39">
        <f t="shared" si="13"/>
        <v>-0.12947189097103917</v>
      </c>
      <c r="I54" s="86">
        <f t="shared" si="14"/>
        <v>1.862482459497385E-2</v>
      </c>
      <c r="J54" s="366"/>
      <c r="K54" s="427" t="s">
        <v>19</v>
      </c>
      <c r="L54" s="356">
        <f>[3]United!$FO$41</f>
        <v>70680</v>
      </c>
      <c r="M54" s="9">
        <f>[3]United!$FA$41+[3]Continental!$FA$41</f>
        <v>67971</v>
      </c>
      <c r="N54" s="86">
        <f t="shared" si="15"/>
        <v>3.9855232378514363E-2</v>
      </c>
      <c r="O54" s="356">
        <f>SUM([3]United!$FN$41:$FO$41)</f>
        <v>128494</v>
      </c>
      <c r="P54" s="9">
        <f>SUM([3]United!$EZ$41:$FA$41)+SUM([3]Continental!$EZ$41:$FA$41)</f>
        <v>135078</v>
      </c>
      <c r="Q54" s="39">
        <f t="shared" si="16"/>
        <v>-4.8742208205629342E-2</v>
      </c>
      <c r="R54" s="86">
        <f t="shared" si="17"/>
        <v>2.4629863906459652E-2</v>
      </c>
      <c r="S54" s="20"/>
    </row>
    <row r="55" spans="1:20" s="7" customFormat="1" ht="14.1" customHeight="1" x14ac:dyDescent="0.2">
      <c r="A55" s="366"/>
      <c r="B55" s="429" t="s">
        <v>174</v>
      </c>
      <c r="C55" s="356">
        <f>'[3]Continental Express'!$FO$19</f>
        <v>14</v>
      </c>
      <c r="D55" s="9">
        <f>'[3]Continental Express'!$FA$19</f>
        <v>40</v>
      </c>
      <c r="E55" s="86">
        <f t="shared" si="12"/>
        <v>-0.65</v>
      </c>
      <c r="F55" s="9">
        <f>SUM('[3]Continental Express'!$FN$19:$FO$19)</f>
        <v>26</v>
      </c>
      <c r="G55" s="9">
        <f>SUM('[3]Continental Express'!$EZ$19:$FA$19)</f>
        <v>64</v>
      </c>
      <c r="H55" s="39">
        <f t="shared" si="13"/>
        <v>-0.59375</v>
      </c>
      <c r="I55" s="86">
        <f t="shared" si="14"/>
        <v>4.7382136934375743E-4</v>
      </c>
      <c r="J55" s="53"/>
      <c r="K55" s="427" t="s">
        <v>174</v>
      </c>
      <c r="L55" s="356">
        <f>'[3]Continental Express'!$FO$41</f>
        <v>453</v>
      </c>
      <c r="M55" s="9">
        <f>'[3]Continental Express'!$FA$41</f>
        <v>1332</v>
      </c>
      <c r="N55" s="86">
        <f t="shared" si="15"/>
        <v>-0.65990990990990994</v>
      </c>
      <c r="O55" s="356">
        <f>SUM('[3]Continental Express'!$FN$41:$FO$41)</f>
        <v>940</v>
      </c>
      <c r="P55" s="9">
        <f>SUM('[3]Continental Express'!$EZ$41:$FA$41)</f>
        <v>2326</v>
      </c>
      <c r="Q55" s="39">
        <f t="shared" si="16"/>
        <v>-0.5958727429062769</v>
      </c>
      <c r="R55" s="86">
        <f t="shared" si="17"/>
        <v>1.8018018018018018E-4</v>
      </c>
      <c r="S55" s="20"/>
    </row>
    <row r="56" spans="1:20" s="7" customFormat="1" ht="14.1" customHeight="1" x14ac:dyDescent="0.2">
      <c r="A56" s="366"/>
      <c r="B56" s="361" t="s">
        <v>160</v>
      </c>
      <c r="C56" s="356">
        <f>'[3]Go Jet_UA'!$FO$19</f>
        <v>38</v>
      </c>
      <c r="D56" s="9">
        <f>'[3]Go Jet_UA'!$FA$19</f>
        <v>10</v>
      </c>
      <c r="E56" s="86">
        <f t="shared" si="12"/>
        <v>2.8</v>
      </c>
      <c r="F56" s="9">
        <f>SUM('[3]Go Jet_UA'!$FN$19:$FO$19)</f>
        <v>80</v>
      </c>
      <c r="G56" s="9">
        <f>SUM('[3]Go Jet_UA'!$EZ$19:$FA$19)</f>
        <v>36</v>
      </c>
      <c r="H56" s="39">
        <f t="shared" si="13"/>
        <v>1.2222222222222223</v>
      </c>
      <c r="I56" s="86">
        <f t="shared" si="14"/>
        <v>1.4579119056730998E-3</v>
      </c>
      <c r="J56" s="366"/>
      <c r="K56" s="360" t="s">
        <v>160</v>
      </c>
      <c r="L56" s="356">
        <f>'[3]Go Jet_UA'!$FO$41</f>
        <v>2495</v>
      </c>
      <c r="M56" s="9">
        <f>'[3]Go Jet_UA'!$FA$41</f>
        <v>590</v>
      </c>
      <c r="N56" s="86">
        <f t="shared" si="15"/>
        <v>3.2288135593220337</v>
      </c>
      <c r="O56" s="356">
        <f>SUM('[3]Go Jet_UA'!$FN$41:$FO$41)</f>
        <v>5227</v>
      </c>
      <c r="P56" s="9">
        <f>SUM('[3]Go Jet_UA'!$EZ$41:$FA$41)</f>
        <v>2259</v>
      </c>
      <c r="Q56" s="39">
        <f t="shared" si="16"/>
        <v>1.3138556883576804</v>
      </c>
      <c r="R56" s="86">
        <f t="shared" si="17"/>
        <v>1.0019168104274487E-3</v>
      </c>
      <c r="S56" s="20"/>
    </row>
    <row r="57" spans="1:20" s="7" customFormat="1" ht="14.1" customHeight="1" x14ac:dyDescent="0.2">
      <c r="A57" s="366"/>
      <c r="B57" s="361" t="s">
        <v>51</v>
      </c>
      <c r="C57" s="356">
        <f>[3]MESA_UA!$FO$19</f>
        <v>262</v>
      </c>
      <c r="D57" s="9">
        <f>[3]MESA_UA!$FA$19</f>
        <v>274</v>
      </c>
      <c r="E57" s="86">
        <f t="shared" si="12"/>
        <v>-4.3795620437956206E-2</v>
      </c>
      <c r="F57" s="9">
        <f>SUM([3]MESA_UA!$FN$19:$FO$19)</f>
        <v>478</v>
      </c>
      <c r="G57" s="9">
        <f>SUM([3]MESA_UA!$EZ$19:$FA$19)</f>
        <v>582</v>
      </c>
      <c r="H57" s="39">
        <f>(F57-G57)/G57</f>
        <v>-0.17869415807560138</v>
      </c>
      <c r="I57" s="86">
        <f t="shared" si="14"/>
        <v>8.7110236363967704E-3</v>
      </c>
      <c r="J57" s="366"/>
      <c r="K57" s="360" t="s">
        <v>51</v>
      </c>
      <c r="L57" s="356">
        <f>[3]MESA_UA!$FO$41</f>
        <v>15549</v>
      </c>
      <c r="M57" s="9">
        <f>[3]MESA_UA!$FA$41</f>
        <v>15679</v>
      </c>
      <c r="N57" s="86">
        <f t="shared" si="15"/>
        <v>-8.2913451112953639E-3</v>
      </c>
      <c r="O57" s="356">
        <f>SUM([3]MESA_UA!$FN$41:$FO$41)</f>
        <v>28688</v>
      </c>
      <c r="P57" s="9">
        <f>SUM([3]MESA_UA!$EZ$41:$FA$41)</f>
        <v>33991</v>
      </c>
      <c r="Q57" s="39">
        <f t="shared" si="16"/>
        <v>-0.15601188549910269</v>
      </c>
      <c r="R57" s="86">
        <f t="shared" si="17"/>
        <v>5.498945754264903E-3</v>
      </c>
      <c r="S57" s="20"/>
    </row>
    <row r="58" spans="1:20" s="7" customFormat="1" ht="14.1" customHeight="1" x14ac:dyDescent="0.2">
      <c r="A58" s="366"/>
      <c r="B58" s="429" t="s">
        <v>52</v>
      </c>
      <c r="C58" s="356">
        <f>[3]Republic_UA!$FO$19</f>
        <v>350</v>
      </c>
      <c r="D58" s="9">
        <f>[3]Republic_UA!$FA$19</f>
        <v>198</v>
      </c>
      <c r="E58" s="86">
        <f t="shared" si="12"/>
        <v>0.76767676767676762</v>
      </c>
      <c r="F58" s="9">
        <f>SUM([3]Republic_UA!$FN$19:$FO$19)</f>
        <v>738</v>
      </c>
      <c r="G58" s="9">
        <f>SUM([3]Republic_UA!$EZ$19:$FA$19)</f>
        <v>432</v>
      </c>
      <c r="H58" s="39">
        <f t="shared" ref="H58" si="18">(F58-G58)/G58</f>
        <v>0.70833333333333337</v>
      </c>
      <c r="I58" s="86">
        <f t="shared" si="14"/>
        <v>1.3449237329834345E-2</v>
      </c>
      <c r="J58" s="366"/>
      <c r="K58" s="429" t="s">
        <v>52</v>
      </c>
      <c r="L58" s="356">
        <f>[3]Republic_UA!$FO$41</f>
        <v>21276</v>
      </c>
      <c r="M58" s="9">
        <f>[3]Republic_UA!$FA$41</f>
        <v>10499</v>
      </c>
      <c r="N58" s="86">
        <f t="shared" si="15"/>
        <v>1.0264787122583103</v>
      </c>
      <c r="O58" s="356">
        <f>SUM([3]Republic_UA!$FN$41:$FO$41)</f>
        <v>45836</v>
      </c>
      <c r="P58" s="9">
        <f>SUM([3]Republic_UA!$EZ$41:$FA$41)</f>
        <v>23630</v>
      </c>
      <c r="Q58" s="39">
        <f t="shared" si="16"/>
        <v>0.93973762166737196</v>
      </c>
      <c r="R58" s="86">
        <f t="shared" si="17"/>
        <v>8.7858922752539776E-3</v>
      </c>
      <c r="S58" s="20"/>
    </row>
    <row r="59" spans="1:20" s="7" customFormat="1" ht="14.1" customHeight="1" x14ac:dyDescent="0.2">
      <c r="A59" s="366"/>
      <c r="B59" s="361" t="s">
        <v>100</v>
      </c>
      <c r="C59" s="356">
        <f>'[3]Sky West_UA'!$FO$19</f>
        <v>142</v>
      </c>
      <c r="D59" s="9">
        <f>'[3]Sky West_UA'!$FA$19+'[3]Sky West_CO'!$FA$19</f>
        <v>252</v>
      </c>
      <c r="E59" s="86">
        <f t="shared" si="12"/>
        <v>-0.43650793650793651</v>
      </c>
      <c r="F59" s="9">
        <f>SUM('[3]Sky West_UA'!$FN$19:$FO$19)</f>
        <v>342</v>
      </c>
      <c r="G59" s="9">
        <f>SUM('[3]Sky West_UA'!$EZ$19:$FA$19)+SUM('[3]Sky West_CO'!$EZ$19:$FA$19)</f>
        <v>526</v>
      </c>
      <c r="H59" s="39">
        <f t="shared" si="13"/>
        <v>-0.34980988593155893</v>
      </c>
      <c r="I59" s="86">
        <f t="shared" si="14"/>
        <v>6.2325733967525014E-3</v>
      </c>
      <c r="J59" s="366"/>
      <c r="K59" s="360" t="s">
        <v>100</v>
      </c>
      <c r="L59" s="356">
        <f>'[3]Sky West_UA'!$FO$41</f>
        <v>9737</v>
      </c>
      <c r="M59" s="9">
        <f>'[3]Sky West_UA'!$FA$41+'[3]Sky West_CO'!$FA$41</f>
        <v>16596</v>
      </c>
      <c r="N59" s="86">
        <f t="shared" si="15"/>
        <v>-0.41329235960472405</v>
      </c>
      <c r="O59" s="356">
        <f>SUM('[3]Sky West_UA'!$FN$41:$FO$41)</f>
        <v>23417</v>
      </c>
      <c r="P59" s="9">
        <f>SUM('[3]Sky West_UA'!$EZ$41:$FA$41)+SUM('[3]Sky West_CO'!$EZ$41:$FA$41)</f>
        <v>35179</v>
      </c>
      <c r="Q59" s="39">
        <f t="shared" si="16"/>
        <v>-0.33434719577020383</v>
      </c>
      <c r="R59" s="86">
        <f t="shared" si="17"/>
        <v>4.4885949779566803E-3</v>
      </c>
      <c r="S59" s="20"/>
    </row>
    <row r="60" spans="1:20" s="7" customFormat="1" ht="14.1" customHeight="1" x14ac:dyDescent="0.2">
      <c r="A60" s="366"/>
      <c r="B60" s="362" t="s">
        <v>134</v>
      </c>
      <c r="C60" s="356">
        <f>'[3]Shuttle America'!$FO$19</f>
        <v>0</v>
      </c>
      <c r="D60" s="9">
        <f>'[3]Shuttle America'!$FA$19</f>
        <v>0</v>
      </c>
      <c r="E60" s="86" t="e">
        <f t="shared" si="12"/>
        <v>#DIV/0!</v>
      </c>
      <c r="F60" s="9">
        <f>SUM('[3]Shuttle America'!$FN$19:$FO$19)</f>
        <v>0</v>
      </c>
      <c r="G60" s="9">
        <f>SUM('[3]Shuttle America'!$EZ$19:$FA$19)</f>
        <v>24</v>
      </c>
      <c r="H60" s="39">
        <f t="shared" si="13"/>
        <v>-1</v>
      </c>
      <c r="I60" s="86">
        <f t="shared" si="14"/>
        <v>0</v>
      </c>
      <c r="J60" s="366"/>
      <c r="K60" s="362" t="s">
        <v>134</v>
      </c>
      <c r="L60" s="356">
        <f>'[3]Shuttle America'!$FO$41</f>
        <v>0</v>
      </c>
      <c r="M60" s="9">
        <f>'[3]Shuttle America'!$FA$41</f>
        <v>0</v>
      </c>
      <c r="N60" s="86" t="e">
        <f t="shared" si="15"/>
        <v>#DIV/0!</v>
      </c>
      <c r="O60" s="356">
        <f>SUM('[3]Shuttle America'!$FN$41:$FO$41)</f>
        <v>0</v>
      </c>
      <c r="P60" s="9">
        <f>SUM('[3]Shuttle America'!$EZ$41:$FA$41)</f>
        <v>1273</v>
      </c>
      <c r="Q60" s="39">
        <f t="shared" si="16"/>
        <v>-1</v>
      </c>
      <c r="R60" s="86">
        <f t="shared" si="17"/>
        <v>0</v>
      </c>
      <c r="S60" s="20"/>
    </row>
    <row r="61" spans="1:20" s="7" customFormat="1" ht="14.1" customHeight="1" thickBot="1" x14ac:dyDescent="0.25">
      <c r="A61" s="432"/>
      <c r="B61" s="433"/>
      <c r="C61" s="367"/>
      <c r="D61" s="369"/>
      <c r="E61" s="370"/>
      <c r="F61" s="371"/>
      <c r="G61" s="371"/>
      <c r="H61" s="368"/>
      <c r="I61" s="370"/>
      <c r="J61" s="432"/>
      <c r="K61" s="433"/>
      <c r="L61" s="367"/>
      <c r="M61" s="371"/>
      <c r="N61" s="370"/>
      <c r="O61" s="367"/>
      <c r="P61" s="371"/>
      <c r="Q61" s="368"/>
      <c r="R61" s="476"/>
      <c r="S61" s="20"/>
    </row>
    <row r="62" spans="1:20" s="229" customFormat="1" ht="14.1" customHeight="1" thickBot="1" x14ac:dyDescent="0.25">
      <c r="B62" s="264"/>
      <c r="C62" s="354"/>
      <c r="D62" s="354"/>
      <c r="E62" s="353"/>
      <c r="F62" s="431"/>
      <c r="G62" s="354"/>
      <c r="H62" s="353"/>
      <c r="I62" s="353"/>
      <c r="J62" s="372"/>
      <c r="K62" s="264"/>
      <c r="L62" s="373"/>
      <c r="M62" s="374"/>
      <c r="N62" s="372"/>
      <c r="O62" s="230"/>
      <c r="P62" s="230"/>
      <c r="Q62" s="230"/>
      <c r="R62" s="495"/>
      <c r="S62" s="228"/>
      <c r="T62"/>
    </row>
    <row r="63" spans="1:20" ht="14.1" customHeight="1" x14ac:dyDescent="0.2">
      <c r="B63" s="375" t="s">
        <v>136</v>
      </c>
      <c r="C63" s="443">
        <f>+C65-C64</f>
        <v>16029</v>
      </c>
      <c r="D63" s="444">
        <f>+D65-D64</f>
        <v>15972</v>
      </c>
      <c r="E63" s="445">
        <f>(C63-D63)/D63</f>
        <v>3.5687453042824945E-3</v>
      </c>
      <c r="F63" s="443">
        <f t="shared" ref="F63:G63" si="19">+F65-F64</f>
        <v>32744</v>
      </c>
      <c r="G63" s="444">
        <f t="shared" si="19"/>
        <v>32891</v>
      </c>
      <c r="H63" s="450">
        <f>(F63-G63)/G63</f>
        <v>-4.4693077133562374E-3</v>
      </c>
      <c r="I63" s="506">
        <f>F63/$F$65</f>
        <v>0.59672334299199969</v>
      </c>
      <c r="K63" s="375" t="s">
        <v>136</v>
      </c>
      <c r="L63" s="443">
        <f>+L65-L64</f>
        <v>2062235</v>
      </c>
      <c r="M63" s="444">
        <f>+M65-M64</f>
        <v>1977865</v>
      </c>
      <c r="N63" s="445">
        <f>(L63-M63)/M63</f>
        <v>4.2657107537673197E-2</v>
      </c>
      <c r="O63" s="443">
        <f t="shared" ref="O63" si="20">+O65-O64</f>
        <v>4110800</v>
      </c>
      <c r="P63" s="444">
        <f>+P65-P64</f>
        <v>3987968</v>
      </c>
      <c r="Q63" s="493">
        <f>(O63-P63)/P63</f>
        <v>3.0800648350237516E-2</v>
      </c>
      <c r="R63" s="499">
        <f>+O63/O65</f>
        <v>0.78796243051562198</v>
      </c>
    </row>
    <row r="64" spans="1:20" ht="14.1" customHeight="1" x14ac:dyDescent="0.2">
      <c r="B64" s="329" t="s">
        <v>137</v>
      </c>
      <c r="C64" s="446">
        <f>C60+C38+C36+C34+C33+C37+C20+C59+C56+C35+C55+C57+C25+C24+C21+C15+C6+C58+C22+C23+C7+C16</f>
        <v>10925</v>
      </c>
      <c r="D64" s="376">
        <f>D60+D38+D36+D34+D33+D37+D20+D59+D56+D35+D55+D57+D25+D24+D21+D15+D6+D58+D22+D23+D7+D16</f>
        <v>11218</v>
      </c>
      <c r="E64" s="377">
        <f>(C64-D64)/D64</f>
        <v>-2.6118737742913175E-2</v>
      </c>
      <c r="F64" s="446">
        <f>F60+F38+F36+F34+F33+F37+F20+F59+F56+F35+F55+F57+F25+F24+F21+F15+F6+F58+F22+F23+F7+F16</f>
        <v>22129</v>
      </c>
      <c r="G64" s="376">
        <f>G60+G38+G36+G34+G33+G37+G20+G59+G56+G35+G55+G57+G25+G24+G21+G15+G6+G58+G22+G23+G7+G16</f>
        <v>23460</v>
      </c>
      <c r="H64" s="451">
        <f>(F64-G64)/G64</f>
        <v>-5.6734867860187554E-2</v>
      </c>
      <c r="I64" s="507">
        <f>F64/$F$65</f>
        <v>0.40327665700800031</v>
      </c>
      <c r="K64" s="329" t="s">
        <v>137</v>
      </c>
      <c r="L64" s="446">
        <f>L60+L38+L36+L34+L33+L37+L20+L59+L56+L35+L55+L57+L25+L24+L21+L15+L6+L58+L22+L23+L7+L16</f>
        <v>562528</v>
      </c>
      <c r="M64" s="376">
        <f>M60+M38+M36+M34+M33+M37+M20+M59+M56+M35+M55+M57+M25+M24+M21+M15+M6+M58+M22+M23+M7+M16</f>
        <v>544459</v>
      </c>
      <c r="N64" s="377">
        <f>(L64-M64)/M64</f>
        <v>3.3187071937464528E-2</v>
      </c>
      <c r="O64" s="446">
        <f>O60+O38+O36+O34+O33+O37+O20+O59+O56+O35+O55+O57+O25+O24+O21+O15+O6+O58+O22+O23+O7+O16</f>
        <v>1106200</v>
      </c>
      <c r="P64" s="376">
        <f>P60+P38+P36+P34+P33+P37+P20+P59+P56+P35+P55+P57+P25+P24+P21+P15+P6+P58+P22+P23+P7+P16</f>
        <v>1133999</v>
      </c>
      <c r="Q64" s="491">
        <f>(O64-P64)/P64</f>
        <v>-2.4514130964842121E-2</v>
      </c>
      <c r="R64" s="500">
        <f>+O64/O65</f>
        <v>0.21203756948437799</v>
      </c>
    </row>
    <row r="65" spans="2:18" ht="14.1" customHeight="1" thickBot="1" x14ac:dyDescent="0.25">
      <c r="B65" s="329" t="s">
        <v>138</v>
      </c>
      <c r="C65" s="447">
        <f>C53+C51+C46+C42+C40+C31+C18+C13+C4+C49+C29+C27+C9+C44+C11</f>
        <v>26954</v>
      </c>
      <c r="D65" s="448">
        <f>D53+D51+D46+D42+D40+D31+D18+D13+D4+D49+D29+D27+D9+D44+D11</f>
        <v>27190</v>
      </c>
      <c r="E65" s="449">
        <f>(C65-D65)/D65</f>
        <v>-8.6796616403089378E-3</v>
      </c>
      <c r="F65" s="447">
        <f>F53+F51+F46+F42+F40+F31+F18+F13+F4+F49+F29+F27+F9+F44+F11</f>
        <v>54873</v>
      </c>
      <c r="G65" s="448">
        <f>G53+G51+G46+G42+G40+G31+G18+G13+G4+G49+G29+G27+G9+G44+G11</f>
        <v>56351</v>
      </c>
      <c r="H65" s="452">
        <f>(F65-G65)/G65</f>
        <v>-2.6228460896878494E-2</v>
      </c>
      <c r="I65" s="508">
        <f>+H65/H65</f>
        <v>1</v>
      </c>
      <c r="K65" s="329" t="s">
        <v>138</v>
      </c>
      <c r="L65" s="447">
        <f>L53+L51+L46+L42+L40+L31+L18+L13+L4+L49+L29+L27+L9+L44+L11</f>
        <v>2624763</v>
      </c>
      <c r="M65" s="448">
        <f>M53+M51+M46+M42+M40+M31+M18+M13+M4+M49+M29+M27+M9+M44+M11</f>
        <v>2522324</v>
      </c>
      <c r="N65" s="449">
        <f>(L65-M65)/M65</f>
        <v>4.0612942667159334E-2</v>
      </c>
      <c r="O65" s="447">
        <f>O53+O51+O46+O42+O40+O31+O18+O13+O4+O49+O29+O27+O9+O44+O11</f>
        <v>5217000</v>
      </c>
      <c r="P65" s="448">
        <f>P53+P51+P46+P42+P40+P31+P18+P13+P4+P49+P29+P27+P9+P44+P11</f>
        <v>5121967</v>
      </c>
      <c r="Q65" s="494">
        <f>(O65-P65)/P65</f>
        <v>1.8554004740756823E-2</v>
      </c>
      <c r="R65" s="501">
        <f>+O65/O65</f>
        <v>1</v>
      </c>
    </row>
    <row r="66" spans="2:18" x14ac:dyDescent="0.2">
      <c r="D66" s="227"/>
      <c r="E66" s="227"/>
      <c r="F66" s="4"/>
      <c r="G66" s="7"/>
      <c r="H66"/>
      <c r="I66"/>
      <c r="J66"/>
      <c r="K66"/>
      <c r="M66"/>
      <c r="N66"/>
    </row>
    <row r="67" spans="2:18" x14ac:dyDescent="0.2">
      <c r="D67" s="3"/>
      <c r="F67" s="4"/>
      <c r="G67"/>
      <c r="H67"/>
      <c r="I67"/>
      <c r="J67"/>
      <c r="K67"/>
      <c r="L67"/>
      <c r="M67"/>
      <c r="N67"/>
    </row>
    <row r="68" spans="2:18" x14ac:dyDescent="0.2">
      <c r="F68"/>
      <c r="G68"/>
      <c r="H68"/>
      <c r="I68"/>
      <c r="J68"/>
      <c r="K68"/>
      <c r="N68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E1189" s="37"/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  <row r="4704" spans="6:11" x14ac:dyDescent="0.2">
      <c r="F4704" s="231"/>
      <c r="G4704" s="5"/>
      <c r="H4704" s="37"/>
      <c r="I4704" s="37"/>
      <c r="K4704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February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C10" activeCellId="1" sqref="C5 C1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81">
        <v>43132</v>
      </c>
      <c r="B1" s="440" t="s">
        <v>17</v>
      </c>
      <c r="C1" s="440" t="s">
        <v>18</v>
      </c>
      <c r="D1" s="440" t="s">
        <v>19</v>
      </c>
      <c r="E1" s="440" t="s">
        <v>161</v>
      </c>
      <c r="F1" s="440" t="s">
        <v>168</v>
      </c>
      <c r="G1" s="440" t="s">
        <v>162</v>
      </c>
      <c r="H1" s="510" t="s">
        <v>216</v>
      </c>
      <c r="I1" s="440" t="s">
        <v>20</v>
      </c>
      <c r="J1" s="441" t="s">
        <v>21</v>
      </c>
    </row>
    <row r="2" spans="1:19" ht="15" x14ac:dyDescent="0.25">
      <c r="A2" s="64" t="s">
        <v>3</v>
      </c>
      <c r="B2" s="58"/>
      <c r="C2" s="58"/>
      <c r="D2" s="58"/>
      <c r="E2" s="58"/>
      <c r="F2" s="58"/>
      <c r="G2" s="58"/>
      <c r="H2" s="509"/>
      <c r="I2" s="58"/>
      <c r="J2" s="280"/>
    </row>
    <row r="3" spans="1:19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55"/>
    </row>
    <row r="4" spans="1:19" x14ac:dyDescent="0.2">
      <c r="A4" s="62" t="s">
        <v>30</v>
      </c>
      <c r="B4" s="21">
        <f>[3]American!$FO$22</f>
        <v>66157</v>
      </c>
      <c r="C4" s="21">
        <f>[3]Delta!$FO$22+[3]Delta!$FO$32</f>
        <v>658061</v>
      </c>
      <c r="D4" s="21">
        <f>[3]United!$FO$22</f>
        <v>35060</v>
      </c>
      <c r="E4" s="21">
        <f>[3]Spirit!$FO$22</f>
        <v>44602</v>
      </c>
      <c r="F4" s="21">
        <f>[3]Condor!$FO$22</f>
        <v>0</v>
      </c>
      <c r="G4" s="21">
        <f>'[3]Air France'!$FO$22</f>
        <v>0</v>
      </c>
      <c r="H4" s="21">
        <f>[3]KLM!$FO$22+[3]KLM!$FO$32</f>
        <v>2187</v>
      </c>
      <c r="I4" s="21">
        <f>'Other Major Airline Stats'!J5</f>
        <v>203746</v>
      </c>
      <c r="J4" s="281">
        <f>SUM(B4:I4)</f>
        <v>1009813</v>
      </c>
    </row>
    <row r="5" spans="1:19" x14ac:dyDescent="0.2">
      <c r="A5" s="62" t="s">
        <v>31</v>
      </c>
      <c r="B5" s="14">
        <f>[3]American!$FO$23</f>
        <v>68846</v>
      </c>
      <c r="C5" s="14">
        <f>[3]Delta!$FO$23+[3]Delta!$FO$33</f>
        <v>676524</v>
      </c>
      <c r="D5" s="14">
        <f>[3]United!$FO$23</f>
        <v>35620</v>
      </c>
      <c r="E5" s="14">
        <f>[3]Spirit!$FO$23</f>
        <v>48918</v>
      </c>
      <c r="F5" s="14">
        <f>[3]Condor!$FO$23</f>
        <v>0</v>
      </c>
      <c r="G5" s="14">
        <f>'[3]Air France'!$FO$23</f>
        <v>0</v>
      </c>
      <c r="H5" s="14">
        <f>[3]KLM!$FO$23+[3]KLM!$FO$33</f>
        <v>1897</v>
      </c>
      <c r="I5" s="14">
        <f>'Other Major Airline Stats'!J6</f>
        <v>220617</v>
      </c>
      <c r="J5" s="282">
        <f>SUM(B5:I5)</f>
        <v>1052422</v>
      </c>
      <c r="L5" s="309"/>
      <c r="M5" s="309"/>
      <c r="N5" s="309"/>
      <c r="O5" s="309"/>
      <c r="P5" s="309"/>
      <c r="Q5" s="309"/>
      <c r="R5" s="309"/>
      <c r="S5" s="309"/>
    </row>
    <row r="6" spans="1:19" ht="15" x14ac:dyDescent="0.25">
      <c r="A6" s="60" t="s">
        <v>7</v>
      </c>
      <c r="B6" s="34">
        <f t="shared" ref="B6:I6" si="0">SUM(B4:B5)</f>
        <v>135003</v>
      </c>
      <c r="C6" s="34">
        <f t="shared" si="0"/>
        <v>1334585</v>
      </c>
      <c r="D6" s="34">
        <f t="shared" si="0"/>
        <v>70680</v>
      </c>
      <c r="E6" s="34">
        <f t="shared" si="0"/>
        <v>93520</v>
      </c>
      <c r="F6" s="34">
        <f t="shared" ref="F6:H6" si="1">SUM(F4:F5)</f>
        <v>0</v>
      </c>
      <c r="G6" s="34">
        <f t="shared" si="1"/>
        <v>0</v>
      </c>
      <c r="H6" s="34">
        <f t="shared" si="1"/>
        <v>4084</v>
      </c>
      <c r="I6" s="34">
        <f t="shared" si="0"/>
        <v>424363</v>
      </c>
      <c r="J6" s="283">
        <f>SUM(B6:I6)</f>
        <v>2062235</v>
      </c>
    </row>
    <row r="7" spans="1:19" x14ac:dyDescent="0.2">
      <c r="A7" s="62"/>
      <c r="B7" s="21"/>
      <c r="C7" s="21"/>
      <c r="D7" s="21"/>
      <c r="E7" s="21"/>
      <c r="F7" s="21"/>
      <c r="G7" s="21"/>
      <c r="H7" s="21"/>
      <c r="I7" s="21"/>
      <c r="J7" s="281"/>
    </row>
    <row r="8" spans="1:19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81">
        <f>SUM(B8:I8)</f>
        <v>0</v>
      </c>
    </row>
    <row r="9" spans="1:19" x14ac:dyDescent="0.2">
      <c r="A9" s="62" t="s">
        <v>30</v>
      </c>
      <c r="B9" s="21">
        <f>[3]American!$FO$27</f>
        <v>2211</v>
      </c>
      <c r="C9" s="21">
        <f>[3]Delta!$FO$27+[3]Delta!$FO$37</f>
        <v>25592</v>
      </c>
      <c r="D9" s="21">
        <f>[3]United!$FO$27</f>
        <v>942</v>
      </c>
      <c r="E9" s="21">
        <f>[3]Spirit!$FO$27</f>
        <v>342</v>
      </c>
      <c r="F9" s="21">
        <f>[3]Condor!$FO$27</f>
        <v>0</v>
      </c>
      <c r="G9" s="21">
        <f>'[3]Air France'!$FO$27</f>
        <v>0</v>
      </c>
      <c r="H9" s="21">
        <f>[3]KLM!$FO$27+[3]KLM!$FO$37</f>
        <v>24</v>
      </c>
      <c r="I9" s="21">
        <f>'Other Major Airline Stats'!J10</f>
        <v>3230</v>
      </c>
      <c r="J9" s="281">
        <f>SUM(B9:I9)</f>
        <v>32341</v>
      </c>
    </row>
    <row r="10" spans="1:19" x14ac:dyDescent="0.2">
      <c r="A10" s="62" t="s">
        <v>33</v>
      </c>
      <c r="B10" s="14">
        <f>[3]American!$FO$28</f>
        <v>2461</v>
      </c>
      <c r="C10" s="14">
        <f>[3]Delta!$FO$28+[3]Delta!$FO$38</f>
        <v>24789</v>
      </c>
      <c r="D10" s="14">
        <f>[3]United!$FO$28</f>
        <v>1081</v>
      </c>
      <c r="E10" s="14">
        <f>[3]Spirit!$FO$28</f>
        <v>386</v>
      </c>
      <c r="F10" s="14">
        <f>[3]Condor!$FO$28</f>
        <v>0</v>
      </c>
      <c r="G10" s="14">
        <f>'[3]Air France'!$FO$28</f>
        <v>0</v>
      </c>
      <c r="H10" s="14">
        <f>[3]KLM!$FO$28+[3]KLM!$FO$38</f>
        <v>14</v>
      </c>
      <c r="I10" s="14">
        <f>'Other Major Airline Stats'!J11</f>
        <v>3672</v>
      </c>
      <c r="J10" s="282">
        <f>SUM(B10:I10)</f>
        <v>32403</v>
      </c>
    </row>
    <row r="11" spans="1:19" ht="15.75" thickBot="1" x14ac:dyDescent="0.3">
      <c r="A11" s="63" t="s">
        <v>34</v>
      </c>
      <c r="B11" s="284">
        <f t="shared" ref="B11:I11" si="2">SUM(B9:B10)</f>
        <v>4672</v>
      </c>
      <c r="C11" s="284">
        <f t="shared" si="2"/>
        <v>50381</v>
      </c>
      <c r="D11" s="284">
        <f t="shared" si="2"/>
        <v>2023</v>
      </c>
      <c r="E11" s="284">
        <f t="shared" si="2"/>
        <v>728</v>
      </c>
      <c r="F11" s="284">
        <f t="shared" ref="F11:H11" si="3">SUM(F9:F10)</f>
        <v>0</v>
      </c>
      <c r="G11" s="284">
        <f t="shared" si="3"/>
        <v>0</v>
      </c>
      <c r="H11" s="284">
        <f t="shared" si="3"/>
        <v>38</v>
      </c>
      <c r="I11" s="284">
        <f t="shared" si="2"/>
        <v>6902</v>
      </c>
      <c r="J11" s="285">
        <f>SUM(B11:I11)</f>
        <v>64744</v>
      </c>
    </row>
    <row r="13" spans="1:19" ht="13.5" thickBot="1" x14ac:dyDescent="0.25"/>
    <row r="14" spans="1:19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9" x14ac:dyDescent="0.2">
      <c r="A15" s="62" t="s">
        <v>22</v>
      </c>
      <c r="B15" s="21">
        <f>[3]American!$FO$4</f>
        <v>539</v>
      </c>
      <c r="C15" s="21">
        <f>[3]Delta!$FO$4+[3]Delta!$FO$15</f>
        <v>4912</v>
      </c>
      <c r="D15" s="21">
        <f>[3]United!$FO$4</f>
        <v>282</v>
      </c>
      <c r="E15" s="21">
        <f>[3]Spirit!$FO$4</f>
        <v>343</v>
      </c>
      <c r="F15" s="21">
        <f>[3]Condor!$FO$4</f>
        <v>0</v>
      </c>
      <c r="G15" s="21">
        <f>'[3]Air France'!$FO$4</f>
        <v>0</v>
      </c>
      <c r="H15" s="21">
        <f>[3]KLM!$FO$4+[3]KLM!$FO$15</f>
        <v>12</v>
      </c>
      <c r="I15" s="21">
        <f>'Other Major Airline Stats'!J16</f>
        <v>1834</v>
      </c>
      <c r="J15" s="27">
        <f>SUM(B15:I15)</f>
        <v>7922</v>
      </c>
    </row>
    <row r="16" spans="1:19" x14ac:dyDescent="0.2">
      <c r="A16" s="62" t="s">
        <v>23</v>
      </c>
      <c r="B16" s="14">
        <f>[3]American!$FO$5</f>
        <v>540</v>
      </c>
      <c r="C16" s="14">
        <f>[3]Delta!$FO$5+[3]Delta!$FO$16</f>
        <v>4917</v>
      </c>
      <c r="D16" s="14">
        <f>[3]United!$FO$5</f>
        <v>282</v>
      </c>
      <c r="E16" s="14">
        <f>[3]Spirit!$FO$5</f>
        <v>343</v>
      </c>
      <c r="F16" s="14">
        <f>[3]Condor!$FO$5</f>
        <v>0</v>
      </c>
      <c r="G16" s="14">
        <f>'[3]Air France'!$FO$5</f>
        <v>0</v>
      </c>
      <c r="H16" s="14">
        <f>[3]KLM!$FO$5+[3]KLM!$FO$16</f>
        <v>12</v>
      </c>
      <c r="I16" s="14">
        <f>'Other Major Airline Stats'!J17</f>
        <v>1834</v>
      </c>
      <c r="J16" s="33">
        <f>SUM(B16:I16)</f>
        <v>7928</v>
      </c>
    </row>
    <row r="17" spans="1:10" x14ac:dyDescent="0.2">
      <c r="A17" s="62" t="s">
        <v>24</v>
      </c>
      <c r="B17" s="288">
        <f t="shared" ref="B17:I17" si="4">SUM(B15:B16)</f>
        <v>1079</v>
      </c>
      <c r="C17" s="286">
        <f t="shared" si="4"/>
        <v>9829</v>
      </c>
      <c r="D17" s="286">
        <f t="shared" si="4"/>
        <v>564</v>
      </c>
      <c r="E17" s="286">
        <f t="shared" si="4"/>
        <v>686</v>
      </c>
      <c r="F17" s="286">
        <f t="shared" ref="F17:H17" si="5">SUM(F15:F16)</f>
        <v>0</v>
      </c>
      <c r="G17" s="286">
        <f t="shared" si="5"/>
        <v>0</v>
      </c>
      <c r="H17" s="286">
        <f t="shared" si="5"/>
        <v>24</v>
      </c>
      <c r="I17" s="286">
        <f t="shared" si="4"/>
        <v>3668</v>
      </c>
      <c r="J17" s="287">
        <f>SUM(B17:I17)</f>
        <v>15850</v>
      </c>
    </row>
    <row r="18" spans="1:10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7"/>
    </row>
    <row r="19" spans="1:10" x14ac:dyDescent="0.2">
      <c r="A19" s="62" t="s">
        <v>25</v>
      </c>
      <c r="B19" s="21">
        <f>[3]American!$FO$8</f>
        <v>0</v>
      </c>
      <c r="C19" s="21">
        <f>[3]Delta!$FO$8</f>
        <v>7</v>
      </c>
      <c r="D19" s="21">
        <f>[3]United!$FO$8</f>
        <v>0</v>
      </c>
      <c r="E19" s="21">
        <f>[3]Spirit!$FO$8</f>
        <v>0</v>
      </c>
      <c r="F19" s="21">
        <f>[3]Condor!$FO$8</f>
        <v>0</v>
      </c>
      <c r="G19" s="21">
        <f>'[3]Air France'!$FO$8</f>
        <v>0</v>
      </c>
      <c r="H19" s="21">
        <f>[3]KLM!$FO$8</f>
        <v>0</v>
      </c>
      <c r="I19" s="21">
        <f>'Other Major Airline Stats'!J20</f>
        <v>89</v>
      </c>
      <c r="J19" s="27">
        <f>SUM(B19:I19)</f>
        <v>96</v>
      </c>
    </row>
    <row r="20" spans="1:10" x14ac:dyDescent="0.2">
      <c r="A20" s="62" t="s">
        <v>26</v>
      </c>
      <c r="B20" s="14">
        <f>[3]American!$FO$9</f>
        <v>0</v>
      </c>
      <c r="C20" s="14">
        <f>[3]Delta!$FO$9</f>
        <v>5</v>
      </c>
      <c r="D20" s="14">
        <f>[3]United!$FO$9</f>
        <v>0</v>
      </c>
      <c r="E20" s="14">
        <f>[3]Spirit!$FO$9</f>
        <v>0</v>
      </c>
      <c r="F20" s="14">
        <f>[3]Condor!$FO$9</f>
        <v>0</v>
      </c>
      <c r="G20" s="14">
        <f>'[3]Air France'!$FO$9</f>
        <v>0</v>
      </c>
      <c r="H20" s="14">
        <f>[3]KLM!$FO$9</f>
        <v>0</v>
      </c>
      <c r="I20" s="14">
        <f>'Other Major Airline Stats'!J21</f>
        <v>78</v>
      </c>
      <c r="J20" s="33">
        <f>SUM(B20:I20)</f>
        <v>83</v>
      </c>
    </row>
    <row r="21" spans="1:10" x14ac:dyDescent="0.2">
      <c r="A21" s="62" t="s">
        <v>27</v>
      </c>
      <c r="B21" s="288">
        <f t="shared" ref="B21:I21" si="6">SUM(B19:B20)</f>
        <v>0</v>
      </c>
      <c r="C21" s="286">
        <f t="shared" si="6"/>
        <v>12</v>
      </c>
      <c r="D21" s="286">
        <f t="shared" si="6"/>
        <v>0</v>
      </c>
      <c r="E21" s="286">
        <f t="shared" si="6"/>
        <v>0</v>
      </c>
      <c r="F21" s="286">
        <f t="shared" ref="F21:H21" si="7">SUM(F19:F20)</f>
        <v>0</v>
      </c>
      <c r="G21" s="286">
        <f t="shared" si="7"/>
        <v>0</v>
      </c>
      <c r="H21" s="286">
        <f t="shared" si="7"/>
        <v>0</v>
      </c>
      <c r="I21" s="286">
        <f t="shared" si="6"/>
        <v>167</v>
      </c>
      <c r="J21" s="176">
        <f>SUM(B21:I21)</f>
        <v>179</v>
      </c>
    </row>
    <row r="22" spans="1:10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7"/>
    </row>
    <row r="23" spans="1:10" ht="15.75" thickBot="1" x14ac:dyDescent="0.3">
      <c r="A23" s="63" t="s">
        <v>28</v>
      </c>
      <c r="B23" s="28">
        <f t="shared" ref="B23:I23" si="8">B17+B21</f>
        <v>1079</v>
      </c>
      <c r="C23" s="28">
        <f t="shared" si="8"/>
        <v>9841</v>
      </c>
      <c r="D23" s="28">
        <f t="shared" si="8"/>
        <v>564</v>
      </c>
      <c r="E23" s="28">
        <f>E17+E21</f>
        <v>686</v>
      </c>
      <c r="F23" s="28">
        <f t="shared" ref="F23:H23" si="9">F17+F21</f>
        <v>0</v>
      </c>
      <c r="G23" s="28">
        <f t="shared" si="9"/>
        <v>0</v>
      </c>
      <c r="H23" s="28">
        <f t="shared" si="9"/>
        <v>24</v>
      </c>
      <c r="I23" s="28">
        <f t="shared" si="8"/>
        <v>3835</v>
      </c>
      <c r="J23" s="29">
        <f>SUM(B23:I23)</f>
        <v>16029</v>
      </c>
    </row>
    <row r="25" spans="1:10" ht="13.5" thickBot="1" x14ac:dyDescent="0.25">
      <c r="B25" s="416"/>
      <c r="C25" s="416"/>
      <c r="D25" s="416"/>
      <c r="E25" s="416"/>
      <c r="F25" s="416"/>
      <c r="G25" s="416"/>
      <c r="H25" s="416"/>
      <c r="I25" s="416"/>
    </row>
    <row r="26" spans="1:10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62" t="s">
        <v>37</v>
      </c>
      <c r="B28" s="21">
        <f>[3]American!$FO$47</f>
        <v>3713</v>
      </c>
      <c r="C28" s="21">
        <f>[3]Delta!$FO$47</f>
        <v>4275565</v>
      </c>
      <c r="D28" s="21">
        <f>[3]United!$FO$47</f>
        <v>22610</v>
      </c>
      <c r="E28" s="21">
        <f>[3]Spirit!$FO$47</f>
        <v>0</v>
      </c>
      <c r="F28" s="21">
        <f>[3]Condor!$FO$47</f>
        <v>0</v>
      </c>
      <c r="G28" s="21">
        <f>'[3]Air France'!$FO$47</f>
        <v>0</v>
      </c>
      <c r="H28" s="21">
        <f>[3]KLM!$FO$47</f>
        <v>420349</v>
      </c>
      <c r="I28" s="21">
        <f>'Other Major Airline Stats'!J28</f>
        <v>248608</v>
      </c>
      <c r="J28" s="27">
        <f>SUM(B28:I28)</f>
        <v>4970845</v>
      </c>
    </row>
    <row r="29" spans="1:10" x14ac:dyDescent="0.2">
      <c r="A29" s="62" t="s">
        <v>38</v>
      </c>
      <c r="B29" s="14">
        <f>[3]American!$FO$48</f>
        <v>49134</v>
      </c>
      <c r="C29" s="14">
        <f>[3]Delta!$FO$48</f>
        <v>1187252</v>
      </c>
      <c r="D29" s="14">
        <f>[3]United!$FO$48</f>
        <v>22564</v>
      </c>
      <c r="E29" s="14">
        <f>[3]Spirit!$FO$48</f>
        <v>0</v>
      </c>
      <c r="F29" s="14">
        <f>[3]Condor!$FO$48</f>
        <v>0</v>
      </c>
      <c r="G29" s="14">
        <f>'[3]Air France'!$FO$48</f>
        <v>0</v>
      </c>
      <c r="H29" s="14">
        <f>[3]KLM!$FO$48</f>
        <v>0</v>
      </c>
      <c r="I29" s="14">
        <f>'Other Major Airline Stats'!J29</f>
        <v>464003</v>
      </c>
      <c r="J29" s="33">
        <f>SUM(B29:I29)</f>
        <v>1722953</v>
      </c>
    </row>
    <row r="30" spans="1:10" x14ac:dyDescent="0.2">
      <c r="A30" s="66" t="s">
        <v>39</v>
      </c>
      <c r="B30" s="288">
        <f t="shared" ref="B30:I30" si="10">SUM(B28:B29)</f>
        <v>52847</v>
      </c>
      <c r="C30" s="288">
        <f t="shared" si="10"/>
        <v>5462817</v>
      </c>
      <c r="D30" s="288">
        <f t="shared" si="10"/>
        <v>45174</v>
      </c>
      <c r="E30" s="288">
        <f t="shared" si="10"/>
        <v>0</v>
      </c>
      <c r="F30" s="288">
        <f t="shared" ref="F30:H30" si="11">SUM(F28:F29)</f>
        <v>0</v>
      </c>
      <c r="G30" s="288">
        <f t="shared" si="11"/>
        <v>0</v>
      </c>
      <c r="H30" s="288">
        <f t="shared" si="11"/>
        <v>420349</v>
      </c>
      <c r="I30" s="288">
        <f t="shared" si="10"/>
        <v>712611</v>
      </c>
      <c r="J30" s="27">
        <f>SUM(B30:I30)</f>
        <v>6693798</v>
      </c>
    </row>
    <row r="31" spans="1:10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7"/>
    </row>
    <row r="32" spans="1:10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7">
        <f t="shared" ref="J32:J40" si="12">SUM(B32:I32)</f>
        <v>0</v>
      </c>
    </row>
    <row r="33" spans="1:10" x14ac:dyDescent="0.2">
      <c r="A33" s="62" t="s">
        <v>37</v>
      </c>
      <c r="B33" s="21">
        <f>[3]American!$FO$52</f>
        <v>12874</v>
      </c>
      <c r="C33" s="21">
        <f>[3]Delta!$FO$52</f>
        <v>2622990</v>
      </c>
      <c r="D33" s="21">
        <f>[3]United!$FO$52</f>
        <v>3159</v>
      </c>
      <c r="E33" s="21">
        <f>[3]Spirit!$FO$52</f>
        <v>0</v>
      </c>
      <c r="F33" s="21">
        <f>[3]Condor!$FO$52</f>
        <v>0</v>
      </c>
      <c r="G33" s="21">
        <f>'[3]Air France'!$FO$52</f>
        <v>0</v>
      </c>
      <c r="H33" s="21">
        <f>[3]KLM!$FO$52</f>
        <v>197710</v>
      </c>
      <c r="I33" s="21">
        <f>'Other Major Airline Stats'!J33</f>
        <v>114729</v>
      </c>
      <c r="J33" s="27">
        <f t="shared" si="12"/>
        <v>2951462</v>
      </c>
    </row>
    <row r="34" spans="1:10" x14ac:dyDescent="0.2">
      <c r="A34" s="62" t="s">
        <v>38</v>
      </c>
      <c r="B34" s="14">
        <f>[3]American!$FO$53</f>
        <v>69659</v>
      </c>
      <c r="C34" s="14">
        <f>[3]Delta!$FO$53</f>
        <v>1461574</v>
      </c>
      <c r="D34" s="14">
        <f>[3]United!$FO$53</f>
        <v>88498</v>
      </c>
      <c r="E34" s="14">
        <f>[3]Spirit!$FO$53</f>
        <v>0</v>
      </c>
      <c r="F34" s="14">
        <f>[3]Condor!$FO$53</f>
        <v>0</v>
      </c>
      <c r="G34" s="14">
        <f>'[3]Air France'!$FO$53</f>
        <v>0</v>
      </c>
      <c r="H34" s="14">
        <f>[3]KLM!$FO$53</f>
        <v>0</v>
      </c>
      <c r="I34" s="14">
        <f>'Other Major Airline Stats'!J34</f>
        <v>25368</v>
      </c>
      <c r="J34" s="33">
        <f t="shared" si="12"/>
        <v>1645099</v>
      </c>
    </row>
    <row r="35" spans="1:10" x14ac:dyDescent="0.2">
      <c r="A35" s="66" t="s">
        <v>41</v>
      </c>
      <c r="B35" s="288">
        <f t="shared" ref="B35:I35" si="13">SUM(B33:B34)</f>
        <v>82533</v>
      </c>
      <c r="C35" s="288">
        <f t="shared" si="13"/>
        <v>4084564</v>
      </c>
      <c r="D35" s="288">
        <f t="shared" si="13"/>
        <v>91657</v>
      </c>
      <c r="E35" s="288">
        <f t="shared" si="13"/>
        <v>0</v>
      </c>
      <c r="F35" s="288">
        <f t="shared" ref="F35:H35" si="14">SUM(F33:F34)</f>
        <v>0</v>
      </c>
      <c r="G35" s="288">
        <f t="shared" si="14"/>
        <v>0</v>
      </c>
      <c r="H35" s="288">
        <f t="shared" si="14"/>
        <v>197710</v>
      </c>
      <c r="I35" s="288">
        <f t="shared" si="13"/>
        <v>140097</v>
      </c>
      <c r="J35" s="27">
        <f t="shared" si="12"/>
        <v>4596561</v>
      </c>
    </row>
    <row r="36" spans="1:10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7">
        <f t="shared" si="12"/>
        <v>0</v>
      </c>
    </row>
    <row r="37" spans="1:10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7">
        <f t="shared" si="12"/>
        <v>0</v>
      </c>
    </row>
    <row r="38" spans="1:10" hidden="1" x14ac:dyDescent="0.2">
      <c r="A38" s="62" t="s">
        <v>37</v>
      </c>
      <c r="B38" s="21">
        <f>[3]American!$FO$57</f>
        <v>0</v>
      </c>
      <c r="C38" s="21">
        <f>[3]Delta!$FO$57</f>
        <v>0</v>
      </c>
      <c r="D38" s="21">
        <f>[3]United!$FO$57</f>
        <v>0</v>
      </c>
      <c r="E38" s="21">
        <f>[3]Spirit!$FO$57</f>
        <v>0</v>
      </c>
      <c r="F38" s="21">
        <f>[3]Condor!$FO$57</f>
        <v>0</v>
      </c>
      <c r="G38" s="21">
        <f>'[3]Air France'!$FO$57</f>
        <v>0</v>
      </c>
      <c r="H38" s="21">
        <f>[3]KLM!$FO$57</f>
        <v>0</v>
      </c>
      <c r="I38" s="21">
        <f>'Other Major Airline Stats'!J38</f>
        <v>0</v>
      </c>
      <c r="J38" s="27">
        <f t="shared" si="12"/>
        <v>0</v>
      </c>
    </row>
    <row r="39" spans="1:10" hidden="1" x14ac:dyDescent="0.2">
      <c r="A39" s="62" t="s">
        <v>38</v>
      </c>
      <c r="B39" s="14">
        <f>[3]American!$FO$58</f>
        <v>0</v>
      </c>
      <c r="C39" s="14">
        <f>[3]Delta!$FO$58</f>
        <v>0</v>
      </c>
      <c r="D39" s="14">
        <f>[3]United!$FO$58</f>
        <v>0</v>
      </c>
      <c r="E39" s="14">
        <f>[3]Spirit!$FO$58</f>
        <v>0</v>
      </c>
      <c r="F39" s="14">
        <f>[3]Condor!$FO$58</f>
        <v>0</v>
      </c>
      <c r="G39" s="14">
        <f>'[3]Air France'!$FO$58</f>
        <v>0</v>
      </c>
      <c r="H39" s="14">
        <f>[3]KLM!$FO$58</f>
        <v>0</v>
      </c>
      <c r="I39" s="14">
        <f>'Other Major Airline Stats'!J39</f>
        <v>0</v>
      </c>
      <c r="J39" s="33">
        <f t="shared" si="12"/>
        <v>0</v>
      </c>
    </row>
    <row r="40" spans="1:10" hidden="1" x14ac:dyDescent="0.2">
      <c r="A40" s="66" t="s">
        <v>43</v>
      </c>
      <c r="B40" s="288">
        <f t="shared" ref="B40:I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H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5"/>
        <v>0</v>
      </c>
      <c r="J40" s="27">
        <f t="shared" si="12"/>
        <v>0</v>
      </c>
    </row>
    <row r="41" spans="1:10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7"/>
    </row>
    <row r="42" spans="1:10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7">
        <f>SUM(B42:I42)</f>
        <v>0</v>
      </c>
    </row>
    <row r="43" spans="1:10" x14ac:dyDescent="0.2">
      <c r="A43" s="62" t="s">
        <v>45</v>
      </c>
      <c r="B43" s="21">
        <f t="shared" ref="B43:I44" si="17">B28+B33+B38</f>
        <v>16587</v>
      </c>
      <c r="C43" s="21">
        <f t="shared" si="17"/>
        <v>6898555</v>
      </c>
      <c r="D43" s="21">
        <f t="shared" si="17"/>
        <v>25769</v>
      </c>
      <c r="E43" s="21">
        <f>E28+E33+E38</f>
        <v>0</v>
      </c>
      <c r="F43" s="21">
        <f t="shared" ref="F43:H43" si="18">F28+F33+F38</f>
        <v>0</v>
      </c>
      <c r="G43" s="21">
        <f t="shared" si="18"/>
        <v>0</v>
      </c>
      <c r="H43" s="21">
        <f t="shared" si="18"/>
        <v>618059</v>
      </c>
      <c r="I43" s="21">
        <f t="shared" si="17"/>
        <v>363337</v>
      </c>
      <c r="J43" s="27">
        <f>SUM(B43:I43)</f>
        <v>7922307</v>
      </c>
    </row>
    <row r="44" spans="1:10" x14ac:dyDescent="0.2">
      <c r="A44" s="62" t="s">
        <v>38</v>
      </c>
      <c r="B44" s="14">
        <f t="shared" si="17"/>
        <v>118793</v>
      </c>
      <c r="C44" s="14">
        <f t="shared" si="17"/>
        <v>2648826</v>
      </c>
      <c r="D44" s="14">
        <f t="shared" si="17"/>
        <v>111062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489371</v>
      </c>
      <c r="J44" s="27">
        <f>SUM(B44:I44)</f>
        <v>3368052</v>
      </c>
    </row>
    <row r="45" spans="1:10" ht="15.75" thickBot="1" x14ac:dyDescent="0.3">
      <c r="A45" s="63" t="s">
        <v>46</v>
      </c>
      <c r="B45" s="289">
        <f t="shared" ref="B45:I45" si="20">SUM(B43:B44)</f>
        <v>135380</v>
      </c>
      <c r="C45" s="289">
        <f t="shared" si="20"/>
        <v>9547381</v>
      </c>
      <c r="D45" s="289">
        <f t="shared" si="20"/>
        <v>136831</v>
      </c>
      <c r="E45" s="289">
        <f t="shared" si="20"/>
        <v>0</v>
      </c>
      <c r="F45" s="289">
        <f t="shared" ref="F45:H45" si="21">SUM(F43:F44)</f>
        <v>0</v>
      </c>
      <c r="G45" s="289">
        <f t="shared" si="21"/>
        <v>0</v>
      </c>
      <c r="H45" s="289">
        <f t="shared" si="21"/>
        <v>618059</v>
      </c>
      <c r="I45" s="289">
        <f t="shared" si="20"/>
        <v>852708</v>
      </c>
      <c r="J45" s="290">
        <f>SUM(B45:I45)</f>
        <v>11290359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78" t="s">
        <v>124</v>
      </c>
      <c r="C47" s="319">
        <f>[3]Delta!$FO$70+[3]Delta!$FO$73</f>
        <v>388325</v>
      </c>
      <c r="D47" s="306"/>
      <c r="E47" s="306"/>
      <c r="F47" s="306"/>
      <c r="G47" s="306"/>
      <c r="H47" s="306"/>
      <c r="I47" s="306"/>
      <c r="J47" s="307">
        <f>SUM(B47:I47)</f>
        <v>388325</v>
      </c>
    </row>
    <row r="48" spans="1:10" hidden="1" x14ac:dyDescent="0.2">
      <c r="A48" s="379" t="s">
        <v>125</v>
      </c>
      <c r="C48" s="319">
        <f>[3]Delta!$FO$71+[3]Delta!$FO$74</f>
        <v>288199</v>
      </c>
      <c r="D48" s="306"/>
      <c r="E48" s="306"/>
      <c r="F48" s="306"/>
      <c r="G48" s="306"/>
      <c r="H48" s="306"/>
      <c r="I48" s="306"/>
      <c r="J48" s="307">
        <f>SUM(B48:I48)</f>
        <v>288199</v>
      </c>
    </row>
    <row r="49" spans="1:10" hidden="1" x14ac:dyDescent="0.2">
      <c r="A49" s="380" t="s">
        <v>126</v>
      </c>
      <c r="C49" s="320">
        <f>SUM(C47:C48)</f>
        <v>676524</v>
      </c>
      <c r="J49" s="307">
        <f>SUM(B49:I49)</f>
        <v>676524</v>
      </c>
    </row>
    <row r="50" spans="1:10" x14ac:dyDescent="0.2">
      <c r="A50" s="378" t="s">
        <v>124</v>
      </c>
      <c r="B50" s="390"/>
      <c r="C50" s="322">
        <f>[3]Delta!$FO$70+[3]Delta!$FO$73</f>
        <v>388325</v>
      </c>
      <c r="D50" s="390"/>
      <c r="E50" s="322">
        <f>[3]Spirit!$FO$70+[3]Spirit!$FO$73</f>
        <v>0</v>
      </c>
      <c r="F50" s="390"/>
      <c r="G50" s="390"/>
      <c r="H50" s="390"/>
      <c r="I50" s="321">
        <f>'Other Major Airline Stats'!J48</f>
        <v>191001</v>
      </c>
      <c r="J50" s="310">
        <f>SUM(B50:I50)</f>
        <v>579326</v>
      </c>
    </row>
    <row r="51" spans="1:10" x14ac:dyDescent="0.2">
      <c r="A51" s="392" t="s">
        <v>125</v>
      </c>
      <c r="B51" s="390"/>
      <c r="C51" s="322">
        <f>[3]Delta!$FO$71+[3]Delta!$FO$74</f>
        <v>288199</v>
      </c>
      <c r="D51" s="390"/>
      <c r="E51" s="322">
        <f>[3]Spirit!$FO$71+[3]Spirit!$FO$74</f>
        <v>0</v>
      </c>
      <c r="F51" s="390"/>
      <c r="G51" s="390"/>
      <c r="H51" s="390"/>
      <c r="I51" s="321">
        <f>+'Other Major Airline Stats'!J49</f>
        <v>2484</v>
      </c>
      <c r="J51" s="310">
        <f>SUM(B51:I51)</f>
        <v>290683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February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zoomScaleNormal="100" workbookViewId="0">
      <selection activeCell="D6" sqref="D6:E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81">
        <v>43132</v>
      </c>
      <c r="B2" s="439" t="s">
        <v>47</v>
      </c>
      <c r="C2" s="439" t="s">
        <v>159</v>
      </c>
      <c r="D2" s="438" t="s">
        <v>196</v>
      </c>
      <c r="E2" s="438" t="s">
        <v>197</v>
      </c>
      <c r="F2" s="439" t="s">
        <v>48</v>
      </c>
      <c r="G2" s="438" t="s">
        <v>132</v>
      </c>
      <c r="H2" s="438" t="s">
        <v>49</v>
      </c>
      <c r="I2" s="438" t="s">
        <v>131</v>
      </c>
      <c r="J2" s="272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[3]Frontier!$FO$22</f>
        <v>16533</v>
      </c>
      <c r="C5" s="146">
        <f>'[3]Great Lakes'!$FO$22</f>
        <v>0</v>
      </c>
      <c r="D5" s="118">
        <f>'[3]Air Choice One'!$FO$22</f>
        <v>379</v>
      </c>
      <c r="E5" s="118">
        <f>'[3]Boutique Air'!$FO$22</f>
        <v>340</v>
      </c>
      <c r="F5" s="146">
        <f>[3]Icelandair!$FO$32</f>
        <v>0</v>
      </c>
      <c r="G5" s="118">
        <f>[3]Southwest!$FO$22</f>
        <v>68511</v>
      </c>
      <c r="H5" s="118">
        <f>'[3]Sun Country'!$FO$22+'[3]Sun Country'!$FO$32</f>
        <v>110558</v>
      </c>
      <c r="I5" s="118">
        <f>[3]Alaska!$FO$22</f>
        <v>7425</v>
      </c>
      <c r="J5" s="147">
        <f>SUM(B5:I5)</f>
        <v>203746</v>
      </c>
      <c r="M5" s="130"/>
    </row>
    <row r="6" spans="1:13" x14ac:dyDescent="0.2">
      <c r="A6" s="62" t="s">
        <v>31</v>
      </c>
      <c r="B6" s="146">
        <f>[3]Frontier!$FO$23</f>
        <v>18630</v>
      </c>
      <c r="C6" s="146">
        <f>'[3]Great Lakes'!$FO$23</f>
        <v>0</v>
      </c>
      <c r="D6" s="118">
        <f>'[3]Air Choice One'!$FO$23</f>
        <v>376</v>
      </c>
      <c r="E6" s="118">
        <f>'[3]Boutique Air'!$FO$23</f>
        <v>342</v>
      </c>
      <c r="F6" s="146">
        <f>[3]Icelandair!$FO$33</f>
        <v>0</v>
      </c>
      <c r="G6" s="118">
        <f>[3]Southwest!$FO$23</f>
        <v>71500</v>
      </c>
      <c r="H6" s="118">
        <f>'[3]Sun Country'!$FO$23+'[3]Sun Country'!$FO$33</f>
        <v>121985</v>
      </c>
      <c r="I6" s="118">
        <f>[3]Alaska!$FO$23</f>
        <v>7784</v>
      </c>
      <c r="J6" s="147">
        <f>SUM(B6:I6)</f>
        <v>220617</v>
      </c>
    </row>
    <row r="7" spans="1:13" ht="15" x14ac:dyDescent="0.25">
      <c r="A7" s="60" t="s">
        <v>7</v>
      </c>
      <c r="B7" s="155">
        <f t="shared" ref="B7:I7" si="0">SUM(B5:B6)</f>
        <v>35163</v>
      </c>
      <c r="C7" s="155">
        <f t="shared" si="0"/>
        <v>0</v>
      </c>
      <c r="D7" s="155">
        <f t="shared" ref="D7:E7" si="1">SUM(D5:D6)</f>
        <v>755</v>
      </c>
      <c r="E7" s="155">
        <f t="shared" si="1"/>
        <v>682</v>
      </c>
      <c r="F7" s="155">
        <f t="shared" si="0"/>
        <v>0</v>
      </c>
      <c r="G7" s="155">
        <f t="shared" si="0"/>
        <v>140011</v>
      </c>
      <c r="H7" s="155">
        <f>SUM(H5:H6)</f>
        <v>232543</v>
      </c>
      <c r="I7" s="155">
        <f t="shared" si="0"/>
        <v>15209</v>
      </c>
      <c r="J7" s="156">
        <f>SUM(B7:I7)</f>
        <v>424363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[3]Frontier!$FO$27</f>
        <v>155</v>
      </c>
      <c r="C10" s="154">
        <f>'[3]Great Lakes'!$FO$27</f>
        <v>0</v>
      </c>
      <c r="D10" s="154">
        <f>'[3]Air Choice One'!$FO$27</f>
        <v>0</v>
      </c>
      <c r="E10" s="154">
        <f>'[3]Boutique Air'!$FO$27</f>
        <v>0</v>
      </c>
      <c r="F10" s="154">
        <f>[3]Icelandair!$FO$37</f>
        <v>0</v>
      </c>
      <c r="G10" s="154">
        <f>[3]Southwest!$FO$27</f>
        <v>1235</v>
      </c>
      <c r="H10" s="154">
        <f>'[3]Sun Country'!$FO$27+'[3]Sun Country'!$FO$37</f>
        <v>1456</v>
      </c>
      <c r="I10" s="154">
        <f>[3]Alaska!$FO$27</f>
        <v>384</v>
      </c>
      <c r="J10" s="147">
        <f>SUM(B10:I10)</f>
        <v>3230</v>
      </c>
    </row>
    <row r="11" spans="1:13" x14ac:dyDescent="0.2">
      <c r="A11" s="62" t="s">
        <v>33</v>
      </c>
      <c r="B11" s="157">
        <f>[3]Frontier!$FO$28</f>
        <v>168</v>
      </c>
      <c r="C11" s="157">
        <f>'[3]Great Lakes'!$FO$28</f>
        <v>0</v>
      </c>
      <c r="D11" s="157">
        <f>'[3]Air Choice One'!$FO$28</f>
        <v>0</v>
      </c>
      <c r="E11" s="157">
        <f>'[3]Boutique Air'!$FO$28</f>
        <v>0</v>
      </c>
      <c r="F11" s="157">
        <f>[3]Icelandair!$FO$38</f>
        <v>0</v>
      </c>
      <c r="G11" s="157">
        <f>[3]Southwest!$FO$28</f>
        <v>1378</v>
      </c>
      <c r="H11" s="157">
        <f>'[3]Sun Country'!$FO$28+'[3]Sun Country'!$FO$38</f>
        <v>1655</v>
      </c>
      <c r="I11" s="157">
        <f>[3]Alaska!$FO$28</f>
        <v>471</v>
      </c>
      <c r="J11" s="147">
        <f>SUM(B11:I11)</f>
        <v>3672</v>
      </c>
    </row>
    <row r="12" spans="1:13" ht="15.75" thickBot="1" x14ac:dyDescent="0.3">
      <c r="A12" s="63" t="s">
        <v>34</v>
      </c>
      <c r="B12" s="150">
        <f t="shared" ref="B12:I12" si="2">SUM(B10:B11)</f>
        <v>323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0</v>
      </c>
      <c r="G12" s="150">
        <f t="shared" si="2"/>
        <v>2613</v>
      </c>
      <c r="H12" s="150">
        <f>SUM(H10:H11)</f>
        <v>3111</v>
      </c>
      <c r="I12" s="150">
        <f t="shared" si="2"/>
        <v>855</v>
      </c>
      <c r="J12" s="158">
        <f>SUM(B12:I12)</f>
        <v>6902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[3]Frontier!$FO$4</f>
        <v>111</v>
      </c>
      <c r="C16" s="146">
        <f>'[3]Great Lakes'!$FO$4</f>
        <v>0</v>
      </c>
      <c r="D16" s="106">
        <f>'[3]Air Choice One'!$FO$4</f>
        <v>105</v>
      </c>
      <c r="E16" s="106">
        <f>'[3]Boutique Air'!$FO$4</f>
        <v>69</v>
      </c>
      <c r="F16" s="146">
        <f>[3]Icelandair!$FO$15</f>
        <v>0</v>
      </c>
      <c r="G16" s="106">
        <f>[3]Southwest!$FO$4</f>
        <v>572</v>
      </c>
      <c r="H16" s="118">
        <f>'[3]Sun Country'!$FO$4+'[3]Sun Country'!$FO$15</f>
        <v>921</v>
      </c>
      <c r="I16" s="118">
        <f>[3]Alaska!$FO$4</f>
        <v>56</v>
      </c>
      <c r="J16" s="147">
        <f>SUM(B16:I16)</f>
        <v>1834</v>
      </c>
    </row>
    <row r="17" spans="1:257" x14ac:dyDescent="0.2">
      <c r="A17" s="62" t="s">
        <v>23</v>
      </c>
      <c r="B17" s="146">
        <f>[3]Frontier!$FO$5</f>
        <v>111</v>
      </c>
      <c r="C17" s="146">
        <f>'[3]Great Lakes'!$FO$5</f>
        <v>0</v>
      </c>
      <c r="D17" s="106">
        <f>'[3]Air Choice One'!$FO$5</f>
        <v>105</v>
      </c>
      <c r="E17" s="106">
        <f>'[3]Boutique Air'!$FO$5</f>
        <v>69</v>
      </c>
      <c r="F17" s="146">
        <f>[3]Icelandair!$FO$16</f>
        <v>0</v>
      </c>
      <c r="G17" s="106">
        <f>[3]Southwest!$FO$5</f>
        <v>572</v>
      </c>
      <c r="H17" s="118">
        <f>'[3]Sun Country'!$FO$5+'[3]Sun Country'!$FO$16</f>
        <v>921</v>
      </c>
      <c r="I17" s="118">
        <f>[3]Alaska!$FO$5</f>
        <v>56</v>
      </c>
      <c r="J17" s="147">
        <f>SUM(B17:I17)</f>
        <v>1834</v>
      </c>
    </row>
    <row r="18" spans="1:257" x14ac:dyDescent="0.2">
      <c r="A18" s="66" t="s">
        <v>24</v>
      </c>
      <c r="B18" s="148">
        <f t="shared" ref="B18:I18" si="4">SUM(B16:B17)</f>
        <v>222</v>
      </c>
      <c r="C18" s="148">
        <f t="shared" si="4"/>
        <v>0</v>
      </c>
      <c r="D18" s="148">
        <f t="shared" ref="D18:E18" si="5">SUM(D16:D17)</f>
        <v>210</v>
      </c>
      <c r="E18" s="148">
        <f t="shared" si="5"/>
        <v>138</v>
      </c>
      <c r="F18" s="148">
        <f t="shared" si="4"/>
        <v>0</v>
      </c>
      <c r="G18" s="148">
        <f t="shared" si="4"/>
        <v>1144</v>
      </c>
      <c r="H18" s="148">
        <f t="shared" si="4"/>
        <v>1842</v>
      </c>
      <c r="I18" s="148">
        <f t="shared" si="4"/>
        <v>112</v>
      </c>
      <c r="J18" s="149">
        <f>SUM(B18:I18)</f>
        <v>3668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[3]Frontier!$FO$8</f>
        <v>0</v>
      </c>
      <c r="C20" s="146">
        <f>'[3]Great Lakes'!$FO$8</f>
        <v>0</v>
      </c>
      <c r="D20" s="118">
        <f>'[3]Air Choice One'!$FO$8</f>
        <v>0</v>
      </c>
      <c r="E20" s="118">
        <f>'[3]Boutique Air'!$FO$8</f>
        <v>0</v>
      </c>
      <c r="F20" s="146">
        <f>[3]Icelandair!$FO$8</f>
        <v>0</v>
      </c>
      <c r="G20" s="118">
        <f>[3]Southwest!$FO$8</f>
        <v>17</v>
      </c>
      <c r="H20" s="118">
        <f>'[3]Sun Country'!$FO$8</f>
        <v>71</v>
      </c>
      <c r="I20" s="118">
        <f>[3]Alaska!$FO$8</f>
        <v>1</v>
      </c>
      <c r="J20" s="147">
        <f>SUM(B20:I20)</f>
        <v>89</v>
      </c>
    </row>
    <row r="21" spans="1:257" x14ac:dyDescent="0.2">
      <c r="A21" s="62" t="s">
        <v>26</v>
      </c>
      <c r="B21" s="146">
        <f>[3]Frontier!$FO$9</f>
        <v>0</v>
      </c>
      <c r="C21" s="146">
        <f>'[3]Great Lakes'!$FO$9</f>
        <v>0</v>
      </c>
      <c r="D21" s="118">
        <f>'[3]Air Choice One'!$FO$9</f>
        <v>0</v>
      </c>
      <c r="E21" s="118">
        <f>'[3]Boutique Air'!$FO$9</f>
        <v>0</v>
      </c>
      <c r="F21" s="146">
        <f>[3]Icelandair!$FO$9</f>
        <v>0</v>
      </c>
      <c r="G21" s="118">
        <f>[3]Southwest!$FO$9</f>
        <v>6</v>
      </c>
      <c r="H21" s="118">
        <f>'[3]Sun Country'!$FO$9</f>
        <v>71</v>
      </c>
      <c r="I21" s="118">
        <f>[3]Alaska!$FO$9</f>
        <v>1</v>
      </c>
      <c r="J21" s="147">
        <f>SUM(B21:I21)</f>
        <v>78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23</v>
      </c>
      <c r="H22" s="148">
        <f t="shared" si="6"/>
        <v>142</v>
      </c>
      <c r="I22" s="148">
        <f t="shared" si="6"/>
        <v>2</v>
      </c>
      <c r="J22" s="149">
        <f>SUM(B22:I22)</f>
        <v>167</v>
      </c>
    </row>
    <row r="23" spans="1:257" ht="15.75" thickBot="1" x14ac:dyDescent="0.3">
      <c r="A23" s="63" t="s">
        <v>28</v>
      </c>
      <c r="B23" s="150">
        <f t="shared" ref="B23:I23" si="8">B22+B18</f>
        <v>222</v>
      </c>
      <c r="C23" s="150">
        <f t="shared" si="8"/>
        <v>0</v>
      </c>
      <c r="D23" s="150">
        <f t="shared" ref="D23:E23" si="9">D22+D18</f>
        <v>210</v>
      </c>
      <c r="E23" s="150">
        <f t="shared" si="9"/>
        <v>138</v>
      </c>
      <c r="F23" s="150">
        <f t="shared" si="8"/>
        <v>0</v>
      </c>
      <c r="G23" s="150">
        <f t="shared" si="8"/>
        <v>1167</v>
      </c>
      <c r="H23" s="150">
        <f t="shared" si="8"/>
        <v>1984</v>
      </c>
      <c r="I23" s="150">
        <f t="shared" si="8"/>
        <v>114</v>
      </c>
      <c r="J23" s="151">
        <f>SUM(B23:I23)</f>
        <v>3835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6"/>
      <c r="C25" s="416"/>
      <c r="D25" s="416"/>
      <c r="E25" s="416"/>
      <c r="F25" s="416"/>
      <c r="G25" s="416"/>
      <c r="H25" s="416"/>
      <c r="I25" s="416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[3]Frontier!$FO$47</f>
        <v>0</v>
      </c>
      <c r="C28" s="146">
        <f>'[3]Great Lakes'!$FO$47</f>
        <v>0</v>
      </c>
      <c r="D28" s="118">
        <f>'[3]Air Choice One'!$FO$47</f>
        <v>0</v>
      </c>
      <c r="E28" s="118">
        <f>'[3]Boutique Air'!$FO$47</f>
        <v>0</v>
      </c>
      <c r="F28" s="146">
        <f>[3]Icelandair!$FO$47</f>
        <v>0</v>
      </c>
      <c r="G28" s="118">
        <f>[3]Southwest!$FO$47</f>
        <v>162844</v>
      </c>
      <c r="H28" s="118">
        <f>'[3]Sun Country'!$FO$47</f>
        <v>84274</v>
      </c>
      <c r="I28" s="118">
        <f>[3]Alaska!$FO$47</f>
        <v>1490</v>
      </c>
      <c r="J28" s="147">
        <f>SUM(B28:I28)</f>
        <v>248608</v>
      </c>
    </row>
    <row r="29" spans="1:257" x14ac:dyDescent="0.2">
      <c r="A29" s="62" t="s">
        <v>38</v>
      </c>
      <c r="B29" s="146">
        <f>[3]Frontier!$FO$48</f>
        <v>0</v>
      </c>
      <c r="C29" s="146">
        <f>'[3]Great Lakes'!$FO$48</f>
        <v>0</v>
      </c>
      <c r="D29" s="118">
        <f>'[3]Air Choice One'!$FO$48</f>
        <v>0</v>
      </c>
      <c r="E29" s="118">
        <f>'[3]Boutique Air'!$FO$48</f>
        <v>0</v>
      </c>
      <c r="F29" s="146">
        <f>[3]Icelandair!$FO$48</f>
        <v>0</v>
      </c>
      <c r="G29" s="118">
        <f>[3]Southwest!$FO$48</f>
        <v>0</v>
      </c>
      <c r="H29" s="118">
        <f>'[3]Sun Country'!$FO$48</f>
        <v>461350</v>
      </c>
      <c r="I29" s="118">
        <f>[3]Alaska!$FO$48</f>
        <v>2653</v>
      </c>
      <c r="J29" s="147">
        <f>SUM(B29:I29)</f>
        <v>464003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0</v>
      </c>
      <c r="G30" s="162">
        <f t="shared" si="10"/>
        <v>162844</v>
      </c>
      <c r="H30" s="162">
        <f t="shared" si="10"/>
        <v>545624</v>
      </c>
      <c r="I30" s="162">
        <f t="shared" si="10"/>
        <v>4143</v>
      </c>
      <c r="J30" s="165">
        <f>SUM(B30:I30)</f>
        <v>712611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[3]Frontier!$FO$52</f>
        <v>0</v>
      </c>
      <c r="C33" s="146">
        <f>'[3]Great Lakes'!$FO$52</f>
        <v>0</v>
      </c>
      <c r="D33" s="118">
        <f>'[3]Air Choice One'!$FO$52</f>
        <v>0</v>
      </c>
      <c r="E33" s="118">
        <f>'[3]Boutique Air'!$FO$52</f>
        <v>0</v>
      </c>
      <c r="F33" s="146">
        <f>[3]Icelandair!$FO$52</f>
        <v>0</v>
      </c>
      <c r="G33" s="118">
        <f>[3]Southwest!$FO$52</f>
        <v>61595</v>
      </c>
      <c r="H33" s="118">
        <f>'[3]Sun Country'!$FO$52</f>
        <v>45897</v>
      </c>
      <c r="I33" s="118">
        <f>[3]Alaska!$FO$52</f>
        <v>7237</v>
      </c>
      <c r="J33" s="147">
        <f>SUM(B33:I33)</f>
        <v>114729</v>
      </c>
    </row>
    <row r="34" spans="1:10" x14ac:dyDescent="0.2">
      <c r="A34" s="62" t="s">
        <v>38</v>
      </c>
      <c r="B34" s="146">
        <f>[3]Frontier!$FO$53</f>
        <v>0</v>
      </c>
      <c r="C34" s="146">
        <f>'[3]Great Lakes'!$FO$53</f>
        <v>0</v>
      </c>
      <c r="D34" s="118">
        <f>'[3]Air Choice One'!$FO$53</f>
        <v>0</v>
      </c>
      <c r="E34" s="118">
        <f>'[3]Boutique Air'!$FO$53</f>
        <v>0</v>
      </c>
      <c r="F34" s="146">
        <f>[3]Icelandair!$FO$53</f>
        <v>0</v>
      </c>
      <c r="G34" s="118">
        <f>[3]Southwest!$FO$53</f>
        <v>0</v>
      </c>
      <c r="H34" s="118">
        <f>'[3]Sun Country'!$FO$53</f>
        <v>24104</v>
      </c>
      <c r="I34" s="118">
        <f>[3]Alaska!$FO$53</f>
        <v>1264</v>
      </c>
      <c r="J34" s="163">
        <f>SUM(B34:I34)</f>
        <v>25368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0</v>
      </c>
      <c r="G35" s="164">
        <f t="shared" si="12"/>
        <v>61595</v>
      </c>
      <c r="H35" s="164">
        <f t="shared" si="12"/>
        <v>70001</v>
      </c>
      <c r="I35" s="164">
        <f t="shared" si="12"/>
        <v>8501</v>
      </c>
      <c r="J35" s="165">
        <f>SUM(B35:I35)</f>
        <v>140097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[3]Frontier!$FO$57</f>
        <v>0</v>
      </c>
      <c r="C38" s="154">
        <f>'[3]Great Lakes'!$FO$57</f>
        <v>0</v>
      </c>
      <c r="D38" s="154">
        <f>'[3]Air Choice One'!$FO$57</f>
        <v>0</v>
      </c>
      <c r="E38" s="154">
        <f>'[3]Boutique Air'!$FO$57</f>
        <v>0</v>
      </c>
      <c r="F38" s="154">
        <f>[3]Icelandair!$FO$57</f>
        <v>0</v>
      </c>
      <c r="G38" s="154">
        <f>[3]Southwest!$FO$57</f>
        <v>0</v>
      </c>
      <c r="H38" s="154">
        <f>'[3]Sun Country'!$FO$57</f>
        <v>0</v>
      </c>
      <c r="I38" s="154">
        <f>[3]Alaska!$FO$57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[3]Frontier!$FO$58</f>
        <v>0</v>
      </c>
      <c r="C39" s="157">
        <f>'[3]Great Lakes'!$FO$58</f>
        <v>0</v>
      </c>
      <c r="D39" s="157">
        <f>'[3]Air Choice One'!$FO$58</f>
        <v>0</v>
      </c>
      <c r="E39" s="157">
        <f>'[3]Boutique Air'!$FO$58</f>
        <v>0</v>
      </c>
      <c r="F39" s="157">
        <f>[3]Icelandair!$FO$58</f>
        <v>0</v>
      </c>
      <c r="G39" s="157">
        <f>[3]Southwest!$FO$58</f>
        <v>0</v>
      </c>
      <c r="H39" s="157">
        <f>'[3]Sun Country'!$FO$58</f>
        <v>0</v>
      </c>
      <c r="I39" s="157">
        <f>[3]Alaska!$FO$58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0</v>
      </c>
      <c r="G43" s="154">
        <f t="shared" si="16"/>
        <v>224439</v>
      </c>
      <c r="H43" s="154">
        <f t="shared" si="16"/>
        <v>130171</v>
      </c>
      <c r="I43" s="154">
        <f t="shared" si="16"/>
        <v>8727</v>
      </c>
      <c r="J43" s="147">
        <f>SUM(B43:I43)</f>
        <v>363337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485454</v>
      </c>
      <c r="I44" s="157">
        <f t="shared" si="18"/>
        <v>3917</v>
      </c>
      <c r="J44" s="147">
        <f>SUM(B44:I44)</f>
        <v>489371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0</v>
      </c>
      <c r="G45" s="167">
        <f t="shared" si="20"/>
        <v>224439</v>
      </c>
      <c r="H45" s="167">
        <f t="shared" si="20"/>
        <v>615625</v>
      </c>
      <c r="I45" s="167">
        <f t="shared" si="20"/>
        <v>12644</v>
      </c>
      <c r="J45" s="168">
        <f>SUM(B45:I45)</f>
        <v>852708</v>
      </c>
    </row>
    <row r="48" spans="1:10" x14ac:dyDescent="0.2">
      <c r="A48" s="378" t="s">
        <v>124</v>
      </c>
      <c r="B48" s="390"/>
      <c r="C48" s="390"/>
      <c r="D48" s="390"/>
      <c r="E48" s="390"/>
      <c r="G48" s="322">
        <f>[3]Southwest!$FO$70+[3]Southwest!$FO$73</f>
        <v>71012</v>
      </c>
      <c r="H48" s="322">
        <f>'[3]Sun Country'!$FO$70+'[3]Sun Country'!$FO$73</f>
        <v>119989</v>
      </c>
      <c r="I48" s="390"/>
      <c r="J48" s="310">
        <f>SUM(B48:I48)</f>
        <v>191001</v>
      </c>
    </row>
    <row r="49" spans="1:10" x14ac:dyDescent="0.2">
      <c r="A49" s="392" t="s">
        <v>125</v>
      </c>
      <c r="B49" s="390"/>
      <c r="C49" s="390"/>
      <c r="D49" s="390"/>
      <c r="E49" s="390"/>
      <c r="G49" s="322">
        <f>[3]Southwest!$FO$71+[3]Southwest!$FO$74</f>
        <v>488</v>
      </c>
      <c r="H49" s="322">
        <f>'[3]Sun Country'!$FO$71+'[3]Sun Country'!$FO$74</f>
        <v>1996</v>
      </c>
      <c r="I49" s="390"/>
      <c r="J49" s="310">
        <f>SUM(B49:I49)</f>
        <v>2484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February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G12" sqref="G1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8"/>
    </row>
    <row r="2" spans="1:13" s="7" customFormat="1" ht="51.75" thickBot="1" x14ac:dyDescent="0.25">
      <c r="A2" s="381">
        <v>43132</v>
      </c>
      <c r="B2" s="437" t="s">
        <v>163</v>
      </c>
      <c r="C2" s="437" t="s">
        <v>166</v>
      </c>
      <c r="D2" s="437" t="s">
        <v>176</v>
      </c>
      <c r="E2" s="437" t="s">
        <v>175</v>
      </c>
      <c r="F2" s="437" t="s">
        <v>177</v>
      </c>
      <c r="G2" s="437" t="s">
        <v>228</v>
      </c>
      <c r="H2" s="437" t="s">
        <v>181</v>
      </c>
      <c r="I2" s="437" t="s">
        <v>198</v>
      </c>
      <c r="J2" s="437" t="s">
        <v>223</v>
      </c>
      <c r="K2" s="437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[3]Pinnacle!$FO$22+[3]Pinnacle!$FO$32</f>
        <v>56124</v>
      </c>
      <c r="C5" s="132">
        <f>[3]MESA_UA!$FO$22</f>
        <v>7397</v>
      </c>
      <c r="D5" s="130">
        <f>'[3]Sky West'!$FO$22+'[3]Sky West'!$FO$32</f>
        <v>154239</v>
      </c>
      <c r="E5" s="130">
        <f>'[3]Sky West_UA'!$FO$22</f>
        <v>4779</v>
      </c>
      <c r="F5" s="130">
        <f>'[3]Sky West_AS'!$FO$22</f>
        <v>2886</v>
      </c>
      <c r="G5" s="130">
        <f>'[3]Sky West_AA'!$FO$22</f>
        <v>1571</v>
      </c>
      <c r="H5" s="130">
        <f>[3]Republic!$FO$22</f>
        <v>10070</v>
      </c>
      <c r="I5" s="130">
        <f>[3]Republic_UA!$FO$22</f>
        <v>10567</v>
      </c>
      <c r="J5" s="130">
        <f>'[3]Sky Regional'!$FO$32</f>
        <v>3744</v>
      </c>
      <c r="K5" s="130">
        <f>'[3]American Eagle'!$FO$22</f>
        <v>1075</v>
      </c>
      <c r="L5" s="130">
        <f>'Other Regional'!M5</f>
        <v>28424</v>
      </c>
      <c r="M5" s="110">
        <f>SUM(B5:L5)</f>
        <v>280876</v>
      </c>
    </row>
    <row r="6" spans="1:13" s="10" customFormat="1" x14ac:dyDescent="0.2">
      <c r="A6" s="62" t="s">
        <v>31</v>
      </c>
      <c r="B6" s="131">
        <f>[3]Pinnacle!$FO$23+[3]Pinnacle!$FO$33</f>
        <v>56758</v>
      </c>
      <c r="C6" s="132">
        <f>[3]MESA_UA!$FO$23</f>
        <v>8152</v>
      </c>
      <c r="D6" s="130">
        <f>'[3]Sky West'!$FO$23+'[3]Sky West'!$FO$33</f>
        <v>153540</v>
      </c>
      <c r="E6" s="130">
        <f>'[3]Sky West_UA'!$FO$23</f>
        <v>4958</v>
      </c>
      <c r="F6" s="130">
        <f>'[3]Sky West_AS'!$FO$23</f>
        <v>2810</v>
      </c>
      <c r="G6" s="130">
        <f>'[3]Sky West_AA'!$FO$23</f>
        <v>1539</v>
      </c>
      <c r="H6" s="130">
        <f>[3]Republic!$FO$23</f>
        <v>9714</v>
      </c>
      <c r="I6" s="130">
        <f>[3]Republic_UA!$FO$23</f>
        <v>10709</v>
      </c>
      <c r="J6" s="130">
        <f>'[3]Sky Regional'!$FO$33</f>
        <v>3598</v>
      </c>
      <c r="K6" s="130">
        <f>'[3]American Eagle'!$FO$23</f>
        <v>1107</v>
      </c>
      <c r="L6" s="130">
        <f>'Other Regional'!M6</f>
        <v>28767</v>
      </c>
      <c r="M6" s="115">
        <f>SUM(B6:L6)</f>
        <v>281652</v>
      </c>
    </row>
    <row r="7" spans="1:13" ht="15" thickBot="1" x14ac:dyDescent="0.25">
      <c r="A7" s="73" t="s">
        <v>7</v>
      </c>
      <c r="B7" s="133">
        <f>SUM(B5:B6)</f>
        <v>112882</v>
      </c>
      <c r="C7" s="133">
        <f t="shared" ref="C7:L7" si="0">SUM(C5:C6)</f>
        <v>15549</v>
      </c>
      <c r="D7" s="133">
        <f t="shared" si="0"/>
        <v>307779</v>
      </c>
      <c r="E7" s="133">
        <f t="shared" si="0"/>
        <v>9737</v>
      </c>
      <c r="F7" s="133">
        <f t="shared" ref="F7:G7" si="1">SUM(F5:F6)</f>
        <v>5696</v>
      </c>
      <c r="G7" s="133">
        <f t="shared" si="1"/>
        <v>3110</v>
      </c>
      <c r="H7" s="133">
        <f t="shared" si="0"/>
        <v>19784</v>
      </c>
      <c r="I7" s="133">
        <f t="shared" si="0"/>
        <v>21276</v>
      </c>
      <c r="J7" s="133">
        <f t="shared" si="0"/>
        <v>7342</v>
      </c>
      <c r="K7" s="133">
        <f t="shared" si="0"/>
        <v>2182</v>
      </c>
      <c r="L7" s="133">
        <f t="shared" si="0"/>
        <v>57191</v>
      </c>
      <c r="M7" s="134">
        <f>SUM(B7:L7)</f>
        <v>562528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[3]Pinnacle!$FO$27+[3]Pinnacle!$FO$37</f>
        <v>2335</v>
      </c>
      <c r="C10" s="132">
        <f>[3]MESA_UA!$FO$27</f>
        <v>288</v>
      </c>
      <c r="D10" s="130">
        <f>'[3]Sky West'!$FO$27+'[3]Sky West'!$FO$37</f>
        <v>5604</v>
      </c>
      <c r="E10" s="130">
        <f>'[3]Sky West_UA'!$FO$27</f>
        <v>118</v>
      </c>
      <c r="F10" s="130">
        <f>'[3]Sky West_AS'!$FO$27</f>
        <v>67</v>
      </c>
      <c r="G10" s="130">
        <f>'[3]Sky West_AA'!$FO$27</f>
        <v>54</v>
      </c>
      <c r="H10" s="130">
        <f>[3]Republic!$FO$27</f>
        <v>382</v>
      </c>
      <c r="I10" s="130">
        <f>[3]Republic_UA!$FO$27</f>
        <v>325</v>
      </c>
      <c r="J10" s="130">
        <f>'[3]Sky Regional'!$FO$37</f>
        <v>31</v>
      </c>
      <c r="K10" s="130">
        <f>'[3]American Eagle'!$FO$27</f>
        <v>51</v>
      </c>
      <c r="L10" s="130">
        <f>'Other Regional'!M10</f>
        <v>909</v>
      </c>
      <c r="M10" s="110">
        <f>SUM(B10:L10)</f>
        <v>10164</v>
      </c>
    </row>
    <row r="11" spans="1:13" x14ac:dyDescent="0.2">
      <c r="A11" s="62" t="s">
        <v>33</v>
      </c>
      <c r="B11" s="131">
        <f>[3]Pinnacle!$FO$28+[3]Pinnacle!$FO$38</f>
        <v>2360</v>
      </c>
      <c r="C11" s="132">
        <f>[3]MESA_UA!$FO$28</f>
        <v>272</v>
      </c>
      <c r="D11" s="130">
        <f>'[3]Sky West'!$FO$28+'[3]Sky West'!$FO$38</f>
        <v>5478</v>
      </c>
      <c r="E11" s="130">
        <f>'[3]Sky West_UA'!$FO$28</f>
        <v>120</v>
      </c>
      <c r="F11" s="130">
        <f>'[3]Sky West_AS'!$FO$28</f>
        <v>86</v>
      </c>
      <c r="G11" s="130">
        <f>'[3]Sky West_AA'!$FO$28</f>
        <v>63</v>
      </c>
      <c r="H11" s="130">
        <f>[3]Republic!$FO$28</f>
        <v>440</v>
      </c>
      <c r="I11" s="130">
        <f>[3]Republic_UA!$FO$28</f>
        <v>395</v>
      </c>
      <c r="J11" s="130">
        <f>'[3]Sky Regional'!$FO$38</f>
        <v>29</v>
      </c>
      <c r="K11" s="130">
        <f>'[3]American Eagle'!$FO$28</f>
        <v>48</v>
      </c>
      <c r="L11" s="130">
        <f>'Other Regional'!M11</f>
        <v>864</v>
      </c>
      <c r="M11" s="115">
        <f>SUM(B11:L11)</f>
        <v>10155</v>
      </c>
    </row>
    <row r="12" spans="1:13" ht="15" thickBot="1" x14ac:dyDescent="0.25">
      <c r="A12" s="74" t="s">
        <v>34</v>
      </c>
      <c r="B12" s="136">
        <f t="shared" ref="B12:L12" si="2">SUM(B10:B11)</f>
        <v>4695</v>
      </c>
      <c r="C12" s="136">
        <f t="shared" si="2"/>
        <v>560</v>
      </c>
      <c r="D12" s="136">
        <f t="shared" si="2"/>
        <v>11082</v>
      </c>
      <c r="E12" s="136">
        <f t="shared" si="2"/>
        <v>238</v>
      </c>
      <c r="F12" s="136">
        <f t="shared" ref="F12:G12" si="3">SUM(F10:F11)</f>
        <v>153</v>
      </c>
      <c r="G12" s="136">
        <f t="shared" si="3"/>
        <v>117</v>
      </c>
      <c r="H12" s="136">
        <f t="shared" si="2"/>
        <v>822</v>
      </c>
      <c r="I12" s="136">
        <f t="shared" si="2"/>
        <v>720</v>
      </c>
      <c r="J12" s="136">
        <f t="shared" si="2"/>
        <v>60</v>
      </c>
      <c r="K12" s="136">
        <f t="shared" si="2"/>
        <v>99</v>
      </c>
      <c r="L12" s="136">
        <f t="shared" si="2"/>
        <v>1773</v>
      </c>
      <c r="M12" s="137">
        <f>SUM(B12:L12)</f>
        <v>20319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[3]Pinnacle!$FO$4+[3]Pinnacle!$FO$15</f>
        <v>1015</v>
      </c>
      <c r="C15" s="108">
        <f>[3]MESA_UA!$FO$4</f>
        <v>131</v>
      </c>
      <c r="D15" s="106">
        <f>'[3]Sky West'!$FO$4+'[3]Sky West'!$FO$15</f>
        <v>3203</v>
      </c>
      <c r="E15" s="106">
        <f>'[3]Sky West_UA'!$FO$4</f>
        <v>71</v>
      </c>
      <c r="F15" s="106">
        <f>'[3]Sky West_AS'!$FO$4</f>
        <v>43</v>
      </c>
      <c r="G15" s="106">
        <f>'[3]Sky West_AA'!$FO$4</f>
        <v>24</v>
      </c>
      <c r="H15" s="109">
        <f>[3]Republic!$FO$4</f>
        <v>189</v>
      </c>
      <c r="I15" s="460">
        <f>[3]Republic_UA!$FO$4</f>
        <v>175</v>
      </c>
      <c r="J15" s="460">
        <f>'[3]Sky Regional'!$FO$15</f>
        <v>74</v>
      </c>
      <c r="K15" s="109">
        <f>'[3]American Eagle'!$FO$4</f>
        <v>19</v>
      </c>
      <c r="L15" s="107">
        <f>'Other Regional'!M15</f>
        <v>518</v>
      </c>
      <c r="M15" s="110">
        <f t="shared" ref="M15:M21" si="5">SUM(B15:L15)</f>
        <v>5462</v>
      </c>
    </row>
    <row r="16" spans="1:13" x14ac:dyDescent="0.2">
      <c r="A16" s="62" t="s">
        <v>54</v>
      </c>
      <c r="B16" s="14">
        <f>[3]Pinnacle!$FO$5+[3]Pinnacle!$FO$16</f>
        <v>1012</v>
      </c>
      <c r="C16" s="113">
        <f>[3]MESA_UA!$FO$5</f>
        <v>131</v>
      </c>
      <c r="D16" s="111">
        <f>'[3]Sky West'!$FO$5+'[3]Sky West'!$FO$16</f>
        <v>3194</v>
      </c>
      <c r="E16" s="111">
        <f>'[3]Sky West_UA'!$FO$5</f>
        <v>71</v>
      </c>
      <c r="F16" s="111">
        <f>'[3]Sky West_AS'!$FO$5</f>
        <v>43</v>
      </c>
      <c r="G16" s="111">
        <f>'[3]Sky West_AA'!$FO$5</f>
        <v>24</v>
      </c>
      <c r="H16" s="114">
        <f>[3]Republic!$FO$5</f>
        <v>190</v>
      </c>
      <c r="I16" s="297">
        <f>[3]Republic_UA!$FO$5</f>
        <v>175</v>
      </c>
      <c r="J16" s="297">
        <f>'[3]Sky Regional'!$FO$16</f>
        <v>74</v>
      </c>
      <c r="K16" s="114">
        <f>'[3]American Eagle'!$FO$5</f>
        <v>19</v>
      </c>
      <c r="L16" s="112">
        <f>'Other Regional'!M16</f>
        <v>515</v>
      </c>
      <c r="M16" s="115">
        <f t="shared" si="5"/>
        <v>5448</v>
      </c>
    </row>
    <row r="17" spans="1:13" x14ac:dyDescent="0.2">
      <c r="A17" s="71" t="s">
        <v>55</v>
      </c>
      <c r="B17" s="116">
        <f t="shared" ref="B17:K17" si="6">SUM(B15:B16)</f>
        <v>2027</v>
      </c>
      <c r="C17" s="116">
        <f t="shared" si="6"/>
        <v>262</v>
      </c>
      <c r="D17" s="116">
        <f t="shared" si="6"/>
        <v>6397</v>
      </c>
      <c r="E17" s="116">
        <f t="shared" si="6"/>
        <v>142</v>
      </c>
      <c r="F17" s="116">
        <f t="shared" ref="F17:G17" si="7">SUM(F15:F16)</f>
        <v>86</v>
      </c>
      <c r="G17" s="116">
        <f t="shared" si="7"/>
        <v>48</v>
      </c>
      <c r="H17" s="116">
        <f t="shared" si="6"/>
        <v>379</v>
      </c>
      <c r="I17" s="116">
        <f t="shared" ref="I17:J17" si="8">SUM(I15:I16)</f>
        <v>350</v>
      </c>
      <c r="J17" s="116">
        <f t="shared" si="8"/>
        <v>148</v>
      </c>
      <c r="K17" s="116">
        <f t="shared" si="6"/>
        <v>38</v>
      </c>
      <c r="L17" s="116">
        <f>SUM(L15:L16)</f>
        <v>1033</v>
      </c>
      <c r="M17" s="117">
        <f t="shared" si="5"/>
        <v>10910</v>
      </c>
    </row>
    <row r="18" spans="1:13" x14ac:dyDescent="0.2">
      <c r="A18" s="62" t="s">
        <v>56</v>
      </c>
      <c r="B18" s="118">
        <f>[3]Pinnacle!$FO$8</f>
        <v>0</v>
      </c>
      <c r="C18" s="119">
        <f>[3]MESA_UA!$FO$8</f>
        <v>0</v>
      </c>
      <c r="D18" s="118">
        <f>'[3]Sky West'!$FO$8</f>
        <v>1</v>
      </c>
      <c r="E18" s="118">
        <f>'[3]Sky West_UA'!$FO$8</f>
        <v>0</v>
      </c>
      <c r="F18" s="118">
        <f>'[3]Sky West_AS'!$FO$8</f>
        <v>0</v>
      </c>
      <c r="G18" s="118">
        <f>'[3]Sky West_AA'!$FO$8</f>
        <v>0</v>
      </c>
      <c r="H18" s="118">
        <f>[3]Republic!$FO$8</f>
        <v>0</v>
      </c>
      <c r="I18" s="118">
        <f>[3]Republic_UA!$FO$8</f>
        <v>0</v>
      </c>
      <c r="J18" s="118">
        <f>'[3]Sky Regional'!$FO$8</f>
        <v>0</v>
      </c>
      <c r="K18" s="118">
        <f>'[3]American Eagle'!$FO$8</f>
        <v>0</v>
      </c>
      <c r="L18" s="118">
        <f>'Other Regional'!M18</f>
        <v>0</v>
      </c>
      <c r="M18" s="110">
        <f t="shared" si="5"/>
        <v>1</v>
      </c>
    </row>
    <row r="19" spans="1:13" x14ac:dyDescent="0.2">
      <c r="A19" s="62" t="s">
        <v>57</v>
      </c>
      <c r="B19" s="120">
        <f>[3]Pinnacle!$FO$9</f>
        <v>3</v>
      </c>
      <c r="C19" s="121">
        <f>[3]MESA_UA!$FO$9</f>
        <v>0</v>
      </c>
      <c r="D19" s="120">
        <f>'[3]Sky West'!$FO$9</f>
        <v>8</v>
      </c>
      <c r="E19" s="120">
        <f>'[3]Sky West_UA'!$FO$9</f>
        <v>0</v>
      </c>
      <c r="F19" s="120">
        <f>'[3]Sky West_AS'!$FO$9</f>
        <v>0</v>
      </c>
      <c r="G19" s="120">
        <f>'[3]Sky West_AA'!$FO$9</f>
        <v>0</v>
      </c>
      <c r="H19" s="120">
        <f>[3]Republic!$FO$9</f>
        <v>0</v>
      </c>
      <c r="I19" s="120">
        <f>[3]Republic_UA!$FO$9</f>
        <v>0</v>
      </c>
      <c r="J19" s="120">
        <f>'[3]Sky Regional'!$FO$9</f>
        <v>0</v>
      </c>
      <c r="K19" s="120">
        <f>'[3]American Eagle'!$FO$9</f>
        <v>0</v>
      </c>
      <c r="L19" s="120">
        <f>'Other Regional'!M19</f>
        <v>3</v>
      </c>
      <c r="M19" s="115">
        <f t="shared" si="5"/>
        <v>14</v>
      </c>
    </row>
    <row r="20" spans="1:13" x14ac:dyDescent="0.2">
      <c r="A20" s="71" t="s">
        <v>58</v>
      </c>
      <c r="B20" s="116">
        <f t="shared" ref="B20:L20" si="9">SUM(B18:B19)</f>
        <v>3</v>
      </c>
      <c r="C20" s="116">
        <f t="shared" si="9"/>
        <v>0</v>
      </c>
      <c r="D20" s="116">
        <f t="shared" si="9"/>
        <v>9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3</v>
      </c>
      <c r="M20" s="117">
        <f t="shared" si="5"/>
        <v>15</v>
      </c>
    </row>
    <row r="21" spans="1:13" ht="15.75" thickBot="1" x14ac:dyDescent="0.3">
      <c r="A21" s="72" t="s">
        <v>28</v>
      </c>
      <c r="B21" s="122">
        <f t="shared" ref="B21:K21" si="11">SUM(B20,B17)</f>
        <v>2030</v>
      </c>
      <c r="C21" s="122">
        <f t="shared" si="11"/>
        <v>262</v>
      </c>
      <c r="D21" s="122">
        <f t="shared" si="11"/>
        <v>6406</v>
      </c>
      <c r="E21" s="122">
        <f t="shared" si="11"/>
        <v>142</v>
      </c>
      <c r="F21" s="122">
        <f t="shared" ref="F21:G21" si="12">SUM(F20,F17)</f>
        <v>86</v>
      </c>
      <c r="G21" s="122">
        <f t="shared" si="12"/>
        <v>48</v>
      </c>
      <c r="H21" s="122">
        <f t="shared" si="11"/>
        <v>379</v>
      </c>
      <c r="I21" s="122">
        <f t="shared" si="11"/>
        <v>350</v>
      </c>
      <c r="J21" s="122">
        <f t="shared" si="11"/>
        <v>148</v>
      </c>
      <c r="K21" s="122">
        <f t="shared" si="11"/>
        <v>38</v>
      </c>
      <c r="L21" s="122">
        <f>SUM(L20,L17)</f>
        <v>1036</v>
      </c>
      <c r="M21" s="123">
        <f t="shared" si="5"/>
        <v>10925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[3]Pinnacle!$FO$47</f>
        <v>0</v>
      </c>
      <c r="C25" s="132">
        <f>[3]MESA_UA!$FO$47</f>
        <v>0</v>
      </c>
      <c r="D25" s="130">
        <f>'[3]Sky West'!$FO$47</f>
        <v>0</v>
      </c>
      <c r="E25" s="130">
        <f>'[3]Sky West_UA'!$FO$47</f>
        <v>0</v>
      </c>
      <c r="F25" s="130">
        <f>'[3]Sky West_AS'!$FO$47</f>
        <v>1262</v>
      </c>
      <c r="G25" s="130">
        <f>'[3]Sky West_AA'!$FO$47</f>
        <v>771</v>
      </c>
      <c r="H25" s="130">
        <f>[3]Republic!$FO$47</f>
        <v>0</v>
      </c>
      <c r="I25" s="130">
        <f>[3]Republic_UA!$FO$47</f>
        <v>0</v>
      </c>
      <c r="J25" s="130">
        <f>'[3]Sky Regional'!$FO$47</f>
        <v>0</v>
      </c>
      <c r="K25" s="130">
        <f>'[3]American Eagle'!$FO$47</f>
        <v>0</v>
      </c>
      <c r="L25" s="130">
        <f>'Other Regional'!M25</f>
        <v>170</v>
      </c>
      <c r="M25" s="110">
        <f>SUM(B25:L25)</f>
        <v>2203</v>
      </c>
    </row>
    <row r="26" spans="1:13" x14ac:dyDescent="0.2">
      <c r="A26" s="75" t="s">
        <v>38</v>
      </c>
      <c r="B26" s="130">
        <f>[3]Pinnacle!$FO$48</f>
        <v>0</v>
      </c>
      <c r="C26" s="132">
        <f>[3]MESA_UA!$FO$48</f>
        <v>0</v>
      </c>
      <c r="D26" s="130">
        <f>'[3]Sky West'!$FO$48</f>
        <v>0</v>
      </c>
      <c r="E26" s="130">
        <f>'[3]Sky West_UA'!$FO$48</f>
        <v>0</v>
      </c>
      <c r="F26" s="130">
        <f>'[3]Sky West_AS'!$FO$48</f>
        <v>2431</v>
      </c>
      <c r="G26" s="130">
        <f>'[3]Sky West_AA'!$FO$48</f>
        <v>0</v>
      </c>
      <c r="H26" s="130">
        <f>[3]Republic!$FO$48</f>
        <v>0</v>
      </c>
      <c r="I26" s="130">
        <f>[3]Republic_UA!$FO$48</f>
        <v>0</v>
      </c>
      <c r="J26" s="130">
        <f>'[3]Sky Regional'!$FO$48</f>
        <v>0</v>
      </c>
      <c r="K26" s="130">
        <f>'[3]American Eagle'!$FO$48</f>
        <v>0</v>
      </c>
      <c r="L26" s="130">
        <f>'Other Regional'!M26</f>
        <v>798</v>
      </c>
      <c r="M26" s="110">
        <f>SUM(B26:L26)</f>
        <v>3229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3693</v>
      </c>
      <c r="G27" s="133">
        <f t="shared" si="14"/>
        <v>771</v>
      </c>
      <c r="H27" s="133">
        <f t="shared" si="13"/>
        <v>0</v>
      </c>
      <c r="I27" s="133">
        <f t="shared" si="13"/>
        <v>0</v>
      </c>
      <c r="J27" s="133">
        <f t="shared" si="13"/>
        <v>0</v>
      </c>
      <c r="K27" s="133">
        <f t="shared" si="13"/>
        <v>0</v>
      </c>
      <c r="L27" s="133">
        <f t="shared" si="13"/>
        <v>968</v>
      </c>
      <c r="M27" s="134">
        <f>SUM(B27:L27)</f>
        <v>5432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[3]Pinnacle!$FO$52</f>
        <v>0</v>
      </c>
      <c r="C30" s="132">
        <f>[3]MESA_UA!$FO$52</f>
        <v>0</v>
      </c>
      <c r="D30" s="130">
        <f>'[3]Sky West'!$FO$52</f>
        <v>0</v>
      </c>
      <c r="E30" s="130">
        <f>'[3]Sky West_UA'!$FO$52</f>
        <v>0</v>
      </c>
      <c r="F30" s="130">
        <f>'[3]Sky West_AS'!$FO$52</f>
        <v>119</v>
      </c>
      <c r="G30" s="130">
        <f>'[3]Sky West_AA'!$FO$52</f>
        <v>0</v>
      </c>
      <c r="H30" s="130">
        <f>[3]Republic!$FO$52</f>
        <v>0</v>
      </c>
      <c r="I30" s="130">
        <f>[3]Republic_UA!$FO$52</f>
        <v>0</v>
      </c>
      <c r="J30" s="130">
        <f>'[3]Sky Regional'!$FO$52</f>
        <v>0</v>
      </c>
      <c r="K30" s="130">
        <f>'[3]American Eagle'!$FO$52</f>
        <v>0</v>
      </c>
      <c r="L30" s="130">
        <f>'Other Regional'!M30</f>
        <v>0</v>
      </c>
      <c r="M30" s="110">
        <f t="shared" ref="M30:M37" si="15">SUM(B30:L30)</f>
        <v>119</v>
      </c>
    </row>
    <row r="31" spans="1:13" x14ac:dyDescent="0.2">
      <c r="A31" s="75" t="s">
        <v>60</v>
      </c>
      <c r="B31" s="130">
        <f>[3]Pinnacle!$FO$53</f>
        <v>0</v>
      </c>
      <c r="C31" s="132">
        <f>[3]MESA_UA!$FO$53</f>
        <v>0</v>
      </c>
      <c r="D31" s="130">
        <f>'[3]Sky West'!$FO$53</f>
        <v>0</v>
      </c>
      <c r="E31" s="130">
        <f>'[3]Sky West_UA'!$FO$53</f>
        <v>0</v>
      </c>
      <c r="F31" s="130">
        <f>'[3]Sky West_AS'!$FO$53</f>
        <v>528</v>
      </c>
      <c r="G31" s="130">
        <f>'[3]Sky West_AA'!$FO$53</f>
        <v>0</v>
      </c>
      <c r="H31" s="130">
        <f>[3]Republic!$FO$53</f>
        <v>0</v>
      </c>
      <c r="I31" s="130">
        <f>[3]Republic_UA!$FO$53</f>
        <v>0</v>
      </c>
      <c r="J31" s="130">
        <f>'[3]Sky Regional'!$FO$53</f>
        <v>0</v>
      </c>
      <c r="K31" s="130">
        <f>'[3]American Eagle'!$FO$53</f>
        <v>0</v>
      </c>
      <c r="L31" s="130">
        <f>'Other Regional'!M31</f>
        <v>1264</v>
      </c>
      <c r="M31" s="110">
        <f t="shared" si="15"/>
        <v>1792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647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0</v>
      </c>
      <c r="K32" s="133">
        <f t="shared" si="16"/>
        <v>0</v>
      </c>
      <c r="L32" s="133">
        <f>SUM(L30:L31)</f>
        <v>1264</v>
      </c>
      <c r="M32" s="134">
        <f t="shared" si="15"/>
        <v>1911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[3]Pinnacle!$FO$57</f>
        <v>0</v>
      </c>
      <c r="C35" s="132">
        <f>[3]MESA_UA!$FO$57</f>
        <v>0</v>
      </c>
      <c r="D35" s="130">
        <f>'[3]Sky West'!$FO$57</f>
        <v>0</v>
      </c>
      <c r="E35" s="130">
        <f>'[3]Sky West_UA'!$FO$57</f>
        <v>0</v>
      </c>
      <c r="F35" s="130">
        <f>'[3]Sky West_AS'!$FO$57</f>
        <v>0</v>
      </c>
      <c r="G35" s="130">
        <f>'[3]Sky West_AA'!$FO$57</f>
        <v>0</v>
      </c>
      <c r="H35" s="130">
        <f>[3]Republic!$FO$57</f>
        <v>0</v>
      </c>
      <c r="I35" s="130">
        <f>[3]Republic!$FO$57</f>
        <v>0</v>
      </c>
      <c r="J35" s="130">
        <f>[3]Republic!$FO$57</f>
        <v>0</v>
      </c>
      <c r="K35" s="130">
        <f>'[3]American Eagle'!$FO$57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[3]Pinnacle!$FO$58</f>
        <v>0</v>
      </c>
      <c r="C36" s="132">
        <f>[3]MESA_UA!$FO$58</f>
        <v>0</v>
      </c>
      <c r="D36" s="130">
        <f>'[3]Sky West'!$FO$58</f>
        <v>0</v>
      </c>
      <c r="E36" s="130">
        <f>'[3]Sky West_UA'!$FO$58</f>
        <v>0</v>
      </c>
      <c r="F36" s="130">
        <f>'[3]Sky West_AS'!$FO$58</f>
        <v>0</v>
      </c>
      <c r="G36" s="130">
        <f>'[3]Sky West_AA'!$FO$58</f>
        <v>0</v>
      </c>
      <c r="H36" s="130">
        <f>[3]Republic!$FO$58</f>
        <v>0</v>
      </c>
      <c r="I36" s="130">
        <f>[3]Republic!$FO$58</f>
        <v>0</v>
      </c>
      <c r="J36" s="130">
        <f>[3]Republic!$FO$58</f>
        <v>0</v>
      </c>
      <c r="K36" s="130">
        <f>'[3]American Eagle'!$FO$58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1381</v>
      </c>
      <c r="G40" s="130">
        <f t="shared" ref="G40" si="22">SUM(G35,G30,G25)</f>
        <v>771</v>
      </c>
      <c r="H40" s="130">
        <f t="shared" si="20"/>
        <v>0</v>
      </c>
      <c r="I40" s="130">
        <f t="shared" si="20"/>
        <v>0</v>
      </c>
      <c r="J40" s="130">
        <f t="shared" si="20"/>
        <v>0</v>
      </c>
      <c r="K40" s="130">
        <f>SUM(K35,K30,K25)</f>
        <v>0</v>
      </c>
      <c r="L40" s="130">
        <f>L35+L30+L25</f>
        <v>170</v>
      </c>
      <c r="M40" s="110">
        <f>SUM(B40:L40)</f>
        <v>2322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2959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2062</v>
      </c>
      <c r="M41" s="110">
        <f>SUM(B41:L41)</f>
        <v>5021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4340</v>
      </c>
      <c r="G42" s="136">
        <f t="shared" ref="G42" si="24">SUM(G37,G32,G27)</f>
        <v>771</v>
      </c>
      <c r="H42" s="136">
        <f t="shared" si="20"/>
        <v>0</v>
      </c>
      <c r="I42" s="136">
        <f t="shared" si="20"/>
        <v>0</v>
      </c>
      <c r="J42" s="136">
        <f t="shared" si="20"/>
        <v>0</v>
      </c>
      <c r="K42" s="136">
        <f>SUM(K37,K32,K27)</f>
        <v>0</v>
      </c>
      <c r="L42" s="136">
        <f>SUM(L37,L32,L27)</f>
        <v>2232</v>
      </c>
      <c r="M42" s="137">
        <f>SUM(B42:L42)</f>
        <v>7343</v>
      </c>
    </row>
    <row r="44" spans="1:13" x14ac:dyDescent="0.2">
      <c r="A44" s="378" t="s">
        <v>124</v>
      </c>
      <c r="B44" s="321">
        <f>[3]Pinnacle!$FO$70+[3]Pinnacle!$FO$73</f>
        <v>24690</v>
      </c>
      <c r="D44" s="322">
        <f>'[3]Sky West'!$FO$70+'[3]Sky West'!$FO$73</f>
        <v>55121</v>
      </c>
      <c r="E44" s="5"/>
      <c r="F44" s="5"/>
      <c r="G44" s="5"/>
      <c r="L44" s="322">
        <f>+'Other Regional'!M46</f>
        <v>11255</v>
      </c>
      <c r="M44" s="310">
        <f>SUM(B44:L44)</f>
        <v>91066</v>
      </c>
    </row>
    <row r="45" spans="1:13" x14ac:dyDescent="0.2">
      <c r="A45" s="392" t="s">
        <v>125</v>
      </c>
      <c r="B45" s="321">
        <f>[3]Pinnacle!$FO$71+[3]Pinnacle!$FO$74</f>
        <v>32068</v>
      </c>
      <c r="D45" s="322">
        <f>'[3]Sky West'!$FO$71+'[3]Sky West'!$FO$74</f>
        <v>98419</v>
      </c>
      <c r="E45" s="5"/>
      <c r="F45" s="5"/>
      <c r="G45" s="5"/>
      <c r="L45" s="322">
        <f>+'Other Regional'!M47</f>
        <v>12047</v>
      </c>
      <c r="M45" s="310">
        <f>SUM(B45:L45)</f>
        <v>142534</v>
      </c>
    </row>
    <row r="46" spans="1:13" x14ac:dyDescent="0.2">
      <c r="A46" s="312" t="s">
        <v>126</v>
      </c>
      <c r="B46" s="313">
        <f>SUM(B44:B45)</f>
        <v>56758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February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zoomScaleSheetLayoutView="100" workbookViewId="0">
      <selection activeCell="F8" sqref="F8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8"/>
    </row>
    <row r="2" spans="1:13" s="7" customFormat="1" ht="55.5" customHeight="1" thickBot="1" x14ac:dyDescent="0.25">
      <c r="A2" s="381">
        <v>43132</v>
      </c>
      <c r="B2" s="437" t="s">
        <v>179</v>
      </c>
      <c r="C2" s="437" t="s">
        <v>178</v>
      </c>
      <c r="D2" s="437" t="s">
        <v>227</v>
      </c>
      <c r="E2" s="437" t="s">
        <v>199</v>
      </c>
      <c r="F2" s="437" t="s">
        <v>170</v>
      </c>
      <c r="G2" s="437" t="s">
        <v>184</v>
      </c>
      <c r="H2" s="437" t="s">
        <v>183</v>
      </c>
      <c r="I2" s="437" t="s">
        <v>165</v>
      </c>
      <c r="J2" s="437" t="s">
        <v>169</v>
      </c>
      <c r="K2" s="437" t="s">
        <v>185</v>
      </c>
      <c r="L2" s="437" t="s">
        <v>182</v>
      </c>
      <c r="M2" s="291" t="s">
        <v>21</v>
      </c>
    </row>
    <row r="3" spans="1:13" ht="15.75" thickTop="1" x14ac:dyDescent="0.25">
      <c r="A3" s="279" t="s">
        <v>3</v>
      </c>
      <c r="B3" s="404"/>
      <c r="C3" s="404"/>
      <c r="D3" s="404"/>
      <c r="E3" s="404"/>
      <c r="F3" s="404"/>
      <c r="G3" s="405"/>
      <c r="H3" s="405"/>
      <c r="I3" s="405"/>
      <c r="J3" s="405"/>
      <c r="K3" s="405"/>
      <c r="L3" s="404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America'!$FO$22</f>
        <v>0</v>
      </c>
      <c r="C5" s="131">
        <f>'[3]Shuttle America_Delta'!$FO$22</f>
        <v>1193</v>
      </c>
      <c r="D5" s="461">
        <f>[3]Horizon_AS!$FO$22</f>
        <v>2619</v>
      </c>
      <c r="E5" s="461">
        <f>[3]PSA!$FO$22</f>
        <v>1124</v>
      </c>
      <c r="F5" s="21">
        <f>[3]Compass!$FO$22+[3]Compass!$FO$32</f>
        <v>0</v>
      </c>
      <c r="G5" s="131">
        <f>'[3]Atlantic Southeast'!$FO$22+'[3]Atlantic Southeast'!$FO$32</f>
        <v>5934</v>
      </c>
      <c r="H5" s="131">
        <f>'[3]Continental Express'!$FO$22</f>
        <v>213</v>
      </c>
      <c r="I5" s="130">
        <f>'[3]Go Jet_UA'!$FO$22</f>
        <v>1270</v>
      </c>
      <c r="J5" s="21">
        <f>'[3]Go Jet'!$FO$22+'[3]Go Jet'!$FO$32</f>
        <v>16071</v>
      </c>
      <c r="K5" s="132">
        <f>'[3]Air Wisconsin'!$FO$22</f>
        <v>0</v>
      </c>
      <c r="L5" s="130">
        <f>[3]MESA!$FO$22</f>
        <v>0</v>
      </c>
      <c r="M5" s="110">
        <f>SUM(B5:L5)</f>
        <v>28424</v>
      </c>
    </row>
    <row r="6" spans="1:13" s="10" customFormat="1" x14ac:dyDescent="0.2">
      <c r="A6" s="62" t="s">
        <v>31</v>
      </c>
      <c r="B6" s="131">
        <f>'[3]Shuttle America'!$FO$23</f>
        <v>0</v>
      </c>
      <c r="C6" s="131">
        <f>'[3]Shuttle America_Delta'!$FO$23</f>
        <v>1197</v>
      </c>
      <c r="D6" s="461">
        <f>[3]Horizon_AS!$FO$23</f>
        <v>2632</v>
      </c>
      <c r="E6" s="461">
        <f>[3]PSA!$FO$23</f>
        <v>1368</v>
      </c>
      <c r="F6" s="14">
        <f>[3]Compass!$FO$23+[3]Compass!$FO$33</f>
        <v>0</v>
      </c>
      <c r="G6" s="131">
        <f>'[3]Atlantic Southeast'!$FO$23+'[3]Atlantic Southeast'!$FO$33</f>
        <v>5763</v>
      </c>
      <c r="H6" s="131">
        <f>'[3]Continental Express'!$FO$23</f>
        <v>240</v>
      </c>
      <c r="I6" s="130">
        <f>'[3]Go Jet_UA'!$FO$23</f>
        <v>1225</v>
      </c>
      <c r="J6" s="14">
        <f>'[3]Go Jet'!$FO$23+'[3]Go Jet'!$FO$33</f>
        <v>16342</v>
      </c>
      <c r="K6" s="132">
        <f>'[3]Air Wisconsin'!$FO$23</f>
        <v>0</v>
      </c>
      <c r="L6" s="130">
        <f>[3]MESA!$FO$23</f>
        <v>0</v>
      </c>
      <c r="M6" s="115">
        <f>SUM(B6:L6)</f>
        <v>28767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2390</v>
      </c>
      <c r="D7" s="133">
        <f t="shared" ref="D7" si="1">SUM(D5:D6)</f>
        <v>5251</v>
      </c>
      <c r="E7" s="133">
        <f t="shared" si="0"/>
        <v>2492</v>
      </c>
      <c r="F7" s="133">
        <f>SUM(F5:F6)</f>
        <v>0</v>
      </c>
      <c r="G7" s="133">
        <f t="shared" si="0"/>
        <v>11697</v>
      </c>
      <c r="H7" s="133">
        <f t="shared" si="0"/>
        <v>453</v>
      </c>
      <c r="I7" s="133">
        <f t="shared" si="0"/>
        <v>2495</v>
      </c>
      <c r="J7" s="133">
        <f>SUM(J5:J6)</f>
        <v>32413</v>
      </c>
      <c r="K7" s="133">
        <f t="shared" si="0"/>
        <v>0</v>
      </c>
      <c r="L7" s="133">
        <f t="shared" si="0"/>
        <v>0</v>
      </c>
      <c r="M7" s="134">
        <f>SUM(B7:L7)</f>
        <v>57191</v>
      </c>
    </row>
    <row r="8" spans="1:13" ht="13.5" thickTop="1" x14ac:dyDescent="0.2">
      <c r="A8" s="62"/>
      <c r="B8" s="131"/>
      <c r="C8" s="131"/>
      <c r="D8" s="461"/>
      <c r="E8" s="461"/>
      <c r="F8" s="342"/>
      <c r="G8" s="131"/>
      <c r="H8" s="131"/>
      <c r="I8" s="130"/>
      <c r="J8" s="342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61"/>
      <c r="E9" s="461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America'!$FO$27</f>
        <v>0</v>
      </c>
      <c r="C10" s="131">
        <f>'[3]Shuttle America_Delta'!$FO$27</f>
        <v>21</v>
      </c>
      <c r="D10" s="461">
        <f>[3]Horizon_AS!$FO$27</f>
        <v>51</v>
      </c>
      <c r="E10" s="461">
        <f>[3]PSA!$FO$27</f>
        <v>69</v>
      </c>
      <c r="F10" s="21">
        <f>[3]Compass!$FO$27+[3]Compass!$FO$37</f>
        <v>0</v>
      </c>
      <c r="G10" s="21">
        <f>'[3]Atlantic Southeast'!$FO$27+'[3]Atlantic Southeast'!$FO$37</f>
        <v>183</v>
      </c>
      <c r="H10" s="131">
        <f>'[3]Continental Express'!$FO$27</f>
        <v>9</v>
      </c>
      <c r="I10" s="130">
        <f>'[3]Go Jet_UA'!$FO$27</f>
        <v>27</v>
      </c>
      <c r="J10" s="21">
        <f>'[3]Go Jet'!$FO$27+'[3]Go Jet'!$FO$37</f>
        <v>549</v>
      </c>
      <c r="K10" s="132">
        <f>'[3]Air Wisconsin'!$FO$27</f>
        <v>0</v>
      </c>
      <c r="L10" s="130">
        <f>[3]MESA!$FO$27</f>
        <v>0</v>
      </c>
      <c r="M10" s="110">
        <f>SUM(B10:L10)</f>
        <v>909</v>
      </c>
    </row>
    <row r="11" spans="1:13" x14ac:dyDescent="0.2">
      <c r="A11" s="62" t="s">
        <v>33</v>
      </c>
      <c r="B11" s="131">
        <f>'[3]Shuttle America'!$FO$28</f>
        <v>0</v>
      </c>
      <c r="C11" s="131">
        <f>'[3]Shuttle America_Delta'!$FO$28</f>
        <v>22</v>
      </c>
      <c r="D11" s="461">
        <f>[3]Horizon_AS!$FO$28</f>
        <v>45</v>
      </c>
      <c r="E11" s="461">
        <f>[3]PSA!$FO$28</f>
        <v>50</v>
      </c>
      <c r="F11" s="14">
        <f>[3]Compass!$FO$28+[3]Compass!$FO$38</f>
        <v>0</v>
      </c>
      <c r="G11" s="14">
        <f>'[3]Atlantic Southeast'!$FO$28+'[3]Atlantic Southeast'!$FO$38</f>
        <v>204</v>
      </c>
      <c r="H11" s="131">
        <f>'[3]Continental Express'!$FO$28</f>
        <v>2</v>
      </c>
      <c r="I11" s="130">
        <f>'[3]Go Jet_UA'!$FO$28</f>
        <v>26</v>
      </c>
      <c r="J11" s="14">
        <f>'[3]Go Jet'!$FO$28+'[3]Go Jet'!$FO$38</f>
        <v>515</v>
      </c>
      <c r="K11" s="132">
        <f>'[3]Air Wisconsin'!$FO$28</f>
        <v>0</v>
      </c>
      <c r="L11" s="130">
        <f>[3]MESA!$FO$28</f>
        <v>0</v>
      </c>
      <c r="M11" s="115">
        <f>SUM(B11:L11)</f>
        <v>864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43</v>
      </c>
      <c r="D12" s="136">
        <f t="shared" ref="D12:E12" si="2">SUM(D10:D11)</f>
        <v>96</v>
      </c>
      <c r="E12" s="136">
        <f t="shared" si="2"/>
        <v>119</v>
      </c>
      <c r="F12" s="136">
        <f t="shared" ref="F12:L12" si="3">SUM(F10:F11)</f>
        <v>0</v>
      </c>
      <c r="G12" s="136">
        <f t="shared" si="3"/>
        <v>387</v>
      </c>
      <c r="H12" s="136">
        <f t="shared" si="3"/>
        <v>11</v>
      </c>
      <c r="I12" s="136">
        <f t="shared" si="3"/>
        <v>53</v>
      </c>
      <c r="J12" s="136">
        <f t="shared" ref="J12" si="4">SUM(J10:J11)</f>
        <v>1064</v>
      </c>
      <c r="K12" s="136">
        <f t="shared" si="3"/>
        <v>0</v>
      </c>
      <c r="L12" s="136">
        <f t="shared" si="3"/>
        <v>0</v>
      </c>
      <c r="M12" s="137">
        <f>SUM(B12:L12)</f>
        <v>1773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America'!$FO$4</f>
        <v>0</v>
      </c>
      <c r="C15" s="106">
        <f>'[3]Shuttle America_Delta'!$FO$4</f>
        <v>20</v>
      </c>
      <c r="D15" s="462">
        <f>[3]Horizon_AS!$FO$4</f>
        <v>39</v>
      </c>
      <c r="E15" s="462">
        <f>[3]PSA!$FO$4</f>
        <v>30</v>
      </c>
      <c r="F15" s="21">
        <f>[3]Compass!$FO$4+[3]Compass!$FO$15</f>
        <v>1</v>
      </c>
      <c r="G15" s="107">
        <f>'[3]Atlantic Southeast'!$FO$4+'[3]Atlantic Southeast'!$FO$15</f>
        <v>113</v>
      </c>
      <c r="H15" s="107">
        <f>'[3]Continental Express'!$FO$4</f>
        <v>7</v>
      </c>
      <c r="I15" s="106">
        <f>'[3]Go Jet_UA'!$FO$4</f>
        <v>19</v>
      </c>
      <c r="J15" s="21">
        <f>'[3]Go Jet'!$FO$4+'[3]Go Jet'!$FO$15</f>
        <v>289</v>
      </c>
      <c r="K15" s="108">
        <f>'[3]Air Wisconsin'!$FO$4</f>
        <v>0</v>
      </c>
      <c r="L15" s="106">
        <f>[3]MESA!$FO$4</f>
        <v>0</v>
      </c>
      <c r="M15" s="110">
        <f t="shared" ref="M15:M21" si="5">SUM(B15:L15)</f>
        <v>518</v>
      </c>
    </row>
    <row r="16" spans="1:13" x14ac:dyDescent="0.2">
      <c r="A16" s="62" t="s">
        <v>54</v>
      </c>
      <c r="B16" s="111">
        <f>'[3]Shuttle America'!$FO$5</f>
        <v>0</v>
      </c>
      <c r="C16" s="111">
        <f>'[3]Shuttle America_Delta'!$FO$5</f>
        <v>20</v>
      </c>
      <c r="D16" s="463">
        <f>[3]Horizon_AS!$FO$5</f>
        <v>39</v>
      </c>
      <c r="E16" s="463">
        <f>[3]PSA!$FO$5</f>
        <v>30</v>
      </c>
      <c r="F16" s="14">
        <f>[3]Compass!$FO$5+[3]Compass!$FO$16</f>
        <v>1</v>
      </c>
      <c r="G16" s="112">
        <f>'[3]Atlantic Southeast'!$FO$5+'[3]Atlantic Southeast'!$FO$16</f>
        <v>113</v>
      </c>
      <c r="H16" s="112">
        <f>'[3]Continental Express'!$FO$5</f>
        <v>7</v>
      </c>
      <c r="I16" s="111">
        <f>'[3]Go Jet_UA'!$FO$5</f>
        <v>19</v>
      </c>
      <c r="J16" s="14">
        <f>'[3]Go Jet'!$FO$5+'[3]Go Jet'!$FO$16</f>
        <v>286</v>
      </c>
      <c r="K16" s="113">
        <f>'[3]Air Wisconsin'!$FO$5</f>
        <v>0</v>
      </c>
      <c r="L16" s="111">
        <f>[3]MESA!$FO$5</f>
        <v>0</v>
      </c>
      <c r="M16" s="115">
        <f t="shared" si="5"/>
        <v>515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40</v>
      </c>
      <c r="D17" s="116">
        <f t="shared" ref="D17:E17" si="6">SUM(D15:D16)</f>
        <v>78</v>
      </c>
      <c r="E17" s="116">
        <f t="shared" si="6"/>
        <v>60</v>
      </c>
      <c r="F17" s="286">
        <f>SUM(F15:F16)</f>
        <v>2</v>
      </c>
      <c r="G17" s="116">
        <f t="shared" ref="G17:L17" si="7">SUM(G15:G16)</f>
        <v>226</v>
      </c>
      <c r="H17" s="116">
        <f t="shared" si="7"/>
        <v>14</v>
      </c>
      <c r="I17" s="116">
        <f t="shared" si="7"/>
        <v>38</v>
      </c>
      <c r="J17" s="286">
        <f>SUM(J15:J16)</f>
        <v>575</v>
      </c>
      <c r="K17" s="116">
        <f t="shared" si="7"/>
        <v>0</v>
      </c>
      <c r="L17" s="116">
        <f t="shared" si="7"/>
        <v>0</v>
      </c>
      <c r="M17" s="117">
        <f t="shared" si="5"/>
        <v>1033</v>
      </c>
    </row>
    <row r="18" spans="1:13" x14ac:dyDescent="0.2">
      <c r="A18" s="62" t="s">
        <v>56</v>
      </c>
      <c r="B18" s="118">
        <f>'[3]Shuttle America'!$FO$8</f>
        <v>0</v>
      </c>
      <c r="C18" s="118">
        <f>'[3]Shuttle America_Delta'!$FO$8</f>
        <v>0</v>
      </c>
      <c r="D18" s="118">
        <f>[3]Horizon_AS!$FO$8</f>
        <v>0</v>
      </c>
      <c r="E18" s="118">
        <f>[3]PSA!$FO$8</f>
        <v>0</v>
      </c>
      <c r="F18" s="21">
        <f>[3]Compass!$FO$8</f>
        <v>0</v>
      </c>
      <c r="G18" s="109">
        <f>'[3]Atlantic Southeast'!$FO$8</f>
        <v>0</v>
      </c>
      <c r="H18" s="109">
        <f>'[3]Continental Express'!$FO$8</f>
        <v>0</v>
      </c>
      <c r="I18" s="118">
        <f>'[3]Go Jet_UA'!$FO$8</f>
        <v>0</v>
      </c>
      <c r="J18" s="21">
        <f>'[3]Go Jet'!$FO$8</f>
        <v>0</v>
      </c>
      <c r="K18" s="119">
        <f>'[3]Air Wisconsin'!$FO$8</f>
        <v>0</v>
      </c>
      <c r="L18" s="118">
        <f>[3]MESA!$FO$8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America'!$FO$9</f>
        <v>0</v>
      </c>
      <c r="C19" s="120">
        <f>'[3]Shuttle America_Delta'!$FO$9</f>
        <v>0</v>
      </c>
      <c r="D19" s="120">
        <f>[3]Horizon_AS!$FO$9</f>
        <v>0</v>
      </c>
      <c r="E19" s="120">
        <f>[3]PSA!$FO$9</f>
        <v>0</v>
      </c>
      <c r="F19" s="14">
        <f>[3]Compass!$FO$9</f>
        <v>0</v>
      </c>
      <c r="G19" s="114">
        <f>'[3]Atlantic Southeast'!$FO$9</f>
        <v>0</v>
      </c>
      <c r="H19" s="114">
        <f>'[3]Continental Express'!$FO$9</f>
        <v>0</v>
      </c>
      <c r="I19" s="120">
        <f>'[3]Go Jet_UA'!$FO$9</f>
        <v>0</v>
      </c>
      <c r="J19" s="14">
        <f>'[3]Go Jet'!$FO$9</f>
        <v>3</v>
      </c>
      <c r="K19" s="121">
        <f>'[3]Air Wisconsin'!$FO$9</f>
        <v>0</v>
      </c>
      <c r="L19" s="120">
        <f>[3]MESA!$FO$9</f>
        <v>0</v>
      </c>
      <c r="M19" s="115">
        <f t="shared" si="5"/>
        <v>3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3</v>
      </c>
      <c r="K20" s="116">
        <f t="shared" si="9"/>
        <v>0</v>
      </c>
      <c r="L20" s="116">
        <f t="shared" si="9"/>
        <v>0</v>
      </c>
      <c r="M20" s="117">
        <f t="shared" si="5"/>
        <v>3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40</v>
      </c>
      <c r="D21" s="122">
        <f t="shared" ref="D21:E21" si="10">SUM(D20,D17)</f>
        <v>78</v>
      </c>
      <c r="E21" s="122">
        <f t="shared" si="10"/>
        <v>60</v>
      </c>
      <c r="F21" s="122">
        <f t="shared" ref="F21:L21" si="11">SUM(F20,F17)</f>
        <v>2</v>
      </c>
      <c r="G21" s="122">
        <f t="shared" si="11"/>
        <v>226</v>
      </c>
      <c r="H21" s="122">
        <f t="shared" si="11"/>
        <v>14</v>
      </c>
      <c r="I21" s="122">
        <f t="shared" si="11"/>
        <v>38</v>
      </c>
      <c r="J21" s="122">
        <f t="shared" ref="J21" si="12">SUM(J20,J17)</f>
        <v>578</v>
      </c>
      <c r="K21" s="122">
        <f t="shared" si="11"/>
        <v>0</v>
      </c>
      <c r="L21" s="122">
        <f t="shared" si="11"/>
        <v>0</v>
      </c>
      <c r="M21" s="123">
        <f t="shared" si="5"/>
        <v>1036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America'!$FO$47</f>
        <v>0</v>
      </c>
      <c r="C25" s="130">
        <f>'[3]Shuttle America_Delta'!$FO$47</f>
        <v>28</v>
      </c>
      <c r="D25" s="130">
        <f>[3]Horizon_AS!$FO$47</f>
        <v>10</v>
      </c>
      <c r="E25" s="130">
        <f>[3]PSA!$FO$47</f>
        <v>0</v>
      </c>
      <c r="F25" s="130">
        <f>[3]Compass!$FO$47</f>
        <v>0</v>
      </c>
      <c r="G25" s="131">
        <f>'[3]Atlantic Southeast'!$FO$47</f>
        <v>0</v>
      </c>
      <c r="H25" s="131">
        <f>'[3]Continental Express'!$FO$47</f>
        <v>0</v>
      </c>
      <c r="I25" s="130">
        <f>'[3]Go Jet_UA'!$FO$47</f>
        <v>0</v>
      </c>
      <c r="J25" s="130">
        <f>'[3]Go Jet'!$FO$47</f>
        <v>132</v>
      </c>
      <c r="K25" s="132">
        <f>'[3]Air Wisconsin'!$FO$47</f>
        <v>0</v>
      </c>
      <c r="L25" s="130">
        <f>[3]MESA!$FO$47</f>
        <v>0</v>
      </c>
      <c r="M25" s="110">
        <f>SUM(B25:L25)</f>
        <v>170</v>
      </c>
    </row>
    <row r="26" spans="1:13" x14ac:dyDescent="0.2">
      <c r="A26" s="75" t="s">
        <v>38</v>
      </c>
      <c r="B26" s="130">
        <f>'[3]Shuttle America'!$FO$48</f>
        <v>0</v>
      </c>
      <c r="C26" s="130">
        <f>'[3]Shuttle America_Delta'!$FO$48</f>
        <v>0</v>
      </c>
      <c r="D26" s="130">
        <f>[3]Horizon_AS!$FO$48</f>
        <v>798</v>
      </c>
      <c r="E26" s="130">
        <f>[3]PSA!$FO$48</f>
        <v>0</v>
      </c>
      <c r="F26" s="130">
        <f>[3]Compass!$FO$48</f>
        <v>0</v>
      </c>
      <c r="G26" s="131">
        <f>'[3]Atlantic Southeast'!$FO$48</f>
        <v>0</v>
      </c>
      <c r="H26" s="131">
        <f>'[3]Continental Express'!$FO$48</f>
        <v>0</v>
      </c>
      <c r="I26" s="130">
        <f>'[3]Go Jet_UA'!$FO$48</f>
        <v>0</v>
      </c>
      <c r="J26" s="130">
        <f>'[3]Go Jet'!$FO$48</f>
        <v>0</v>
      </c>
      <c r="K26" s="132">
        <f>'[3]Air Wisconsin'!$FO$48</f>
        <v>0</v>
      </c>
      <c r="L26" s="130">
        <f>[3]MESA!$FO$48</f>
        <v>0</v>
      </c>
      <c r="M26" s="110">
        <f>SUM(B26:L26)</f>
        <v>798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28</v>
      </c>
      <c r="D27" s="133">
        <f t="shared" ref="D27:E27" si="13">SUM(D25:D26)</f>
        <v>808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132</v>
      </c>
      <c r="K27" s="133">
        <f t="shared" si="14"/>
        <v>0</v>
      </c>
      <c r="L27" s="133">
        <f t="shared" si="14"/>
        <v>0</v>
      </c>
      <c r="M27" s="134">
        <f>SUM(B27:L27)</f>
        <v>968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America'!$FO$52</f>
        <v>0</v>
      </c>
      <c r="C30" s="130">
        <f>'[3]Shuttle America_Delta'!$FO$52</f>
        <v>0</v>
      </c>
      <c r="D30" s="130">
        <f>[3]Horizon_AS!$FO$52</f>
        <v>0</v>
      </c>
      <c r="E30" s="130">
        <f>[3]PSA!$FO$52</f>
        <v>0</v>
      </c>
      <c r="F30" s="130">
        <f>[3]Compass!$FO$52</f>
        <v>0</v>
      </c>
      <c r="G30" s="131">
        <f>'[3]Atlantic Southeast'!$FO$52</f>
        <v>0</v>
      </c>
      <c r="H30" s="131">
        <f>'[3]Continental Express'!$FO$52</f>
        <v>0</v>
      </c>
      <c r="I30" s="130">
        <f>'[3]Go Jet_UA'!$FO$52</f>
        <v>0</v>
      </c>
      <c r="J30" s="130">
        <f>'[3]Go Jet'!$FO$52</f>
        <v>0</v>
      </c>
      <c r="K30" s="132">
        <f>'[3]Air Wisconsin'!BH$52</f>
        <v>0</v>
      </c>
      <c r="L30" s="130">
        <f>[3]MESA!$FO$52</f>
        <v>0</v>
      </c>
      <c r="M30" s="110">
        <f>SUM(B30:L30)</f>
        <v>0</v>
      </c>
    </row>
    <row r="31" spans="1:13" x14ac:dyDescent="0.2">
      <c r="A31" s="75" t="s">
        <v>60</v>
      </c>
      <c r="B31" s="130">
        <f>'[3]Shuttle America'!$FO$53</f>
        <v>0</v>
      </c>
      <c r="C31" s="130">
        <f>'[3]Shuttle America_Delta'!$FO$53</f>
        <v>0</v>
      </c>
      <c r="D31" s="130">
        <f>[3]Horizon_AS!$FO$53</f>
        <v>1264</v>
      </c>
      <c r="E31" s="130">
        <f>[3]PSA!$FO$53</f>
        <v>0</v>
      </c>
      <c r="F31" s="130">
        <f>[3]Compass!$FO$53</f>
        <v>0</v>
      </c>
      <c r="G31" s="131">
        <f>'[3]Atlantic Southeast'!$FO$53</f>
        <v>0</v>
      </c>
      <c r="H31" s="131">
        <f>'[3]Continental Express'!$FO$53</f>
        <v>0</v>
      </c>
      <c r="I31" s="130">
        <f>'[3]Go Jet_UA'!$FO$53</f>
        <v>0</v>
      </c>
      <c r="J31" s="130">
        <f>'[3]Go Jet'!$FO$53</f>
        <v>0</v>
      </c>
      <c r="K31" s="132">
        <f>'[3]Air Wisconsin'!$FO$53</f>
        <v>0</v>
      </c>
      <c r="L31" s="130">
        <f>[3]MESA!$FO$53</f>
        <v>0</v>
      </c>
      <c r="M31" s="110">
        <f>SUM(B31:L31)</f>
        <v>1264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1264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1264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America'!$FO$57</f>
        <v>0</v>
      </c>
      <c r="C35" s="130">
        <f>'[3]Shuttle America_Delta'!$FO$57</f>
        <v>0</v>
      </c>
      <c r="D35" s="130">
        <f>[3]Horizon_AS!$FO$57</f>
        <v>0</v>
      </c>
      <c r="E35" s="130">
        <f>[3]PSA!$FO$57</f>
        <v>0</v>
      </c>
      <c r="F35" s="130">
        <f>[3]Compass!$FO$57</f>
        <v>0</v>
      </c>
      <c r="G35" s="131">
        <f>'[3]Atlantic Southeast'!$FO$57</f>
        <v>0</v>
      </c>
      <c r="H35" s="131">
        <f>'[3]Continental Express'!$FO$57</f>
        <v>0</v>
      </c>
      <c r="I35" s="130">
        <f>'[3]Go Jet_UA'!$AJ$57</f>
        <v>0</v>
      </c>
      <c r="J35" s="130">
        <f>'[3]Go Jet'!$FO$57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28</v>
      </c>
      <c r="D40" s="130">
        <f t="shared" ref="D40:E41" si="21">SUM(D35,D30,D25)</f>
        <v>10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132</v>
      </c>
      <c r="K40" s="130">
        <f t="shared" si="20"/>
        <v>0</v>
      </c>
      <c r="L40" s="130">
        <f t="shared" si="20"/>
        <v>0</v>
      </c>
      <c r="M40" s="110">
        <f>SUM(B40:L40)</f>
        <v>170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2062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2062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28</v>
      </c>
      <c r="D42" s="136">
        <f t="shared" ref="D42:E42" si="25">SUM(D40:D41)</f>
        <v>2072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132</v>
      </c>
      <c r="K42" s="136">
        <f t="shared" si="26"/>
        <v>0</v>
      </c>
      <c r="L42" s="136">
        <f t="shared" si="26"/>
        <v>0</v>
      </c>
      <c r="M42" s="137">
        <f>SUM(B42:L42)</f>
        <v>2232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8" t="s">
        <v>124</v>
      </c>
      <c r="C46" s="322">
        <f>'[3]Shuttle America_Delta'!$FO$70+'[3]Shuttle America_Delta'!$FO$73</f>
        <v>528</v>
      </c>
      <c r="D46" s="5"/>
      <c r="F46" s="322">
        <f>[3]Compass!$FO$70+[3]Compass!$FO$73</f>
        <v>0</v>
      </c>
      <c r="G46" s="322">
        <f>'[3]Atlantic Southeast'!$FO$70+'[3]Atlantic Southeast'!$FO$73</f>
        <v>2213</v>
      </c>
      <c r="J46" s="322">
        <f>'[3]Go Jet'!$FO$70+'[3]Go Jet'!$FO$73</f>
        <v>8514</v>
      </c>
      <c r="M46" s="391">
        <f>SUM(B46:L46)</f>
        <v>11255</v>
      </c>
    </row>
    <row r="47" spans="1:13" x14ac:dyDescent="0.2">
      <c r="A47" s="392" t="s">
        <v>125</v>
      </c>
      <c r="C47" s="322">
        <f>'[3]Shuttle America_Delta'!$FO$71+'[3]Shuttle America_Delta'!$FO$74</f>
        <v>669</v>
      </c>
      <c r="D47" s="5"/>
      <c r="F47" s="322">
        <f>[3]Compass!$FO$71+[3]Compass!$FO$74</f>
        <v>0</v>
      </c>
      <c r="G47" s="322">
        <f>'[3]Atlantic Southeast'!$FO$71+'[3]Atlantic Southeast'!$FO$74</f>
        <v>3550</v>
      </c>
      <c r="J47" s="322">
        <f>'[3]Go Jet'!$FO$71+'[3]Go Jet'!$FO$74</f>
        <v>7828</v>
      </c>
      <c r="M47" s="391">
        <f>SUM(B47:L47)</f>
        <v>12047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February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="115" zoomScaleNormal="115" workbookViewId="0">
      <selection activeCell="E11" sqref="E1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81">
        <v>43132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20"/>
      <c r="C4" s="184"/>
      <c r="D4" s="184"/>
      <c r="E4" s="184"/>
      <c r="F4" s="184"/>
      <c r="G4" s="254"/>
    </row>
    <row r="5" spans="1:17" x14ac:dyDescent="0.2">
      <c r="A5" s="62" t="s">
        <v>30</v>
      </c>
      <c r="B5" s="420">
        <f>'[3]Charter Misc'!$FO$22</f>
        <v>726</v>
      </c>
      <c r="C5" s="184">
        <f>[3]Ryan!$FO$22</f>
        <v>0</v>
      </c>
      <c r="D5" s="184">
        <f>'[3]Charter Misc'!$FO$32</f>
        <v>0</v>
      </c>
      <c r="E5" s="184">
        <f>[3]Omni!$FO$32+[3]Omni!$FO$22</f>
        <v>354</v>
      </c>
      <c r="F5" s="184">
        <f>[3]Xtra!$FO$32+[3]Xtra!$FO$22</f>
        <v>0</v>
      </c>
      <c r="G5" s="341">
        <f>SUM(B5:F5)</f>
        <v>1080</v>
      </c>
    </row>
    <row r="6" spans="1:17" x14ac:dyDescent="0.2">
      <c r="A6" s="62" t="s">
        <v>31</v>
      </c>
      <c r="B6" s="421">
        <f>'[3]Charter Misc'!$FO$23</f>
        <v>467</v>
      </c>
      <c r="C6" s="187">
        <f>[3]Ryan!$FO$23</f>
        <v>0</v>
      </c>
      <c r="D6" s="187">
        <f>'[3]Charter Misc'!$FO$33</f>
        <v>0</v>
      </c>
      <c r="E6" s="187">
        <f>[3]Omni!$FO$33</f>
        <v>0</v>
      </c>
      <c r="F6" s="187">
        <f>[3]Xtra!$FO$33+[3]Xtra!$FO$23</f>
        <v>0</v>
      </c>
      <c r="G6" s="340">
        <f>SUM(B6:F6)</f>
        <v>467</v>
      </c>
    </row>
    <row r="7" spans="1:17" ht="15.75" thickBot="1" x14ac:dyDescent="0.3">
      <c r="A7" s="183" t="s">
        <v>7</v>
      </c>
      <c r="B7" s="422">
        <f>SUM(B5:B6)</f>
        <v>1193</v>
      </c>
      <c r="C7" s="298">
        <f>SUM(C5:C6)</f>
        <v>0</v>
      </c>
      <c r="D7" s="298">
        <f>SUM(D5:D6)</f>
        <v>0</v>
      </c>
      <c r="E7" s="298">
        <f>SUM(E5:E6)</f>
        <v>354</v>
      </c>
      <c r="F7" s="298">
        <f>SUM(F5:F6)</f>
        <v>0</v>
      </c>
      <c r="G7" s="299">
        <f>SUM(B7:F7)</f>
        <v>1547</v>
      </c>
    </row>
    <row r="8" spans="1:17" ht="13.5" thickBot="1" x14ac:dyDescent="0.25"/>
    <row r="9" spans="1:17" x14ac:dyDescent="0.2">
      <c r="A9" s="181" t="s">
        <v>9</v>
      </c>
      <c r="B9" s="423"/>
      <c r="C9" s="45"/>
      <c r="D9" s="45"/>
      <c r="E9" s="45"/>
      <c r="F9" s="45"/>
      <c r="G9" s="57"/>
    </row>
    <row r="10" spans="1:17" x14ac:dyDescent="0.2">
      <c r="A10" s="182" t="s">
        <v>80</v>
      </c>
      <c r="B10" s="420">
        <f>'[3]Charter Misc'!$FO$4</f>
        <v>4</v>
      </c>
      <c r="C10" s="184">
        <f>[3]Ryan!$FO$4</f>
        <v>0</v>
      </c>
      <c r="D10" s="184">
        <f>'[3]Charter Misc'!$FO$15</f>
        <v>0</v>
      </c>
      <c r="E10" s="184">
        <f>[3]Omni!$FO$15+[3]Omni!$FO$8</f>
        <v>1</v>
      </c>
      <c r="F10" s="184">
        <f>[3]Xtra!$FO$15+[3]Xtra!$FO$4</f>
        <v>0</v>
      </c>
      <c r="G10" s="340">
        <f>SUM(B10:F10)</f>
        <v>5</v>
      </c>
    </row>
    <row r="11" spans="1:17" x14ac:dyDescent="0.2">
      <c r="A11" s="182" t="s">
        <v>81</v>
      </c>
      <c r="B11" s="420">
        <f>'[3]Charter Misc'!$FO$5</f>
        <v>3</v>
      </c>
      <c r="C11" s="184">
        <f>[3]Ryan!$FO$5</f>
        <v>0</v>
      </c>
      <c r="D11" s="184">
        <f>'[3]Charter Misc'!$FO$16</f>
        <v>0</v>
      </c>
      <c r="E11" s="184">
        <f>[3]Omni!$FO$16</f>
        <v>0</v>
      </c>
      <c r="F11" s="184">
        <f>[3]Xtra!$FO$16+[3]Xtra!$FO$5</f>
        <v>0</v>
      </c>
      <c r="G11" s="340">
        <f>SUM(B11:F11)</f>
        <v>3</v>
      </c>
    </row>
    <row r="12" spans="1:17" ht="15.75" thickBot="1" x14ac:dyDescent="0.3">
      <c r="A12" s="277" t="s">
        <v>28</v>
      </c>
      <c r="B12" s="424">
        <f>SUM(B10:B11)</f>
        <v>7</v>
      </c>
      <c r="C12" s="300">
        <f>SUM(C10:C11)</f>
        <v>0</v>
      </c>
      <c r="D12" s="300">
        <f>SUM(D10:D11)</f>
        <v>0</v>
      </c>
      <c r="E12" s="300">
        <f>SUM(E10:E11)</f>
        <v>1</v>
      </c>
      <c r="F12" s="300">
        <f>SUM(F10:F11)</f>
        <v>0</v>
      </c>
      <c r="G12" s="301">
        <f>SUM(B12:F12)</f>
        <v>8</v>
      </c>
      <c r="Q12" s="130"/>
    </row>
    <row r="17" spans="1:16" x14ac:dyDescent="0.2">
      <c r="B17" s="521" t="s">
        <v>155</v>
      </c>
      <c r="C17" s="522"/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3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6"/>
      <c r="B19" s="524" t="s">
        <v>121</v>
      </c>
      <c r="C19" s="525"/>
      <c r="D19" s="525"/>
      <c r="E19" s="526"/>
      <c r="G19" s="524" t="s">
        <v>122</v>
      </c>
      <c r="H19" s="527"/>
      <c r="I19" s="527"/>
      <c r="J19" s="528"/>
      <c r="L19" s="529" t="s">
        <v>123</v>
      </c>
      <c r="M19" s="530"/>
      <c r="N19" s="530"/>
      <c r="O19" s="531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5" t="s">
        <v>226</v>
      </c>
      <c r="J20" s="505" t="s">
        <v>190</v>
      </c>
      <c r="K20" s="243" t="s">
        <v>99</v>
      </c>
      <c r="L20" s="242" t="s">
        <v>103</v>
      </c>
      <c r="M20" s="236" t="s">
        <v>104</v>
      </c>
      <c r="N20" s="505" t="s">
        <v>226</v>
      </c>
      <c r="O20" s="505" t="s">
        <v>190</v>
      </c>
      <c r="P20" s="243" t="s">
        <v>99</v>
      </c>
    </row>
    <row r="21" spans="1:16" ht="14.1" customHeight="1" x14ac:dyDescent="0.2">
      <c r="A21" s="246" t="s">
        <v>105</v>
      </c>
      <c r="B21" s="335">
        <f>+[2]Charter!$B$21</f>
        <v>137179</v>
      </c>
      <c r="C21" s="336">
        <f>+[2]Charter!$C$21</f>
        <v>131658</v>
      </c>
      <c r="D21" s="513">
        <f t="shared" ref="D21:D32" si="0">SUM(B21:C21)</f>
        <v>268837</v>
      </c>
      <c r="E21" s="337">
        <f>[4]Charter!$D$21</f>
        <v>256747</v>
      </c>
      <c r="F21" s="339">
        <f t="shared" ref="F21:F32" si="1">(D21-E21)/E21</f>
        <v>4.7089157809049376E-2</v>
      </c>
      <c r="G21" s="335">
        <f>+[2]Charter!$G$21</f>
        <v>1202691</v>
      </c>
      <c r="H21" s="336">
        <f>+[2]Charter!$H$21</f>
        <v>1213282</v>
      </c>
      <c r="I21" s="513">
        <f>SUM(G21:H21)</f>
        <v>2415973</v>
      </c>
      <c r="J21" s="337">
        <f>[4]Charter!$I$21</f>
        <v>2435679</v>
      </c>
      <c r="K21" s="247">
        <f t="shared" ref="K21:K32" si="2">(I21-J21)/J21</f>
        <v>-8.0905570890088558E-3</v>
      </c>
      <c r="L21" s="335">
        <f>+[2]Charter!$L$21</f>
        <v>1339870</v>
      </c>
      <c r="M21" s="336">
        <f>+[2]Charter!$M$21</f>
        <v>1344940</v>
      </c>
      <c r="N21" s="513">
        <f t="shared" ref="N21:N32" si="3">SUM(L21:M21)</f>
        <v>2684810</v>
      </c>
      <c r="O21" s="337">
        <f>[4]Charter!$N$21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511">
        <f>'Intl Detail'!$P$4+'Intl Detail'!$P$9</f>
        <v>141643</v>
      </c>
      <c r="C22" s="512">
        <f>'Intl Detail'!$P$5+'Intl Detail'!$P$10</f>
        <v>143472</v>
      </c>
      <c r="D22" s="512">
        <f t="shared" ref="D22" si="4">SUM(B22:C22)</f>
        <v>285115</v>
      </c>
      <c r="E22" s="338">
        <f>[1]Charter!D22</f>
        <v>272463</v>
      </c>
      <c r="F22" s="334">
        <f t="shared" si="1"/>
        <v>4.6435662823943069E-2</v>
      </c>
      <c r="G22" s="511">
        <f>L22-B22</f>
        <v>1192631</v>
      </c>
      <c r="H22" s="512">
        <f>M22-C22</f>
        <v>1233627</v>
      </c>
      <c r="I22" s="512">
        <f>SUM(G22:H22)</f>
        <v>2426258</v>
      </c>
      <c r="J22" s="338">
        <f>[1]Charter!I22</f>
        <v>2337959</v>
      </c>
      <c r="K22" s="250">
        <f t="shared" si="2"/>
        <v>3.7767557087185877E-2</v>
      </c>
      <c r="L22" s="511">
        <f>'Monthly Summary'!$B$11</f>
        <v>1334274</v>
      </c>
      <c r="M22" s="512">
        <f>'Monthly Summary'!$C$11</f>
        <v>1377099</v>
      </c>
      <c r="N22" s="512">
        <f t="shared" ref="N22" si="5">SUM(L22:M22)</f>
        <v>2711373</v>
      </c>
      <c r="O22" s="338">
        <f>[1]Charter!N22</f>
        <v>2610422</v>
      </c>
      <c r="P22" s="249">
        <f t="shared" ref="P22:P32" si="6">(N22-O22)/O22</f>
        <v>3.8672291300027355E-2</v>
      </c>
    </row>
    <row r="23" spans="1:16" ht="14.1" customHeight="1" x14ac:dyDescent="0.2">
      <c r="A23" s="248" t="s">
        <v>107</v>
      </c>
      <c r="B23" s="331"/>
      <c r="C23" s="333"/>
      <c r="D23" s="332">
        <f t="shared" si="0"/>
        <v>0</v>
      </c>
      <c r="E23" s="338"/>
      <c r="F23" s="249" t="e">
        <f t="shared" si="1"/>
        <v>#DIV/0!</v>
      </c>
      <c r="G23" s="331"/>
      <c r="H23" s="333"/>
      <c r="I23" s="332">
        <f>SUM(G23:H23)</f>
        <v>0</v>
      </c>
      <c r="J23" s="338"/>
      <c r="K23" s="250" t="e">
        <f t="shared" si="2"/>
        <v>#DIV/0!</v>
      </c>
      <c r="L23" s="331"/>
      <c r="M23" s="333"/>
      <c r="N23" s="332">
        <f t="shared" si="3"/>
        <v>0</v>
      </c>
      <c r="O23" s="338"/>
      <c r="P23" s="249" t="e">
        <f t="shared" si="6"/>
        <v>#DIV/0!</v>
      </c>
    </row>
    <row r="24" spans="1:16" ht="14.1" customHeight="1" x14ac:dyDescent="0.2">
      <c r="A24" s="248" t="s">
        <v>108</v>
      </c>
      <c r="B24" s="331"/>
      <c r="C24" s="333"/>
      <c r="D24" s="332">
        <f t="shared" si="0"/>
        <v>0</v>
      </c>
      <c r="E24" s="338"/>
      <c r="F24" s="249" t="e">
        <f t="shared" si="1"/>
        <v>#DIV/0!</v>
      </c>
      <c r="G24" s="331"/>
      <c r="H24" s="333"/>
      <c r="I24" s="332">
        <f>SUM(G24:H24)</f>
        <v>0</v>
      </c>
      <c r="J24" s="338"/>
      <c r="K24" s="250" t="e">
        <f t="shared" si="2"/>
        <v>#DIV/0!</v>
      </c>
      <c r="L24" s="331"/>
      <c r="M24" s="333"/>
      <c r="N24" s="332">
        <f t="shared" si="3"/>
        <v>0</v>
      </c>
      <c r="O24" s="338"/>
      <c r="P24" s="249" t="e">
        <f t="shared" si="6"/>
        <v>#DIV/0!</v>
      </c>
    </row>
    <row r="25" spans="1:16" ht="14.1" customHeight="1" x14ac:dyDescent="0.2">
      <c r="A25" s="235" t="s">
        <v>76</v>
      </c>
      <c r="B25" s="331"/>
      <c r="C25" s="333"/>
      <c r="D25" s="332">
        <f t="shared" si="0"/>
        <v>0</v>
      </c>
      <c r="E25" s="338"/>
      <c r="F25" s="238" t="e">
        <f t="shared" si="1"/>
        <v>#DIV/0!</v>
      </c>
      <c r="G25" s="331"/>
      <c r="H25" s="333"/>
      <c r="I25" s="332">
        <f t="shared" ref="I25:I32" si="7">SUM(G25:H25)</f>
        <v>0</v>
      </c>
      <c r="J25" s="338"/>
      <c r="K25" s="244" t="e">
        <f t="shared" si="2"/>
        <v>#DIV/0!</v>
      </c>
      <c r="L25" s="331"/>
      <c r="M25" s="333"/>
      <c r="N25" s="332">
        <f t="shared" si="3"/>
        <v>0</v>
      </c>
      <c r="O25" s="338"/>
      <c r="P25" s="238" t="e">
        <f t="shared" si="6"/>
        <v>#DIV/0!</v>
      </c>
    </row>
    <row r="26" spans="1:16" ht="14.1" customHeight="1" x14ac:dyDescent="0.2">
      <c r="A26" s="248" t="s">
        <v>109</v>
      </c>
      <c r="B26" s="331"/>
      <c r="C26" s="333"/>
      <c r="D26" s="332">
        <f t="shared" si="0"/>
        <v>0</v>
      </c>
      <c r="E26" s="338"/>
      <c r="F26" s="249" t="e">
        <f t="shared" si="1"/>
        <v>#DIV/0!</v>
      </c>
      <c r="G26" s="331"/>
      <c r="H26" s="333"/>
      <c r="I26" s="332">
        <f t="shared" si="7"/>
        <v>0</v>
      </c>
      <c r="J26" s="338"/>
      <c r="K26" s="250" t="e">
        <f t="shared" si="2"/>
        <v>#DIV/0!</v>
      </c>
      <c r="L26" s="331"/>
      <c r="M26" s="333"/>
      <c r="N26" s="332">
        <f t="shared" si="3"/>
        <v>0</v>
      </c>
      <c r="O26" s="338"/>
      <c r="P26" s="249" t="e">
        <f t="shared" si="6"/>
        <v>#DIV/0!</v>
      </c>
    </row>
    <row r="27" spans="1:16" ht="14.1" customHeight="1" x14ac:dyDescent="0.2">
      <c r="A27" s="235" t="s">
        <v>110</v>
      </c>
      <c r="B27" s="331"/>
      <c r="C27" s="333"/>
      <c r="D27" s="332">
        <f t="shared" si="0"/>
        <v>0</v>
      </c>
      <c r="E27" s="338"/>
      <c r="F27" s="238" t="e">
        <f t="shared" si="1"/>
        <v>#DIV/0!</v>
      </c>
      <c r="G27" s="331"/>
      <c r="H27" s="333"/>
      <c r="I27" s="332">
        <f t="shared" si="7"/>
        <v>0</v>
      </c>
      <c r="J27" s="338"/>
      <c r="K27" s="244" t="e">
        <f t="shared" si="2"/>
        <v>#DIV/0!</v>
      </c>
      <c r="L27" s="331"/>
      <c r="M27" s="333"/>
      <c r="N27" s="332">
        <f t="shared" si="3"/>
        <v>0</v>
      </c>
      <c r="O27" s="338"/>
      <c r="P27" s="238" t="e">
        <f t="shared" si="6"/>
        <v>#DIV/0!</v>
      </c>
    </row>
    <row r="28" spans="1:16" ht="14.1" customHeight="1" x14ac:dyDescent="0.2">
      <c r="A28" s="248" t="s">
        <v>111</v>
      </c>
      <c r="B28" s="331"/>
      <c r="C28" s="333"/>
      <c r="D28" s="332">
        <f t="shared" si="0"/>
        <v>0</v>
      </c>
      <c r="E28" s="338"/>
      <c r="F28" s="249" t="e">
        <f t="shared" si="1"/>
        <v>#DIV/0!</v>
      </c>
      <c r="G28" s="331"/>
      <c r="H28" s="333"/>
      <c r="I28" s="332">
        <f t="shared" si="7"/>
        <v>0</v>
      </c>
      <c r="J28" s="338"/>
      <c r="K28" s="250" t="e">
        <f t="shared" si="2"/>
        <v>#DIV/0!</v>
      </c>
      <c r="L28" s="331"/>
      <c r="M28" s="333"/>
      <c r="N28" s="332">
        <f t="shared" si="3"/>
        <v>0</v>
      </c>
      <c r="O28" s="338"/>
      <c r="P28" s="249" t="e">
        <f t="shared" si="6"/>
        <v>#DIV/0!</v>
      </c>
    </row>
    <row r="29" spans="1:16" ht="14.1" customHeight="1" x14ac:dyDescent="0.2">
      <c r="A29" s="235" t="s">
        <v>112</v>
      </c>
      <c r="B29" s="331"/>
      <c r="C29" s="333"/>
      <c r="D29" s="332">
        <f t="shared" si="0"/>
        <v>0</v>
      </c>
      <c r="E29" s="338"/>
      <c r="F29" s="238" t="e">
        <f t="shared" si="1"/>
        <v>#DIV/0!</v>
      </c>
      <c r="G29" s="331"/>
      <c r="H29" s="333"/>
      <c r="I29" s="332">
        <f t="shared" si="7"/>
        <v>0</v>
      </c>
      <c r="J29" s="338"/>
      <c r="K29" s="244" t="e">
        <f t="shared" si="2"/>
        <v>#DIV/0!</v>
      </c>
      <c r="L29" s="331"/>
      <c r="M29" s="333"/>
      <c r="N29" s="332">
        <f t="shared" si="3"/>
        <v>0</v>
      </c>
      <c r="O29" s="338"/>
      <c r="P29" s="238" t="e">
        <f t="shared" si="6"/>
        <v>#DIV/0!</v>
      </c>
    </row>
    <row r="30" spans="1:16" ht="14.1" customHeight="1" x14ac:dyDescent="0.2">
      <c r="A30" s="248" t="s">
        <v>113</v>
      </c>
      <c r="B30" s="331"/>
      <c r="C30" s="333"/>
      <c r="D30" s="332">
        <f>SUM(B30:C30)</f>
        <v>0</v>
      </c>
      <c r="E30" s="338"/>
      <c r="F30" s="249" t="e">
        <f t="shared" si="1"/>
        <v>#DIV/0!</v>
      </c>
      <c r="G30" s="331"/>
      <c r="H30" s="333"/>
      <c r="I30" s="332">
        <f>SUM(G30:H30)</f>
        <v>0</v>
      </c>
      <c r="J30" s="338"/>
      <c r="K30" s="250" t="e">
        <f t="shared" si="2"/>
        <v>#DIV/0!</v>
      </c>
      <c r="L30" s="331"/>
      <c r="M30" s="333"/>
      <c r="N30" s="332">
        <f>SUM(L30:M30)</f>
        <v>0</v>
      </c>
      <c r="O30" s="338"/>
      <c r="P30" s="249" t="e">
        <f t="shared" si="6"/>
        <v>#DIV/0!</v>
      </c>
    </row>
    <row r="31" spans="1:16" ht="14.1" customHeight="1" x14ac:dyDescent="0.2">
      <c r="A31" s="235" t="s">
        <v>114</v>
      </c>
      <c r="B31" s="331"/>
      <c r="C31" s="333"/>
      <c r="D31" s="332">
        <f>SUM(B31:C31)</f>
        <v>0</v>
      </c>
      <c r="E31" s="338"/>
      <c r="F31" s="238" t="e">
        <f t="shared" si="1"/>
        <v>#DIV/0!</v>
      </c>
      <c r="G31" s="331"/>
      <c r="H31" s="333"/>
      <c r="I31" s="332">
        <f t="shared" si="7"/>
        <v>0</v>
      </c>
      <c r="J31" s="338"/>
      <c r="K31" s="244" t="e">
        <f t="shared" si="2"/>
        <v>#DIV/0!</v>
      </c>
      <c r="L31" s="331"/>
      <c r="M31" s="333"/>
      <c r="N31" s="332">
        <f>SUM(L31:M31)</f>
        <v>0</v>
      </c>
      <c r="O31" s="338"/>
      <c r="P31" s="238" t="e">
        <f t="shared" si="6"/>
        <v>#DIV/0!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8"/>
      <c r="F32" s="252" t="e">
        <f t="shared" si="1"/>
        <v>#DIV/0!</v>
      </c>
      <c r="G32" s="253"/>
      <c r="H32" s="161"/>
      <c r="I32" s="161">
        <f t="shared" si="7"/>
        <v>0</v>
      </c>
      <c r="J32" s="338"/>
      <c r="K32" s="252" t="e">
        <f t="shared" si="2"/>
        <v>#DIV/0!</v>
      </c>
      <c r="L32" s="331"/>
      <c r="M32" s="333"/>
      <c r="N32" s="161">
        <f t="shared" si="3"/>
        <v>0</v>
      </c>
      <c r="O32" s="338"/>
      <c r="P32" s="252" t="e">
        <f t="shared" si="6"/>
        <v>#DIV/0!</v>
      </c>
    </row>
    <row r="33" spans="1:16" ht="13.5" thickBot="1" x14ac:dyDescent="0.25">
      <c r="A33" s="245" t="s">
        <v>77</v>
      </c>
      <c r="B33" s="255">
        <f>SUM(B21:B32)</f>
        <v>278822</v>
      </c>
      <c r="C33" s="256">
        <f>SUM(C21:C32)</f>
        <v>275130</v>
      </c>
      <c r="D33" s="256">
        <f>SUM(D21:D32)</f>
        <v>553952</v>
      </c>
      <c r="E33" s="257">
        <f>SUM(E21:E32)</f>
        <v>529210</v>
      </c>
      <c r="F33" s="240">
        <f>(D33-E33)/E33</f>
        <v>4.6752706864949645E-2</v>
      </c>
      <c r="G33" s="258">
        <f>SUM(G21:G32)</f>
        <v>2395322</v>
      </c>
      <c r="H33" s="256">
        <f>SUM(H21:H32)</f>
        <v>2446909</v>
      </c>
      <c r="I33" s="256">
        <f>SUM(I21:I32)</f>
        <v>4842231</v>
      </c>
      <c r="J33" s="259">
        <f>SUM(J21:J32)</f>
        <v>4773638</v>
      </c>
      <c r="K33" s="241">
        <f>(I33-J33)/J33</f>
        <v>1.4369124763964087E-2</v>
      </c>
      <c r="L33" s="258">
        <f>SUM(L21:L32)</f>
        <v>2674144</v>
      </c>
      <c r="M33" s="256">
        <f>SUM(M21:M32)</f>
        <v>2722039</v>
      </c>
      <c r="N33" s="256">
        <f>SUM(N21:N32)</f>
        <v>5396183</v>
      </c>
      <c r="O33" s="257">
        <f>SUM(O21:O32)</f>
        <v>5302848</v>
      </c>
      <c r="P33" s="239">
        <f>(N33-O33)/O33</f>
        <v>1.760091935503337E-2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February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H9" sqref="H9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35"/>
      <c r="C1" s="535"/>
      <c r="D1" s="535"/>
      <c r="E1" s="453"/>
      <c r="F1" s="536" t="s">
        <v>94</v>
      </c>
      <c r="G1" s="537"/>
      <c r="H1" s="537"/>
      <c r="I1" s="537"/>
      <c r="J1" s="537"/>
      <c r="K1" s="537"/>
      <c r="L1" s="538"/>
    </row>
    <row r="2" spans="1:20" s="191" customFormat="1" ht="30.75" customHeight="1" thickBot="1" x14ac:dyDescent="0.25">
      <c r="A2" s="381">
        <v>43132</v>
      </c>
      <c r="B2" s="442" t="s">
        <v>186</v>
      </c>
      <c r="C2" s="8" t="s">
        <v>82</v>
      </c>
      <c r="D2" s="8" t="s">
        <v>83</v>
      </c>
      <c r="E2" s="199"/>
      <c r="F2" s="180" t="s">
        <v>84</v>
      </c>
      <c r="G2" s="180" t="s">
        <v>187</v>
      </c>
      <c r="H2" s="180" t="s">
        <v>167</v>
      </c>
      <c r="I2" s="102" t="s">
        <v>85</v>
      </c>
      <c r="J2" s="8" t="s">
        <v>86</v>
      </c>
      <c r="K2" s="180" t="s">
        <v>87</v>
      </c>
      <c r="L2" s="180" t="s">
        <v>130</v>
      </c>
      <c r="M2" s="180" t="s">
        <v>21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53</v>
      </c>
      <c r="B4" s="161">
        <f>[3]DHL!$FO$4</f>
        <v>20</v>
      </c>
      <c r="C4" s="161">
        <f>[3]FedEx!$FO$4+[3]FedEx!$FO$15</f>
        <v>121</v>
      </c>
      <c r="D4" s="161">
        <f>[3]UPS!$FO$4+[3]UPS!$FO$15</f>
        <v>108</v>
      </c>
      <c r="E4" s="192"/>
      <c r="F4" s="118">
        <f>[3]ATI_BAX!$FO$4</f>
        <v>0</v>
      </c>
      <c r="G4" s="161">
        <f>[3]IFL!$FO$4+[3]IFL!$FO$15</f>
        <v>26</v>
      </c>
      <c r="H4" s="118">
        <f>'[3]Suburban Air Freight'!$FO$15</f>
        <v>0</v>
      </c>
      <c r="I4" s="118">
        <f>[3]Bemidji!$FO$4</f>
        <v>260</v>
      </c>
      <c r="J4" s="118">
        <f>'[3]CSA Air'!$FO$4</f>
        <v>0</v>
      </c>
      <c r="K4" s="118">
        <f>'[3]Mountain Cargo'!$FO$4</f>
        <v>19</v>
      </c>
      <c r="L4" s="118">
        <f>'[3]Misc Cargo'!$FO$4</f>
        <v>0</v>
      </c>
      <c r="M4" s="204">
        <f>SUM(B4:L4)</f>
        <v>554</v>
      </c>
    </row>
    <row r="5" spans="1:20" x14ac:dyDescent="0.2">
      <c r="A5" s="53" t="s">
        <v>54</v>
      </c>
      <c r="B5" s="198">
        <f>[3]DHL!$FO$5</f>
        <v>20</v>
      </c>
      <c r="C5" s="198">
        <f>[3]FedEx!$FO$5</f>
        <v>121</v>
      </c>
      <c r="D5" s="198">
        <f>[3]UPS!$FO$5+[3]UPS!$FO$16</f>
        <v>108</v>
      </c>
      <c r="E5" s="192"/>
      <c r="F5" s="120">
        <f>[3]ATI_BAX!$FO$5</f>
        <v>0</v>
      </c>
      <c r="G5" s="198">
        <f>[3]IFL!$FO$5</f>
        <v>26</v>
      </c>
      <c r="H5" s="120">
        <f>'[3]Suburban Air Freight'!$FO$16</f>
        <v>0</v>
      </c>
      <c r="I5" s="120">
        <f>[3]Bemidji!$FO$5</f>
        <v>260</v>
      </c>
      <c r="J5" s="120">
        <f>'[3]CSA Air'!$FO$5</f>
        <v>2</v>
      </c>
      <c r="K5" s="120">
        <f>'[3]Mountain Cargo'!$FO$5</f>
        <v>19</v>
      </c>
      <c r="L5" s="120">
        <f>'[3]Misc Cargo'!$FO$5</f>
        <v>0</v>
      </c>
      <c r="M5" s="208">
        <f>SUM(B5:L5)</f>
        <v>556</v>
      </c>
    </row>
    <row r="6" spans="1:20" s="189" customFormat="1" x14ac:dyDescent="0.2">
      <c r="A6" s="205" t="s">
        <v>55</v>
      </c>
      <c r="B6" s="206">
        <f>SUM(B4:B5)</f>
        <v>40</v>
      </c>
      <c r="C6" s="206">
        <f>SUM(C4:C5)</f>
        <v>242</v>
      </c>
      <c r="D6" s="206">
        <f>SUM(D4:D5)</f>
        <v>216</v>
      </c>
      <c r="E6" s="193"/>
      <c r="F6" s="188">
        <f t="shared" ref="F6:L6" si="0">SUM(F4:F5)</f>
        <v>0</v>
      </c>
      <c r="G6" s="206">
        <f>SUM(G4:G5)</f>
        <v>52</v>
      </c>
      <c r="H6" s="188">
        <f t="shared" si="0"/>
        <v>0</v>
      </c>
      <c r="I6" s="188">
        <f t="shared" si="0"/>
        <v>520</v>
      </c>
      <c r="J6" s="188">
        <f t="shared" si="0"/>
        <v>2</v>
      </c>
      <c r="K6" s="188">
        <f t="shared" si="0"/>
        <v>38</v>
      </c>
      <c r="L6" s="188">
        <f t="shared" si="0"/>
        <v>0</v>
      </c>
      <c r="M6" s="207">
        <f>SUM(B6:L6)</f>
        <v>1110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56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Cargo'!$FO$8</f>
        <v>1</v>
      </c>
      <c r="M8" s="204">
        <f>SUM(B8:L8)</f>
        <v>1</v>
      </c>
    </row>
    <row r="9" spans="1:20" ht="15" x14ac:dyDescent="0.25">
      <c r="A9" s="53" t="s">
        <v>57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Cargo'!$FO$9</f>
        <v>0</v>
      </c>
      <c r="M9" s="208">
        <f>SUM(B9:L9)</f>
        <v>0</v>
      </c>
      <c r="P9" s="15"/>
      <c r="Q9" s="327"/>
      <c r="R9" s="327"/>
      <c r="S9" s="327"/>
      <c r="T9" s="327"/>
    </row>
    <row r="10" spans="1:20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1</v>
      </c>
      <c r="M10" s="207">
        <f>SUM(B10:L10)</f>
        <v>1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28</v>
      </c>
      <c r="B12" s="210">
        <f>B6+B10</f>
        <v>40</v>
      </c>
      <c r="C12" s="210">
        <f>C6+C10</f>
        <v>242</v>
      </c>
      <c r="D12" s="210">
        <f>D6+D10</f>
        <v>216</v>
      </c>
      <c r="E12" s="211"/>
      <c r="F12" s="212">
        <f t="shared" ref="F12:L12" si="2">F6+F10</f>
        <v>0</v>
      </c>
      <c r="G12" s="210">
        <f>G6+G10</f>
        <v>52</v>
      </c>
      <c r="H12" s="212">
        <f t="shared" si="2"/>
        <v>0</v>
      </c>
      <c r="I12" s="212">
        <f t="shared" si="2"/>
        <v>520</v>
      </c>
      <c r="J12" s="212">
        <f t="shared" si="2"/>
        <v>2</v>
      </c>
      <c r="K12" s="212">
        <f t="shared" si="2"/>
        <v>38</v>
      </c>
      <c r="L12" s="212">
        <f t="shared" si="2"/>
        <v>1</v>
      </c>
      <c r="M12" s="213">
        <f>SUM(B12:L12)</f>
        <v>1111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95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96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37</v>
      </c>
      <c r="B16" s="161">
        <f>[3]DHL!$FO$47</f>
        <v>584009</v>
      </c>
      <c r="C16" s="161">
        <f>[3]FedEx!$FO$47</f>
        <v>8157076</v>
      </c>
      <c r="D16" s="161">
        <f>[3]UPS!$FO$47</f>
        <v>5034928</v>
      </c>
      <c r="E16" s="192"/>
      <c r="F16" s="118">
        <f>[3]ATI_BAX!$FO$47</f>
        <v>0</v>
      </c>
      <c r="G16" s="161">
        <f>[3]IFL!$FO$47</f>
        <v>18923</v>
      </c>
      <c r="H16" s="118">
        <f>'[3]Suburban Air Freight'!$FO$47</f>
        <v>0</v>
      </c>
      <c r="I16" s="532" t="s">
        <v>88</v>
      </c>
      <c r="J16" s="118">
        <f>'[3]CSA Air'!$FO$47</f>
        <v>0</v>
      </c>
      <c r="K16" s="118">
        <f>'[3]Mountain Cargo'!$FO$47</f>
        <v>44235</v>
      </c>
      <c r="L16" s="118">
        <f>'[3]Misc Cargo'!$FO$47</f>
        <v>14442</v>
      </c>
      <c r="M16" s="204">
        <f>SUM(B16:H16)+SUM(J16:L16)</f>
        <v>13853613</v>
      </c>
    </row>
    <row r="17" spans="1:14" x14ac:dyDescent="0.2">
      <c r="A17" s="53" t="s">
        <v>38</v>
      </c>
      <c r="B17" s="161">
        <f>[3]DHL!$FO$48</f>
        <v>0</v>
      </c>
      <c r="C17" s="161">
        <f>[3]FedEx!$FO$48</f>
        <v>0</v>
      </c>
      <c r="D17" s="161">
        <f>[3]UPS!$FO$48</f>
        <v>653</v>
      </c>
      <c r="E17" s="192"/>
      <c r="F17" s="118">
        <f>[3]ATI_BAX!$FO$48</f>
        <v>0</v>
      </c>
      <c r="G17" s="161">
        <f>[3]IFL!$FO$48</f>
        <v>0</v>
      </c>
      <c r="H17" s="118">
        <f>'[3]Suburban Air Freight'!$FO$48</f>
        <v>0</v>
      </c>
      <c r="I17" s="533"/>
      <c r="J17" s="118">
        <f>'[3]CSA Air'!$FO$48</f>
        <v>0</v>
      </c>
      <c r="K17" s="118">
        <f>'[3]Mountain Cargo'!$FO$48</f>
        <v>0</v>
      </c>
      <c r="L17" s="118">
        <f>'[3]Misc Cargo'!$FO$48</f>
        <v>0</v>
      </c>
      <c r="M17" s="204">
        <f>SUM(B17:H17)+SUM(J17:L17)</f>
        <v>653</v>
      </c>
    </row>
    <row r="18" spans="1:14" ht="18" customHeight="1" x14ac:dyDescent="0.2">
      <c r="A18" s="219" t="s">
        <v>39</v>
      </c>
      <c r="B18" s="302">
        <f>SUM(B16:B17)</f>
        <v>584009</v>
      </c>
      <c r="C18" s="302">
        <f>SUM(C16:C17)</f>
        <v>8157076</v>
      </c>
      <c r="D18" s="302">
        <f>SUM(D16:D17)</f>
        <v>5035581</v>
      </c>
      <c r="E18" s="197"/>
      <c r="F18" s="303">
        <f>SUM(F16:F17)</f>
        <v>0</v>
      </c>
      <c r="G18" s="302">
        <f>SUM(G16:G17)</f>
        <v>18923</v>
      </c>
      <c r="H18" s="303">
        <f>SUM(H16:H17)</f>
        <v>0</v>
      </c>
      <c r="I18" s="533"/>
      <c r="J18" s="303">
        <f>SUM(J16:J17)</f>
        <v>0</v>
      </c>
      <c r="K18" s="303">
        <f>SUM(K16:K17)</f>
        <v>44235</v>
      </c>
      <c r="L18" s="303">
        <f>SUM(L16:L17)</f>
        <v>14442</v>
      </c>
      <c r="M18" s="220">
        <f>SUM(B18:H18)+SUM(J18:L18)</f>
        <v>13854266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533"/>
      <c r="J19" s="118"/>
      <c r="K19" s="118"/>
      <c r="L19" s="118"/>
      <c r="M19" s="204"/>
    </row>
    <row r="20" spans="1:14" x14ac:dyDescent="0.2">
      <c r="A20" s="221" t="s">
        <v>89</v>
      </c>
      <c r="B20" s="161"/>
      <c r="C20" s="161"/>
      <c r="D20" s="161"/>
      <c r="E20" s="192"/>
      <c r="F20" s="118"/>
      <c r="G20" s="161"/>
      <c r="H20" s="118"/>
      <c r="I20" s="533"/>
      <c r="J20" s="118"/>
      <c r="K20" s="118"/>
      <c r="L20" s="118"/>
      <c r="M20" s="204"/>
    </row>
    <row r="21" spans="1:14" x14ac:dyDescent="0.2">
      <c r="A21" s="53" t="s">
        <v>59</v>
      </c>
      <c r="B21" s="161">
        <f>[3]DHL!$FO$52</f>
        <v>508408</v>
      </c>
      <c r="C21" s="161">
        <f>[3]FedEx!$FO$52</f>
        <v>7537779</v>
      </c>
      <c r="D21" s="161">
        <f>[3]UPS!$FO$52</f>
        <v>4220259</v>
      </c>
      <c r="E21" s="192"/>
      <c r="F21" s="118">
        <f>[3]ATI_BAX!$FO$52</f>
        <v>0</v>
      </c>
      <c r="G21" s="161">
        <f>[3]IFL!$FO$52</f>
        <v>45</v>
      </c>
      <c r="H21" s="118">
        <f>'[3]Suburban Air Freight'!$FO$52</f>
        <v>0</v>
      </c>
      <c r="I21" s="533"/>
      <c r="J21" s="118">
        <f>'[3]CSA Air'!$FO$52</f>
        <v>3414</v>
      </c>
      <c r="K21" s="118">
        <f>'[3]Mountain Cargo'!$FO$52</f>
        <v>75619</v>
      </c>
      <c r="L21" s="118">
        <f>'[3]Misc Cargo'!$FO$52</f>
        <v>0</v>
      </c>
      <c r="M21" s="204">
        <f>SUM(B21:H21)+SUM(J21:L21)</f>
        <v>12345524</v>
      </c>
    </row>
    <row r="22" spans="1:14" x14ac:dyDescent="0.2">
      <c r="A22" s="53" t="s">
        <v>60</v>
      </c>
      <c r="B22" s="161">
        <f>[3]DHL!$FO$53</f>
        <v>0</v>
      </c>
      <c r="C22" s="161">
        <f>[3]FedEx!$FO$53</f>
        <v>0</v>
      </c>
      <c r="D22" s="161">
        <f>[3]UPS!$FO$53</f>
        <v>556481</v>
      </c>
      <c r="E22" s="192"/>
      <c r="F22" s="118">
        <f>[3]ATI_BAX!$FO$53</f>
        <v>0</v>
      </c>
      <c r="G22" s="161">
        <f>[3]IFL!$FO$53</f>
        <v>0</v>
      </c>
      <c r="H22" s="118">
        <f>'[3]Suburban Air Freight'!$FO$53</f>
        <v>0</v>
      </c>
      <c r="I22" s="533"/>
      <c r="J22" s="118">
        <f>'[3]CSA Air'!$FO$53</f>
        <v>0</v>
      </c>
      <c r="K22" s="118">
        <f>'[3]Mountain Cargo'!$FO$53</f>
        <v>0</v>
      </c>
      <c r="L22" s="118">
        <f>'[3]Misc Cargo'!$FO$53</f>
        <v>0</v>
      </c>
      <c r="M22" s="204">
        <f>SUM(B22:H22)+SUM(J22:L22)</f>
        <v>556481</v>
      </c>
    </row>
    <row r="23" spans="1:14" ht="18" customHeight="1" x14ac:dyDescent="0.2">
      <c r="A23" s="219" t="s">
        <v>41</v>
      </c>
      <c r="B23" s="302">
        <f>SUM(B21:B22)</f>
        <v>508408</v>
      </c>
      <c r="C23" s="302">
        <f>SUM(C21:C22)</f>
        <v>7537779</v>
      </c>
      <c r="D23" s="302">
        <f>SUM(D21:D22)</f>
        <v>4776740</v>
      </c>
      <c r="E23" s="197"/>
      <c r="F23" s="303">
        <f>SUM(F21:F22)</f>
        <v>0</v>
      </c>
      <c r="G23" s="302">
        <f>SUM(G21:G22)</f>
        <v>45</v>
      </c>
      <c r="H23" s="303">
        <f>SUM(H21:H22)</f>
        <v>0</v>
      </c>
      <c r="I23" s="533"/>
      <c r="J23" s="303">
        <f>SUM(J21:J22)</f>
        <v>3414</v>
      </c>
      <c r="K23" s="303">
        <f>SUM(K21:K22)</f>
        <v>75619</v>
      </c>
      <c r="L23" s="303">
        <f>SUM(L21:L22)</f>
        <v>0</v>
      </c>
      <c r="M23" s="220">
        <f>SUM(B23:H23)+SUM(J23:L23)</f>
        <v>12902005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533"/>
      <c r="J24" s="118"/>
      <c r="K24" s="118"/>
      <c r="L24" s="118"/>
      <c r="M24" s="204"/>
    </row>
    <row r="25" spans="1:14" x14ac:dyDescent="0.2">
      <c r="A25" s="221" t="s">
        <v>97</v>
      </c>
      <c r="B25" s="161"/>
      <c r="C25" s="161"/>
      <c r="D25" s="161"/>
      <c r="E25" s="192"/>
      <c r="F25" s="118"/>
      <c r="G25" s="161"/>
      <c r="H25" s="118"/>
      <c r="I25" s="533"/>
      <c r="J25" s="118"/>
      <c r="K25" s="118"/>
      <c r="L25" s="118"/>
      <c r="M25" s="204"/>
    </row>
    <row r="26" spans="1:14" x14ac:dyDescent="0.2">
      <c r="A26" s="53" t="s">
        <v>59</v>
      </c>
      <c r="B26" s="161">
        <f>[3]DHL!$FO$57</f>
        <v>0</v>
      </c>
      <c r="C26" s="161">
        <f>[3]FedEx!$FO$57</f>
        <v>0</v>
      </c>
      <c r="D26" s="161">
        <f>[3]UPS!$FO$57</f>
        <v>0</v>
      </c>
      <c r="E26" s="192"/>
      <c r="F26" s="118">
        <f>[3]ATI_BAX!$FO$57</f>
        <v>0</v>
      </c>
      <c r="G26" s="161">
        <f>[3]IFL!$FO$57</f>
        <v>0</v>
      </c>
      <c r="H26" s="118">
        <f>'[3]Suburban Air Freight'!$FO$57</f>
        <v>0</v>
      </c>
      <c r="I26" s="533"/>
      <c r="J26" s="118">
        <f>'[3]CSA Air'!$FO$57</f>
        <v>0</v>
      </c>
      <c r="K26" s="118">
        <f>'[3]Mountain Cargo'!$FO$57</f>
        <v>0</v>
      </c>
      <c r="L26" s="118">
        <f>'[3]Misc Cargo'!$FO$57</f>
        <v>0</v>
      </c>
      <c r="M26" s="204">
        <f>SUM(B26:H26)+SUM(J26:L26)</f>
        <v>0</v>
      </c>
    </row>
    <row r="27" spans="1:14" x14ac:dyDescent="0.2">
      <c r="A27" s="53" t="s">
        <v>60</v>
      </c>
      <c r="B27" s="161">
        <f>[3]DHL!$FO$58</f>
        <v>0</v>
      </c>
      <c r="C27" s="161">
        <f>[3]FedEx!$FO$58</f>
        <v>0</v>
      </c>
      <c r="D27" s="161">
        <f>[3]UPS!$FO$58</f>
        <v>0</v>
      </c>
      <c r="E27" s="192"/>
      <c r="F27" s="118">
        <f>[3]ATI_BAX!$FO$58</f>
        <v>0</v>
      </c>
      <c r="G27" s="161">
        <f>[3]IFL!$FO$58</f>
        <v>0</v>
      </c>
      <c r="H27" s="118">
        <f>'[3]Suburban Air Freight'!$FO$58</f>
        <v>0</v>
      </c>
      <c r="I27" s="533"/>
      <c r="J27" s="118">
        <f>'[3]CSA Air'!$FO$58</f>
        <v>0</v>
      </c>
      <c r="K27" s="118">
        <f>'[3]Mountain Cargo'!$FO$58</f>
        <v>0</v>
      </c>
      <c r="L27" s="118">
        <f>'[3]Misc Cargo'!$FO$58</f>
        <v>0</v>
      </c>
      <c r="M27" s="204">
        <f>SUM(B27:H27)+SUM(J27:L27)</f>
        <v>0</v>
      </c>
    </row>
    <row r="28" spans="1:14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197"/>
      <c r="F28" s="303">
        <f>SUM(F26:F27)</f>
        <v>0</v>
      </c>
      <c r="G28" s="302">
        <f>SUM(G26:G27)</f>
        <v>0</v>
      </c>
      <c r="H28" s="303">
        <f>SUM(H26:H27)</f>
        <v>0</v>
      </c>
      <c r="I28" s="533"/>
      <c r="J28" s="303">
        <f>SUM(J26:J27)</f>
        <v>0</v>
      </c>
      <c r="K28" s="303">
        <f>SUM(K26:K27)</f>
        <v>0</v>
      </c>
      <c r="L28" s="303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533"/>
      <c r="J29" s="118"/>
      <c r="K29" s="118"/>
      <c r="L29" s="118"/>
      <c r="M29" s="204"/>
    </row>
    <row r="30" spans="1:14" x14ac:dyDescent="0.2">
      <c r="A30" s="222" t="s">
        <v>44</v>
      </c>
      <c r="B30" s="161"/>
      <c r="C30" s="161"/>
      <c r="D30" s="161"/>
      <c r="E30" s="192"/>
      <c r="F30" s="118"/>
      <c r="G30" s="161"/>
      <c r="H30" s="118"/>
      <c r="I30" s="533"/>
      <c r="J30" s="118"/>
      <c r="K30" s="118"/>
      <c r="L30" s="118"/>
      <c r="M30" s="204"/>
    </row>
    <row r="31" spans="1:14" x14ac:dyDescent="0.2">
      <c r="A31" s="53" t="s">
        <v>90</v>
      </c>
      <c r="B31" s="161">
        <f t="shared" ref="B31:D33" si="3">B26+B21+B16</f>
        <v>1092417</v>
      </c>
      <c r="C31" s="161">
        <f t="shared" si="3"/>
        <v>15694855</v>
      </c>
      <c r="D31" s="161">
        <f t="shared" si="3"/>
        <v>9255187</v>
      </c>
      <c r="E31" s="192"/>
      <c r="F31" s="118">
        <f t="shared" ref="F31:H33" si="4">F26+F21+F16</f>
        <v>0</v>
      </c>
      <c r="G31" s="161">
        <f t="shared" si="4"/>
        <v>18968</v>
      </c>
      <c r="H31" s="118">
        <f t="shared" si="4"/>
        <v>0</v>
      </c>
      <c r="I31" s="533"/>
      <c r="J31" s="118">
        <f t="shared" ref="J31:L33" si="5">J26+J21+J16</f>
        <v>3414</v>
      </c>
      <c r="K31" s="118">
        <f t="shared" si="5"/>
        <v>119854</v>
      </c>
      <c r="L31" s="118">
        <f>L26+L21+L16</f>
        <v>14442</v>
      </c>
      <c r="M31" s="204">
        <f>SUM(B31:H31)+SUM(J31:L31)</f>
        <v>26199137</v>
      </c>
    </row>
    <row r="32" spans="1:14" x14ac:dyDescent="0.2">
      <c r="A32" s="53" t="s">
        <v>60</v>
      </c>
      <c r="B32" s="161">
        <f t="shared" si="3"/>
        <v>0</v>
      </c>
      <c r="C32" s="161">
        <f t="shared" si="3"/>
        <v>0</v>
      </c>
      <c r="D32" s="161">
        <f t="shared" si="3"/>
        <v>557134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34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557134</v>
      </c>
    </row>
    <row r="33" spans="1:13" ht="18" customHeight="1" thickBot="1" x14ac:dyDescent="0.25">
      <c r="A33" s="209" t="s">
        <v>46</v>
      </c>
      <c r="B33" s="210">
        <f t="shared" si="3"/>
        <v>1092417</v>
      </c>
      <c r="C33" s="210">
        <f t="shared" si="3"/>
        <v>15694855</v>
      </c>
      <c r="D33" s="210">
        <f t="shared" si="3"/>
        <v>9812321</v>
      </c>
      <c r="E33" s="223"/>
      <c r="F33" s="212">
        <f t="shared" si="4"/>
        <v>0</v>
      </c>
      <c r="G33" s="210">
        <f t="shared" si="4"/>
        <v>18968</v>
      </c>
      <c r="H33" s="212">
        <f t="shared" si="4"/>
        <v>0</v>
      </c>
      <c r="I33" s="304">
        <f>I28+I23+I18</f>
        <v>0</v>
      </c>
      <c r="J33" s="212">
        <f t="shared" si="5"/>
        <v>3414</v>
      </c>
      <c r="K33" s="212">
        <f t="shared" si="5"/>
        <v>119854</v>
      </c>
      <c r="L33" s="212">
        <f t="shared" si="5"/>
        <v>14442</v>
      </c>
      <c r="M33" s="213">
        <f>SUM(B33:H33)+SUM(J33:L33)</f>
        <v>26756271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4" orientation="landscape" r:id="rId1"/>
  <headerFooter alignWithMargins="0">
    <oddHeader>&amp;L
Schedule 7
&amp;CMinneapolis-St. Paul International Airport
&amp;"Arial,Bold"Cargo
February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J5" sqref="J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81">
        <v>43132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Stats'!J28</f>
        <v>4970845</v>
      </c>
      <c r="C5" s="118">
        <f>'Regional Major'!M25</f>
        <v>2203</v>
      </c>
      <c r="D5" s="118">
        <f>Cargo!M16</f>
        <v>13853613</v>
      </c>
      <c r="E5" s="118">
        <f>SUM(B5:D5)</f>
        <v>18826661</v>
      </c>
      <c r="F5" s="118">
        <f>E5*0.00045359237</f>
        <v>8539.6297821765693</v>
      </c>
      <c r="G5" s="146">
        <f>'[1]Cargo Summary'!F5</f>
        <v>7867.3070066999098</v>
      </c>
      <c r="H5" s="98">
        <f>(F5-G5)/G5</f>
        <v>8.5457803401354476E-2</v>
      </c>
      <c r="I5" s="146">
        <f>+F5+'[2]Cargo Summary'!I5</f>
        <v>17493.357193104868</v>
      </c>
      <c r="J5" s="146">
        <f>'[1]Cargo Summary'!I5</f>
        <v>15760.031969037511</v>
      </c>
      <c r="K5" s="85">
        <f>(I5-J5)/J5</f>
        <v>0.10998234188056753</v>
      </c>
      <c r="M5" s="35"/>
    </row>
    <row r="6" spans="1:18" x14ac:dyDescent="0.2">
      <c r="A6" s="62" t="s">
        <v>16</v>
      </c>
      <c r="B6" s="169">
        <f>'Major Airline Stats'!J29</f>
        <v>1722953</v>
      </c>
      <c r="C6" s="118">
        <f>'Regional Major'!M26</f>
        <v>3229</v>
      </c>
      <c r="D6" s="118">
        <f>Cargo!M17</f>
        <v>653</v>
      </c>
      <c r="E6" s="118">
        <f>SUM(B6:D6)</f>
        <v>1726835</v>
      </c>
      <c r="F6" s="118">
        <f>E6*0.00045359237</f>
        <v>783.27918024894996</v>
      </c>
      <c r="G6" s="146">
        <f>'[1]Cargo Summary'!F6</f>
        <v>710.82414943462993</v>
      </c>
      <c r="H6" s="37">
        <f>(F6-G6)/G6</f>
        <v>0.10193102031205435</v>
      </c>
      <c r="I6" s="146">
        <f>+F6+'[2]Cargo Summary'!I6</f>
        <v>1577.2263994479299</v>
      </c>
      <c r="J6" s="146">
        <f>'[1]Cargo Summary'!I6</f>
        <v>1506.63200453535</v>
      </c>
      <c r="K6" s="85">
        <f>(I6-J6)/J6</f>
        <v>4.6855764845080028E-2</v>
      </c>
      <c r="M6" s="35"/>
    </row>
    <row r="7" spans="1:18" ht="18" customHeight="1" thickBot="1" x14ac:dyDescent="0.25">
      <c r="A7" s="73" t="s">
        <v>72</v>
      </c>
      <c r="B7" s="171">
        <f>SUM(B5:B6)</f>
        <v>6693798</v>
      </c>
      <c r="C7" s="133">
        <f t="shared" ref="C7:J7" si="0">SUM(C5:C6)</f>
        <v>5432</v>
      </c>
      <c r="D7" s="133">
        <f t="shared" si="0"/>
        <v>13854266</v>
      </c>
      <c r="E7" s="133">
        <f t="shared" si="0"/>
        <v>20553496</v>
      </c>
      <c r="F7" s="133">
        <f t="shared" si="0"/>
        <v>9322.9089624255193</v>
      </c>
      <c r="G7" s="133">
        <f t="shared" si="0"/>
        <v>8578.1311561345392</v>
      </c>
      <c r="H7" s="44">
        <f>(F7-G7)/G7</f>
        <v>8.6822851357123629E-2</v>
      </c>
      <c r="I7" s="133">
        <f t="shared" si="0"/>
        <v>19070.583592552797</v>
      </c>
      <c r="J7" s="133">
        <f t="shared" si="0"/>
        <v>17266.66397357286</v>
      </c>
      <c r="K7" s="318">
        <f>(I7-J7)/J7</f>
        <v>0.10447412550223303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Stats'!J33</f>
        <v>2951462</v>
      </c>
      <c r="C10" s="118">
        <f>'Regional Major'!M30</f>
        <v>119</v>
      </c>
      <c r="D10" s="118">
        <f>Cargo!M21</f>
        <v>12345524</v>
      </c>
      <c r="E10" s="118">
        <f>SUM(B10:D10)</f>
        <v>15297105</v>
      </c>
      <c r="F10" s="118">
        <f>E10*0.00045359237</f>
        <v>6938.6501110888503</v>
      </c>
      <c r="G10" s="146">
        <f>'[1]Cargo Summary'!F10</f>
        <v>6905.85583633022</v>
      </c>
      <c r="H10" s="37">
        <f>(F10-G10)/G10</f>
        <v>4.7487633011547526E-3</v>
      </c>
      <c r="I10" s="146">
        <f>+F10+'[2]Cargo Summary'!I10</f>
        <v>14150.59824335773</v>
      </c>
      <c r="J10" s="146">
        <f>'[1]Cargo Summary'!I10</f>
        <v>14207.397987113869</v>
      </c>
      <c r="K10" s="85">
        <f>(I10-J10)/J10</f>
        <v>-3.9978991091582268E-3</v>
      </c>
      <c r="M10" s="35"/>
    </row>
    <row r="11" spans="1:18" x14ac:dyDescent="0.2">
      <c r="A11" s="62" t="s">
        <v>16</v>
      </c>
      <c r="B11" s="169">
        <f>'Major Airline Stats'!J34</f>
        <v>1645099</v>
      </c>
      <c r="C11" s="118">
        <f>'Regional Major'!M31</f>
        <v>1792</v>
      </c>
      <c r="D11" s="118">
        <f>Cargo!M22</f>
        <v>556481</v>
      </c>
      <c r="E11" s="118">
        <f>SUM(B11:D11)</f>
        <v>2203372</v>
      </c>
      <c r="F11" s="118">
        <f>E11*0.00045359237</f>
        <v>999.43272747163996</v>
      </c>
      <c r="G11" s="146">
        <f>'[1]Cargo Summary'!F11</f>
        <v>1106.5884817757001</v>
      </c>
      <c r="H11" s="35">
        <f>(F11-G11)/G11</f>
        <v>-9.6834330077348527E-2</v>
      </c>
      <c r="I11" s="146">
        <f>+F11+'[2]Cargo Summary'!I11</f>
        <v>2282.1230037914002</v>
      </c>
      <c r="J11" s="146">
        <f>'[1]Cargo Summary'!I11</f>
        <v>1704.1705744856099</v>
      </c>
      <c r="K11" s="85">
        <f>(I11-J11)/J11</f>
        <v>0.33914001213184924</v>
      </c>
      <c r="M11" s="35"/>
    </row>
    <row r="12" spans="1:18" ht="18" customHeight="1" thickBot="1" x14ac:dyDescent="0.25">
      <c r="A12" s="73" t="s">
        <v>73</v>
      </c>
      <c r="B12" s="171">
        <f>SUM(B10:B11)</f>
        <v>4596561</v>
      </c>
      <c r="C12" s="133">
        <f t="shared" ref="C12:J12" si="1">SUM(C10:C11)</f>
        <v>1911</v>
      </c>
      <c r="D12" s="133">
        <f t="shared" si="1"/>
        <v>12902005</v>
      </c>
      <c r="E12" s="133">
        <f t="shared" si="1"/>
        <v>17500477</v>
      </c>
      <c r="F12" s="133">
        <f t="shared" si="1"/>
        <v>7938.08283856049</v>
      </c>
      <c r="G12" s="133">
        <f t="shared" si="1"/>
        <v>8012.4443181059196</v>
      </c>
      <c r="H12" s="44">
        <f>(F12-G12)/G12</f>
        <v>-9.2807483700564491E-3</v>
      </c>
      <c r="I12" s="133">
        <f t="shared" si="1"/>
        <v>16432.721247149129</v>
      </c>
      <c r="J12" s="133">
        <f t="shared" si="1"/>
        <v>15911.568561599479</v>
      </c>
      <c r="K12" s="318">
        <f>(I12-J12)/J12</f>
        <v>3.2753067903524315E-2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Stats'!J38</f>
        <v>0</v>
      </c>
      <c r="C15" s="118">
        <f>'Regional Major'!M35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5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Stats'!J39</f>
        <v>0</v>
      </c>
      <c r="C16" s="118">
        <f>'Regional Major'!M36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7922307</v>
      </c>
      <c r="C20" s="118">
        <f t="shared" si="3"/>
        <v>2322</v>
      </c>
      <c r="D20" s="118">
        <f t="shared" si="3"/>
        <v>26199137</v>
      </c>
      <c r="E20" s="118">
        <f>SUM(B20:D20)</f>
        <v>34123766</v>
      </c>
      <c r="F20" s="118">
        <f>E20*0.00045359237</f>
        <v>15478.27989326542</v>
      </c>
      <c r="G20" s="146">
        <f>'[1]Cargo Summary'!F20</f>
        <v>14773.16284303013</v>
      </c>
      <c r="H20" s="37">
        <f>(F20-G20)/G20</f>
        <v>4.7729593028073856E-2</v>
      </c>
      <c r="I20" s="146">
        <f>+F20+'[2]Cargo Summary'!I20</f>
        <v>31643.955436462602</v>
      </c>
      <c r="J20" s="146">
        <f>+J5+J10+J15</f>
        <v>29967.42995615138</v>
      </c>
      <c r="K20" s="85">
        <f>(I20-J20)/J20</f>
        <v>5.5944920293943448E-2</v>
      </c>
      <c r="M20" s="35"/>
    </row>
    <row r="21" spans="1:13" x14ac:dyDescent="0.2">
      <c r="A21" s="62" t="s">
        <v>16</v>
      </c>
      <c r="B21" s="169">
        <f t="shared" si="3"/>
        <v>3368052</v>
      </c>
      <c r="C21" s="120">
        <f t="shared" si="3"/>
        <v>5021</v>
      </c>
      <c r="D21" s="120">
        <f t="shared" si="3"/>
        <v>557134</v>
      </c>
      <c r="E21" s="118">
        <f>SUM(B21:D21)</f>
        <v>3930207</v>
      </c>
      <c r="F21" s="118">
        <f>E21*0.00045359237</f>
        <v>1782.71190772059</v>
      </c>
      <c r="G21" s="146">
        <f>'[1]Cargo Summary'!F21</f>
        <v>1817.4126312103299</v>
      </c>
      <c r="H21" s="37">
        <f>(F21-G21)/G21</f>
        <v>-1.9093475468270765E-2</v>
      </c>
      <c r="I21" s="146">
        <f>+F21+'[2]Cargo Summary'!I21</f>
        <v>3859.3494032393301</v>
      </c>
      <c r="J21" s="146">
        <f>+J6+J11+J16</f>
        <v>3210.8025790209599</v>
      </c>
      <c r="K21" s="85">
        <f>(I21-J21)/J21</f>
        <v>0.20198900687818852</v>
      </c>
      <c r="M21" s="35"/>
    </row>
    <row r="22" spans="1:13" ht="18" customHeight="1" thickBot="1" x14ac:dyDescent="0.25">
      <c r="A22" s="88" t="s">
        <v>62</v>
      </c>
      <c r="B22" s="172">
        <f>SUM(B20:B21)</f>
        <v>11290359</v>
      </c>
      <c r="C22" s="173">
        <f t="shared" ref="C22:J22" si="4">SUM(C20:C21)</f>
        <v>7343</v>
      </c>
      <c r="D22" s="173">
        <f t="shared" si="4"/>
        <v>26756271</v>
      </c>
      <c r="E22" s="173">
        <f t="shared" si="4"/>
        <v>38053973</v>
      </c>
      <c r="F22" s="173">
        <f t="shared" si="4"/>
        <v>17260.991800986012</v>
      </c>
      <c r="G22" s="173">
        <f t="shared" si="4"/>
        <v>16590.575474240461</v>
      </c>
      <c r="H22" s="324">
        <f>(F22-G22)/G22</f>
        <v>4.0409467880513292E-2</v>
      </c>
      <c r="I22" s="173">
        <f t="shared" si="4"/>
        <v>35503.30483970193</v>
      </c>
      <c r="J22" s="173">
        <f t="shared" si="4"/>
        <v>33178.232535172341</v>
      </c>
      <c r="K22" s="325">
        <f>(I22-J22)/J22</f>
        <v>7.0078244887360197E-2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February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K11" sqref="K11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5" t="s">
        <v>206</v>
      </c>
      <c r="B2" s="546"/>
      <c r="C2" s="464" t="s">
        <v>217</v>
      </c>
      <c r="D2" s="466" t="s">
        <v>192</v>
      </c>
      <c r="E2" s="467" t="s">
        <v>98</v>
      </c>
      <c r="F2" s="468" t="s">
        <v>218</v>
      </c>
      <c r="G2" s="466" t="s">
        <v>193</v>
      </c>
      <c r="H2" s="465" t="s">
        <v>99</v>
      </c>
      <c r="I2" s="467" t="s">
        <v>140</v>
      </c>
      <c r="J2" s="545" t="s">
        <v>201</v>
      </c>
      <c r="K2" s="546"/>
      <c r="L2" s="464" t="s">
        <v>219</v>
      </c>
      <c r="M2" s="466" t="s">
        <v>194</v>
      </c>
      <c r="N2" s="469" t="s">
        <v>99</v>
      </c>
      <c r="O2" s="470" t="s">
        <v>220</v>
      </c>
      <c r="P2" s="470" t="s">
        <v>195</v>
      </c>
      <c r="Q2" s="503" t="s">
        <v>99</v>
      </c>
      <c r="R2" s="467" t="s">
        <v>224</v>
      </c>
    </row>
    <row r="3" spans="1:19" s="224" customFormat="1" ht="13.5" customHeight="1" thickBot="1" x14ac:dyDescent="0.25">
      <c r="A3" s="547">
        <v>43132</v>
      </c>
      <c r="B3" s="548"/>
      <c r="C3" s="549" t="s">
        <v>9</v>
      </c>
      <c r="D3" s="550"/>
      <c r="E3" s="550"/>
      <c r="F3" s="550"/>
      <c r="G3" s="550"/>
      <c r="H3" s="551"/>
      <c r="I3" s="471"/>
      <c r="J3" s="547">
        <f>+A3</f>
        <v>43132</v>
      </c>
      <c r="K3" s="548"/>
      <c r="L3" s="539" t="s">
        <v>202</v>
      </c>
      <c r="M3" s="540"/>
      <c r="N3" s="540"/>
      <c r="O3" s="540"/>
      <c r="P3" s="540"/>
      <c r="Q3" s="540"/>
      <c r="R3" s="541"/>
    </row>
    <row r="4" spans="1:19" x14ac:dyDescent="0.2">
      <c r="A4" s="344"/>
      <c r="B4" s="345"/>
      <c r="C4" s="346"/>
      <c r="D4" s="347"/>
      <c r="E4" s="348"/>
      <c r="F4" s="472"/>
      <c r="G4" s="415"/>
      <c r="H4" s="489"/>
      <c r="I4" s="348"/>
      <c r="J4" s="349"/>
      <c r="K4" s="345"/>
      <c r="L4" s="498"/>
      <c r="M4" s="5"/>
      <c r="N4" s="85"/>
      <c r="O4" s="53"/>
      <c r="P4" s="11"/>
      <c r="Q4" s="11"/>
      <c r="R4" s="55"/>
    </row>
    <row r="5" spans="1:19" ht="14.1" customHeight="1" x14ac:dyDescent="0.2">
      <c r="A5" s="351" t="s">
        <v>203</v>
      </c>
      <c r="B5" s="55"/>
      <c r="C5" s="352">
        <f>+[3]DHL!$FO$12</f>
        <v>40</v>
      </c>
      <c r="D5" s="354">
        <f>+[3]DHL!$FA$12</f>
        <v>40</v>
      </c>
      <c r="E5" s="355">
        <f>(C5-D5)/D5</f>
        <v>0</v>
      </c>
      <c r="F5" s="352">
        <f>+SUM([3]DHL!$FN$12:$FO$12)</f>
        <v>82</v>
      </c>
      <c r="G5" s="354">
        <f>+SUM([3]DHL!$EZ$12:$FA$12)</f>
        <v>84</v>
      </c>
      <c r="H5" s="353">
        <f>(F5-G5)/G5</f>
        <v>-2.3809523809523808E-2</v>
      </c>
      <c r="I5" s="355">
        <f>+F5/$F$24</f>
        <v>3.5421166306695465E-2</v>
      </c>
      <c r="J5" s="351" t="s">
        <v>203</v>
      </c>
      <c r="K5" s="55"/>
      <c r="L5" s="352">
        <f>+[3]DHL!$FO$64</f>
        <v>1092417</v>
      </c>
      <c r="M5" s="354">
        <f>+[3]DHL!$FA$64</f>
        <v>1067092</v>
      </c>
      <c r="N5" s="355">
        <f>(L5-M5)/M5</f>
        <v>2.3732724076274584E-2</v>
      </c>
      <c r="O5" s="352">
        <f>+SUM([3]DHL!$FN$64:$FO$64)</f>
        <v>2247934</v>
      </c>
      <c r="P5" s="354">
        <f>+SUM([3]DHL!$EZ$64:$FA$64)</f>
        <v>2161055</v>
      </c>
      <c r="Q5" s="353">
        <f>(O5-P5)/P5</f>
        <v>4.0202123499864649E-2</v>
      </c>
      <c r="R5" s="355">
        <f>O5/$O$24</f>
        <v>4.0201613433970988E-2</v>
      </c>
      <c r="S5" s="20"/>
    </row>
    <row r="6" spans="1:19" ht="14.1" customHeight="1" x14ac:dyDescent="0.2">
      <c r="A6" s="351"/>
      <c r="B6" s="365"/>
      <c r="C6" s="352"/>
      <c r="D6" s="354"/>
      <c r="E6" s="355"/>
      <c r="F6" s="352"/>
      <c r="G6" s="354"/>
      <c r="H6" s="353"/>
      <c r="I6" s="355"/>
      <c r="J6" s="351"/>
      <c r="K6" s="55"/>
      <c r="L6" s="356"/>
      <c r="M6" s="9"/>
      <c r="N6" s="86"/>
      <c r="O6" s="356"/>
      <c r="P6" s="354"/>
      <c r="Q6" s="39"/>
      <c r="R6" s="86"/>
      <c r="S6" s="20"/>
    </row>
    <row r="7" spans="1:19" ht="14.1" customHeight="1" x14ac:dyDescent="0.2">
      <c r="A7" s="351" t="s">
        <v>204</v>
      </c>
      <c r="B7" s="365"/>
      <c r="C7" s="352">
        <f>+[3]FedEx!$FO$12</f>
        <v>242</v>
      </c>
      <c r="D7" s="354">
        <f>+[3]FedEx!$FA$12</f>
        <v>168</v>
      </c>
      <c r="E7" s="355">
        <f>(C7-D7)/D7</f>
        <v>0.44047619047619047</v>
      </c>
      <c r="F7" s="352">
        <f>+SUM([3]FedEx!$FN$12:$FO$12)</f>
        <v>500</v>
      </c>
      <c r="G7" s="354">
        <f>+SUM([3]FedEx!$EZ$12:$FA$12)</f>
        <v>344</v>
      </c>
      <c r="H7" s="353">
        <f t="shared" ref="H7" si="0">(F7-G7)/G7</f>
        <v>0.45348837209302323</v>
      </c>
      <c r="I7" s="355">
        <f>+F7/$F$24</f>
        <v>0.21598272138228941</v>
      </c>
      <c r="J7" s="351" t="s">
        <v>204</v>
      </c>
      <c r="K7" s="55"/>
      <c r="L7" s="352">
        <f>+[3]FedEx!$FO$64</f>
        <v>15694855</v>
      </c>
      <c r="M7" s="354">
        <f>+[3]FedEx!$FA$64</f>
        <v>15428532</v>
      </c>
      <c r="N7" s="355">
        <f>(L7-M7)/M7</f>
        <v>1.7261720039210469E-2</v>
      </c>
      <c r="O7" s="352">
        <f>+SUM([3]FedEx!$FN$64:$FO$64)</f>
        <v>32682085</v>
      </c>
      <c r="P7" s="354">
        <f>+SUM([3]FedEx!$EZ$64:$FA$64)</f>
        <v>31557444</v>
      </c>
      <c r="Q7" s="353">
        <f t="shared" ref="Q7" si="1">(O7-P7)/P7</f>
        <v>3.5637898937569218E-2</v>
      </c>
      <c r="R7" s="355">
        <f>O7/$O$24</f>
        <v>0.58448003695223338</v>
      </c>
      <c r="S7" s="20"/>
    </row>
    <row r="8" spans="1:19" ht="14.1" customHeight="1" x14ac:dyDescent="0.2">
      <c r="A8" s="351"/>
      <c r="B8" s="365"/>
      <c r="C8" s="352"/>
      <c r="D8" s="354"/>
      <c r="E8" s="355"/>
      <c r="F8" s="352"/>
      <c r="G8" s="354"/>
      <c r="H8" s="353"/>
      <c r="I8" s="355"/>
      <c r="J8" s="351"/>
      <c r="K8" s="55"/>
      <c r="L8" s="356"/>
      <c r="M8" s="9"/>
      <c r="N8" s="86"/>
      <c r="O8" s="356"/>
      <c r="P8" s="9"/>
      <c r="Q8" s="39"/>
      <c r="R8" s="86"/>
      <c r="S8" s="20"/>
    </row>
    <row r="9" spans="1:19" ht="14.1" customHeight="1" x14ac:dyDescent="0.2">
      <c r="A9" s="351" t="s">
        <v>83</v>
      </c>
      <c r="B9" s="365"/>
      <c r="C9" s="352">
        <f>+[3]UPS!$FO$12</f>
        <v>184</v>
      </c>
      <c r="D9" s="354">
        <f>+[3]UPS!$FA$12</f>
        <v>166</v>
      </c>
      <c r="E9" s="355">
        <f>(C9-D9)/D9</f>
        <v>0.10843373493975904</v>
      </c>
      <c r="F9" s="352">
        <f>+SUM([3]UPS!$FN$12:$FO$12)</f>
        <v>382</v>
      </c>
      <c r="G9" s="354">
        <f>+SUM([3]UPS!$EZ$12:$FA$12)</f>
        <v>348</v>
      </c>
      <c r="H9" s="353">
        <f>(F9-G9)/G9</f>
        <v>9.7701149425287362E-2</v>
      </c>
      <c r="I9" s="355">
        <f>+F9/$F$24</f>
        <v>0.16501079913606911</v>
      </c>
      <c r="J9" s="351" t="s">
        <v>83</v>
      </c>
      <c r="K9" s="55"/>
      <c r="L9" s="352">
        <f>+[3]UPS!$FO$64</f>
        <v>9812321</v>
      </c>
      <c r="M9" s="354">
        <f>+[3]UPS!$FA$64</f>
        <v>9141105</v>
      </c>
      <c r="N9" s="355">
        <f>(L9-M9)/M9</f>
        <v>7.342832184949194E-2</v>
      </c>
      <c r="O9" s="352">
        <f>+SUM([3]UPS!$FN$64:$FO$64)</f>
        <v>20578287</v>
      </c>
      <c r="P9" s="354">
        <f>+SUM([3]UPS!$EZ$64:$FA$64)</f>
        <v>17810097</v>
      </c>
      <c r="Q9" s="353">
        <f>(O9-P9)/P9</f>
        <v>0.15542812596697256</v>
      </c>
      <c r="R9" s="355">
        <f>O9/$O$24</f>
        <v>0.36801807308724838</v>
      </c>
      <c r="S9" s="20"/>
    </row>
    <row r="10" spans="1:19" ht="14.1" customHeight="1" x14ac:dyDescent="0.2">
      <c r="A10" s="351"/>
      <c r="B10" s="365"/>
      <c r="C10" s="352"/>
      <c r="D10" s="354"/>
      <c r="E10" s="355"/>
      <c r="F10" s="352"/>
      <c r="G10" s="354"/>
      <c r="H10" s="353"/>
      <c r="I10" s="355"/>
      <c r="J10" s="351"/>
      <c r="K10" s="55"/>
      <c r="L10" s="356"/>
      <c r="M10" s="9"/>
      <c r="N10" s="86"/>
      <c r="O10" s="356"/>
      <c r="P10" s="9"/>
      <c r="Q10" s="39"/>
      <c r="R10" s="86"/>
      <c r="S10" s="20"/>
    </row>
    <row r="11" spans="1:19" ht="14.1" customHeight="1" x14ac:dyDescent="0.2">
      <c r="A11" s="351" t="s">
        <v>187</v>
      </c>
      <c r="B11" s="365"/>
      <c r="C11" s="352">
        <f>+[3]IFL!$FO$12</f>
        <v>52</v>
      </c>
      <c r="D11" s="354">
        <f>+[3]IFL!$FA$12</f>
        <v>64</v>
      </c>
      <c r="E11" s="355">
        <f>(C11-D11)/D11</f>
        <v>-0.1875</v>
      </c>
      <c r="F11" s="352">
        <f>+SUM([3]IFL!$FN$12:$FO$12)</f>
        <v>90</v>
      </c>
      <c r="G11" s="354">
        <f>+SUM([3]IFL!$EZ$12:$FA$12)</f>
        <v>126</v>
      </c>
      <c r="H11" s="353">
        <f>(F11-G11)/G11</f>
        <v>-0.2857142857142857</v>
      </c>
      <c r="I11" s="355">
        <f>+F11/$F$24</f>
        <v>3.8876889848812095E-2</v>
      </c>
      <c r="J11" s="351" t="s">
        <v>187</v>
      </c>
      <c r="K11" s="55"/>
      <c r="L11" s="352">
        <f>+[3]IFL!$FO$64</f>
        <v>18968</v>
      </c>
      <c r="M11" s="354">
        <f>+[3]IFL!$FA$64</f>
        <v>82812</v>
      </c>
      <c r="N11" s="355">
        <f>(L11-M11)/M11</f>
        <v>-0.77095106989325224</v>
      </c>
      <c r="O11" s="352">
        <f>+SUM([3]IFL!$FN$64:$FO$64)</f>
        <v>42734</v>
      </c>
      <c r="P11" s="354">
        <f>+SUM([3]IFL!$EZ$64:$FA$64)</f>
        <v>162540</v>
      </c>
      <c r="Q11" s="353">
        <f>(O11-P11)/P11</f>
        <v>-0.7370862556909068</v>
      </c>
      <c r="R11" s="355">
        <f>O11/$O$24</f>
        <v>7.6424652524821287E-4</v>
      </c>
      <c r="S11" s="20"/>
    </row>
    <row r="12" spans="1:19" ht="14.1" customHeight="1" x14ac:dyDescent="0.2">
      <c r="A12" s="351"/>
      <c r="B12" s="365"/>
      <c r="C12" s="352"/>
      <c r="D12" s="357"/>
      <c r="E12" s="355"/>
      <c r="F12" s="473"/>
      <c r="G12" s="357"/>
      <c r="H12" s="353"/>
      <c r="I12" s="355"/>
      <c r="J12" s="351"/>
      <c r="K12" s="55"/>
      <c r="L12" s="358"/>
      <c r="M12" s="146"/>
      <c r="N12" s="86"/>
      <c r="O12" s="358"/>
      <c r="P12" s="146"/>
      <c r="Q12" s="39"/>
      <c r="R12" s="86"/>
      <c r="S12" s="20"/>
    </row>
    <row r="13" spans="1:19" ht="14.1" customHeight="1" x14ac:dyDescent="0.2">
      <c r="A13" s="351" t="s">
        <v>167</v>
      </c>
      <c r="B13" s="364"/>
      <c r="C13" s="352">
        <f>+'[3]Suburban Air Freight'!$FO$12</f>
        <v>0</v>
      </c>
      <c r="D13" s="354">
        <f>+'[3]Suburban Air Freight'!$FA$12</f>
        <v>0</v>
      </c>
      <c r="E13" s="355" t="e">
        <f>(C13-D13)/D13</f>
        <v>#DIV/0!</v>
      </c>
      <c r="F13" s="352">
        <f>+SUM('[3]Suburban Air Freight'!$FN$12:$FO$12)</f>
        <v>0</v>
      </c>
      <c r="G13" s="354">
        <f>+SUM('[3]Suburban Air Freight'!$EZ$12:$FA$12)</f>
        <v>0</v>
      </c>
      <c r="H13" s="353" t="e">
        <f t="shared" ref="H13" si="2">(F13-G13)/G13</f>
        <v>#DIV/0!</v>
      </c>
      <c r="I13" s="355">
        <f>+F13/$F$24</f>
        <v>0</v>
      </c>
      <c r="J13" s="351" t="s">
        <v>167</v>
      </c>
      <c r="K13" s="359"/>
      <c r="L13" s="352">
        <f>+'[3]Suburban Air Freight'!$FO$64</f>
        <v>0</v>
      </c>
      <c r="M13" s="354">
        <f>+'[3]Suburban Air Freight'!$FA$64</f>
        <v>84036</v>
      </c>
      <c r="N13" s="355">
        <f>(L13-M13)/M13</f>
        <v>-1</v>
      </c>
      <c r="O13" s="352">
        <f>+SUM('[3]Suburban Air Freight'!$FN$64:$FO$64)</f>
        <v>0</v>
      </c>
      <c r="P13" s="354">
        <f>+SUM('[3]Suburban Air Freight'!$EZ$64:$FA$64)</f>
        <v>175203</v>
      </c>
      <c r="Q13" s="353">
        <f t="shared" ref="Q13" si="3">(O13-P13)/P13</f>
        <v>-1</v>
      </c>
      <c r="R13" s="355">
        <f>O13/$O$24</f>
        <v>0</v>
      </c>
      <c r="S13" s="20"/>
    </row>
    <row r="14" spans="1:19" ht="14.1" customHeight="1" x14ac:dyDescent="0.2">
      <c r="A14" s="53"/>
      <c r="B14" s="361"/>
      <c r="C14" s="352"/>
      <c r="D14" s="9"/>
      <c r="E14" s="86"/>
      <c r="F14" s="356"/>
      <c r="G14" s="9"/>
      <c r="H14" s="39"/>
      <c r="I14" s="86"/>
      <c r="J14" s="53"/>
      <c r="K14" s="361"/>
      <c r="L14" s="356"/>
      <c r="M14" s="9"/>
      <c r="N14" s="86"/>
      <c r="O14" s="356"/>
      <c r="P14" s="9"/>
      <c r="Q14" s="39"/>
      <c r="R14" s="86"/>
      <c r="S14" s="20"/>
    </row>
    <row r="15" spans="1:19" ht="14.1" customHeight="1" x14ac:dyDescent="0.2">
      <c r="A15" s="351" t="s">
        <v>85</v>
      </c>
      <c r="B15" s="361"/>
      <c r="C15" s="352">
        <f>+[3]Bemidji!$FO$12</f>
        <v>520</v>
      </c>
      <c r="D15" s="354">
        <f>+[3]Bemidji!$FA$12</f>
        <v>492</v>
      </c>
      <c r="E15" s="355">
        <f>(C15-D15)/D15</f>
        <v>5.6910569105691054E-2</v>
      </c>
      <c r="F15" s="352">
        <f>+SUM([3]Bemidji!$FN$12:$FO$12)</f>
        <v>1134</v>
      </c>
      <c r="G15" s="354">
        <f>+SUM([3]Bemidji!$EZ$12:$FA$12)</f>
        <v>1032</v>
      </c>
      <c r="H15" s="353">
        <f t="shared" ref="H15" si="4">(F15-G15)/G15</f>
        <v>9.8837209302325577E-2</v>
      </c>
      <c r="I15" s="355">
        <f>+F15/$F$24</f>
        <v>0.48984881209503239</v>
      </c>
      <c r="J15" s="351" t="s">
        <v>85</v>
      </c>
      <c r="K15" s="361"/>
      <c r="L15" s="542" t="s">
        <v>207</v>
      </c>
      <c r="M15" s="543"/>
      <c r="N15" s="543"/>
      <c r="O15" s="543"/>
      <c r="P15" s="543"/>
      <c r="Q15" s="543"/>
      <c r="R15" s="544"/>
      <c r="S15" s="20"/>
    </row>
    <row r="16" spans="1:19" ht="14.1" customHeight="1" x14ac:dyDescent="0.2">
      <c r="A16" s="53"/>
      <c r="B16" s="361"/>
      <c r="C16" s="352"/>
      <c r="D16" s="9"/>
      <c r="E16" s="86"/>
      <c r="F16" s="356"/>
      <c r="G16" s="9"/>
      <c r="H16" s="39"/>
      <c r="I16" s="86"/>
      <c r="J16" s="53"/>
      <c r="K16" s="361"/>
      <c r="L16" s="356"/>
      <c r="M16" s="9"/>
      <c r="N16" s="86"/>
      <c r="O16" s="356"/>
      <c r="P16" s="9"/>
      <c r="Q16" s="39"/>
      <c r="R16" s="86"/>
      <c r="S16" s="20"/>
    </row>
    <row r="17" spans="1:19" ht="14.1" customHeight="1" x14ac:dyDescent="0.2">
      <c r="A17" s="351" t="s">
        <v>86</v>
      </c>
      <c r="B17" s="361"/>
      <c r="C17" s="352">
        <f>+'[3]CSA Air'!$FO$12</f>
        <v>2</v>
      </c>
      <c r="D17" s="354">
        <f>+'[3]CSA Air'!$FA$12</f>
        <v>42</v>
      </c>
      <c r="E17" s="355">
        <f>(C17-D17)/D17</f>
        <v>-0.95238095238095233</v>
      </c>
      <c r="F17" s="352">
        <f>+SUM('[3]CSA Air'!$FN$12:$FO$12)</f>
        <v>2</v>
      </c>
      <c r="G17" s="354">
        <f>+SUM('[3]CSA Air'!$EZ$12:$FA$12)</f>
        <v>82</v>
      </c>
      <c r="H17" s="353">
        <f t="shared" ref="H17" si="5">(F17-G17)/G17</f>
        <v>-0.97560975609756095</v>
      </c>
      <c r="I17" s="355">
        <f>+F17/$F$24</f>
        <v>8.6393088552915766E-4</v>
      </c>
      <c r="J17" s="351" t="s">
        <v>86</v>
      </c>
      <c r="K17" s="361"/>
      <c r="L17" s="352">
        <f>+'[3]CSA Air'!$FO$64</f>
        <v>3414</v>
      </c>
      <c r="M17" s="354">
        <f>+'[3]CSA Air'!$FA$64</f>
        <v>59935</v>
      </c>
      <c r="N17" s="355">
        <f>(L17-M17)/M17</f>
        <v>-0.94303829148243934</v>
      </c>
      <c r="O17" s="352">
        <f>+SUM('[3]CSA Air'!$FN$64:$FO$64)</f>
        <v>3414</v>
      </c>
      <c r="P17" s="354">
        <f>+SUM('[3]CSA Air'!$EZ$64:$FA$64)</f>
        <v>120773</v>
      </c>
      <c r="Q17" s="353">
        <f t="shared" ref="Q17" si="6">(O17-P17)/P17</f>
        <v>-0.97173209243787928</v>
      </c>
      <c r="R17" s="355">
        <f>O17/$O$24</f>
        <v>6.105531045999436E-5</v>
      </c>
      <c r="S17" s="20"/>
    </row>
    <row r="18" spans="1:19" ht="14.1" customHeight="1" x14ac:dyDescent="0.2">
      <c r="A18" s="53"/>
      <c r="B18" s="361"/>
      <c r="C18" s="352"/>
      <c r="D18" s="9"/>
      <c r="E18" s="86"/>
      <c r="F18" s="356"/>
      <c r="G18" s="9"/>
      <c r="H18" s="39"/>
      <c r="I18" s="86"/>
      <c r="J18" s="53"/>
      <c r="K18" s="361"/>
      <c r="L18" s="356"/>
      <c r="M18" s="9"/>
      <c r="N18" s="86"/>
      <c r="O18" s="356"/>
      <c r="P18" s="9"/>
      <c r="Q18" s="39"/>
      <c r="R18" s="86"/>
      <c r="S18" s="20"/>
    </row>
    <row r="19" spans="1:19" ht="14.1" customHeight="1" x14ac:dyDescent="0.2">
      <c r="A19" s="351" t="s">
        <v>87</v>
      </c>
      <c r="B19" s="364"/>
      <c r="C19" s="352">
        <f>+'[3]Mountain Cargo'!$FO$12</f>
        <v>38</v>
      </c>
      <c r="D19" s="354">
        <f>+'[3]Mountain Cargo'!$FA$12</f>
        <v>34</v>
      </c>
      <c r="E19" s="355">
        <f>(C19-D19)/D19</f>
        <v>0.11764705882352941</v>
      </c>
      <c r="F19" s="352">
        <f>+SUM('[3]Mountain Cargo'!$FN$12:$FO$12)</f>
        <v>76</v>
      </c>
      <c r="G19" s="354">
        <f>+SUM('[3]Mountain Cargo'!$EZ$12:$FA$12)</f>
        <v>74</v>
      </c>
      <c r="H19" s="353">
        <f>(F19-G19)/G19</f>
        <v>2.7027027027027029E-2</v>
      </c>
      <c r="I19" s="355">
        <f>+F19/$F$24</f>
        <v>3.282937365010799E-2</v>
      </c>
      <c r="J19" s="351" t="s">
        <v>87</v>
      </c>
      <c r="K19" s="364"/>
      <c r="L19" s="352">
        <f>+'[3]Mountain Cargo'!$FO$64</f>
        <v>119854</v>
      </c>
      <c r="M19" s="354">
        <f>+'[3]Mountain Cargo'!$FA$64</f>
        <v>143386</v>
      </c>
      <c r="N19" s="355">
        <f>(L19-M19)/M19</f>
        <v>-0.16411644093565619</v>
      </c>
      <c r="O19" s="352">
        <f>+SUM('[3]Mountain Cargo'!$FN$64:$FO$64)</f>
        <v>255700</v>
      </c>
      <c r="P19" s="354">
        <f>+SUM('[3]Mountain Cargo'!$EZ$64:$FA$64)</f>
        <v>302182</v>
      </c>
      <c r="Q19" s="353">
        <f t="shared" ref="Q19" si="7">(O19-P19)/P19</f>
        <v>-0.15382120708711969</v>
      </c>
      <c r="R19" s="355">
        <f>O19/$O$24</f>
        <v>4.5728889527300986E-3</v>
      </c>
      <c r="S19" s="417"/>
    </row>
    <row r="20" spans="1:19" ht="14.1" customHeight="1" x14ac:dyDescent="0.2">
      <c r="A20" s="53"/>
      <c r="B20" s="429"/>
      <c r="C20" s="352"/>
      <c r="D20" s="9"/>
      <c r="E20" s="86"/>
      <c r="F20" s="356"/>
      <c r="G20" s="9"/>
      <c r="H20" s="39"/>
      <c r="I20" s="86"/>
      <c r="J20" s="53"/>
      <c r="K20" s="429"/>
      <c r="L20" s="356"/>
      <c r="M20" s="9"/>
      <c r="N20" s="86"/>
      <c r="O20" s="356"/>
      <c r="P20" s="9"/>
      <c r="Q20" s="39"/>
      <c r="R20" s="86"/>
      <c r="S20" s="328"/>
    </row>
    <row r="21" spans="1:19" s="7" customFormat="1" ht="14.1" customHeight="1" x14ac:dyDescent="0.2">
      <c r="A21" s="351" t="s">
        <v>130</v>
      </c>
      <c r="B21" s="365"/>
      <c r="C21" s="352">
        <f>+'[3]Misc Cargo'!$FO$12</f>
        <v>1</v>
      </c>
      <c r="D21" s="354">
        <f>+'[3]Misc Cargo'!$FA$12</f>
        <v>40</v>
      </c>
      <c r="E21" s="355">
        <f>(C21-D21)/D21</f>
        <v>-0.97499999999999998</v>
      </c>
      <c r="F21" s="352">
        <f>+SUM('[3]Misc Cargo'!$FN$12:$FO$12)</f>
        <v>49</v>
      </c>
      <c r="G21" s="354">
        <f>+SUM('[3]Misc Cargo'!$EZ$12:$FA$12)</f>
        <v>83</v>
      </c>
      <c r="H21" s="353">
        <f>(F21-G21)/G21</f>
        <v>-0.40963855421686746</v>
      </c>
      <c r="I21" s="355">
        <f>+F21/$F$24</f>
        <v>2.1166306695464362E-2</v>
      </c>
      <c r="J21" s="351" t="s">
        <v>130</v>
      </c>
      <c r="K21" s="365"/>
      <c r="L21" s="352">
        <f>+'[3]Misc Cargo'!$FO$64</f>
        <v>14442</v>
      </c>
      <c r="M21" s="354">
        <f>+'[3]Misc Cargo'!$FA$64</f>
        <v>86453</v>
      </c>
      <c r="N21" s="355">
        <f>(L21-M21)/M21</f>
        <v>-0.83294969521011419</v>
      </c>
      <c r="O21" s="352">
        <f>+SUM('[3]Misc Cargo'!$FN$64:$FO$64)</f>
        <v>106358</v>
      </c>
      <c r="P21" s="354">
        <f>+SUM('[3]Misc Cargo'!$EZ$64:$FA$64)</f>
        <v>135482</v>
      </c>
      <c r="Q21" s="353">
        <f>(O21-P21)/P21</f>
        <v>-0.21496582571854564</v>
      </c>
      <c r="R21" s="355">
        <f>O21/$O$24</f>
        <v>1.9020857381089864E-3</v>
      </c>
      <c r="S21" s="474"/>
    </row>
    <row r="22" spans="1:19" s="7" customFormat="1" ht="14.1" customHeight="1" thickBot="1" x14ac:dyDescent="0.25">
      <c r="A22" s="475"/>
      <c r="B22" s="476"/>
      <c r="C22" s="477"/>
      <c r="D22" s="479"/>
      <c r="E22" s="480"/>
      <c r="F22" s="477"/>
      <c r="G22" s="479"/>
      <c r="H22" s="478"/>
      <c r="I22" s="480"/>
      <c r="J22" s="351"/>
      <c r="K22" s="365"/>
      <c r="L22" s="367"/>
      <c r="M22" s="371"/>
      <c r="N22" s="370"/>
      <c r="O22" s="367"/>
      <c r="P22" s="371"/>
      <c r="Q22" s="368"/>
      <c r="R22" s="476"/>
      <c r="S22" s="474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81" customFormat="1" ht="15.75" thickBot="1" x14ac:dyDescent="0.3">
      <c r="B24" s="482" t="s">
        <v>205</v>
      </c>
      <c r="C24" s="483">
        <f>+SUM(C5:C21)</f>
        <v>1079</v>
      </c>
      <c r="D24" s="484">
        <f>SUM(D5:D22)</f>
        <v>1046</v>
      </c>
      <c r="E24" s="485">
        <f>(C24-D24)/D24</f>
        <v>3.1548757170172081E-2</v>
      </c>
      <c r="F24" s="483">
        <f>+SUM(F5:F21)</f>
        <v>2315</v>
      </c>
      <c r="G24" s="483">
        <f>+SUM(G5:G21)</f>
        <v>2173</v>
      </c>
      <c r="H24" s="486">
        <f>(F24-G24)/G24</f>
        <v>6.5347445927289458E-2</v>
      </c>
      <c r="I24" s="502"/>
      <c r="K24" s="482" t="s">
        <v>205</v>
      </c>
      <c r="L24" s="483">
        <f>+SUM(L5:L21)</f>
        <v>26756271</v>
      </c>
      <c r="M24" s="487">
        <f>SUM(M5:M22)</f>
        <v>26093351</v>
      </c>
      <c r="N24" s="488">
        <f>(L24-M24)/M24</f>
        <v>2.5405705844373919E-2</v>
      </c>
      <c r="O24" s="483">
        <f>+SUM(O5:O21)</f>
        <v>55916512</v>
      </c>
      <c r="P24" s="483">
        <f>+SUM(P5:P21)</f>
        <v>52424776</v>
      </c>
      <c r="Q24" s="486">
        <f t="shared" ref="Q24" si="8">(O24-P24)/P24</f>
        <v>6.6604690881273396E-2</v>
      </c>
      <c r="R24" s="502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February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2017-02-24T16:48:32Z</cp:lastPrinted>
  <dcterms:created xsi:type="dcterms:W3CDTF">2007-09-24T12:26:24Z</dcterms:created>
  <dcterms:modified xsi:type="dcterms:W3CDTF">2019-05-19T07:38:03Z</dcterms:modified>
</cp:coreProperties>
</file>