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1815" yWindow="2250" windowWidth="15480" windowHeight="3165" tabRatio="871" firstSheet="1" activeTab="8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Stats'!$A$1:$H$52</definedName>
    <definedName name="_xlnm.Print_Area" localSheetId="0">'Monthly Summary'!$A$1:$I$41</definedName>
    <definedName name="_xlnm.Print_Area" localSheetId="9">'Ops+Rev Pax Activity'!$A$1:$R$54</definedName>
    <definedName name="_xlnm.Print_Area" localSheetId="2">'Other Major Airline Stats'!$A$2:$I$49</definedName>
    <definedName name="_xlnm.Print_Area" localSheetId="4">'Other Regional'!$A$1:$K$47</definedName>
    <definedName name="_xlnm.Print_Area" localSheetId="3">'Regional Major'!$A$1:$J$45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G49" i="3" l="1"/>
  <c r="G48" i="3"/>
  <c r="H5" i="8" l="1"/>
  <c r="H4" i="8"/>
  <c r="H27" i="8"/>
  <c r="H26" i="8"/>
  <c r="H22" i="8"/>
  <c r="H21" i="8"/>
  <c r="H17" i="8"/>
  <c r="H16" i="8"/>
  <c r="H10" i="8"/>
  <c r="H18" i="8" l="1"/>
  <c r="H28" i="8"/>
  <c r="H31" i="8"/>
  <c r="H23" i="8"/>
  <c r="H6" i="8"/>
  <c r="H12" i="8" s="1"/>
  <c r="H32" i="8"/>
  <c r="B17" i="8"/>
  <c r="C17" i="8"/>
  <c r="D17" i="8"/>
  <c r="E17" i="8"/>
  <c r="G17" i="8"/>
  <c r="J17" i="8"/>
  <c r="K17" i="8"/>
  <c r="L17" i="8"/>
  <c r="B29" i="2"/>
  <c r="C29" i="2"/>
  <c r="D29" i="2"/>
  <c r="E29" i="2"/>
  <c r="F29" i="2"/>
  <c r="B29" i="3"/>
  <c r="C29" i="3"/>
  <c r="D29" i="3"/>
  <c r="E29" i="3"/>
  <c r="F29" i="3"/>
  <c r="G29" i="3"/>
  <c r="H29" i="3"/>
  <c r="B26" i="4"/>
  <c r="C26" i="4"/>
  <c r="D26" i="4"/>
  <c r="E26" i="4"/>
  <c r="F26" i="4"/>
  <c r="G26" i="4"/>
  <c r="H26" i="4"/>
  <c r="B26" i="15"/>
  <c r="C26" i="15"/>
  <c r="D26" i="15"/>
  <c r="E26" i="15"/>
  <c r="F26" i="15"/>
  <c r="G26" i="15"/>
  <c r="H26" i="15"/>
  <c r="I26" i="15"/>
  <c r="J26" i="15"/>
  <c r="B22" i="8"/>
  <c r="C22" i="8"/>
  <c r="D22" i="8"/>
  <c r="E22" i="8"/>
  <c r="G22" i="8"/>
  <c r="J22" i="8"/>
  <c r="K22" i="8"/>
  <c r="L22" i="8"/>
  <c r="B34" i="2"/>
  <c r="C34" i="2"/>
  <c r="D34" i="2"/>
  <c r="E34" i="2"/>
  <c r="F34" i="2"/>
  <c r="B34" i="3"/>
  <c r="C34" i="3"/>
  <c r="D34" i="3"/>
  <c r="E34" i="3"/>
  <c r="F34" i="3"/>
  <c r="G34" i="3"/>
  <c r="H34" i="3"/>
  <c r="B31" i="4"/>
  <c r="C31" i="4"/>
  <c r="D31" i="4"/>
  <c r="E31" i="4"/>
  <c r="F31" i="4"/>
  <c r="G31" i="4"/>
  <c r="H31" i="4"/>
  <c r="B31" i="15"/>
  <c r="C31" i="15"/>
  <c r="D31" i="15"/>
  <c r="E31" i="15"/>
  <c r="F31" i="15"/>
  <c r="G31" i="15"/>
  <c r="H31" i="15"/>
  <c r="I31" i="15"/>
  <c r="J31" i="15"/>
  <c r="B16" i="8"/>
  <c r="C16" i="8"/>
  <c r="D16" i="8"/>
  <c r="E16" i="8"/>
  <c r="G16" i="8"/>
  <c r="J16" i="8"/>
  <c r="K16" i="8"/>
  <c r="K18" i="8" s="1"/>
  <c r="L16" i="8"/>
  <c r="B28" i="2"/>
  <c r="C28" i="2"/>
  <c r="D28" i="2"/>
  <c r="D30" i="2" s="1"/>
  <c r="E28" i="2"/>
  <c r="F28" i="2"/>
  <c r="B28" i="3"/>
  <c r="C28" i="3"/>
  <c r="C30" i="3" s="1"/>
  <c r="D28" i="3"/>
  <c r="E28" i="3"/>
  <c r="F28" i="3"/>
  <c r="G28" i="3"/>
  <c r="H28" i="3"/>
  <c r="B25" i="4"/>
  <c r="C25" i="4"/>
  <c r="D25" i="4"/>
  <c r="D27" i="4" s="1"/>
  <c r="E25" i="4"/>
  <c r="F25" i="4"/>
  <c r="G25" i="4"/>
  <c r="H25" i="4"/>
  <c r="H27" i="4" s="1"/>
  <c r="B25" i="15"/>
  <c r="C25" i="15"/>
  <c r="D25" i="15"/>
  <c r="E25" i="15"/>
  <c r="E27" i="15" s="1"/>
  <c r="F25" i="15"/>
  <c r="G25" i="15"/>
  <c r="H25" i="15"/>
  <c r="I25" i="15"/>
  <c r="I27" i="15" s="1"/>
  <c r="J25" i="15"/>
  <c r="B21" i="8"/>
  <c r="C21" i="8"/>
  <c r="D21" i="8"/>
  <c r="D23" i="8" s="1"/>
  <c r="E21" i="8"/>
  <c r="G21" i="8"/>
  <c r="J21" i="8"/>
  <c r="K21" i="8"/>
  <c r="L21" i="8"/>
  <c r="B33" i="2"/>
  <c r="C33" i="2"/>
  <c r="D33" i="2"/>
  <c r="D35" i="2" s="1"/>
  <c r="E33" i="2"/>
  <c r="F33" i="2"/>
  <c r="B33" i="3"/>
  <c r="C33" i="3"/>
  <c r="C35" i="3" s="1"/>
  <c r="D33" i="3"/>
  <c r="E33" i="3"/>
  <c r="E35" i="3" s="1"/>
  <c r="F33" i="3"/>
  <c r="G33" i="3"/>
  <c r="G35" i="3" s="1"/>
  <c r="H33" i="3"/>
  <c r="B30" i="4"/>
  <c r="C30" i="4"/>
  <c r="D30" i="4"/>
  <c r="E30" i="4"/>
  <c r="F30" i="4"/>
  <c r="F32" i="4" s="1"/>
  <c r="G30" i="4"/>
  <c r="H30" i="4"/>
  <c r="B30" i="15"/>
  <c r="B32" i="15" s="1"/>
  <c r="C30" i="15"/>
  <c r="D30" i="15"/>
  <c r="D32" i="15" s="1"/>
  <c r="E30" i="15"/>
  <c r="F30" i="15"/>
  <c r="G30" i="15"/>
  <c r="H30" i="15"/>
  <c r="H32" i="15" s="1"/>
  <c r="I30" i="15"/>
  <c r="J30" i="15"/>
  <c r="J32" i="15" s="1"/>
  <c r="B38" i="2"/>
  <c r="C38" i="2"/>
  <c r="D38" i="2"/>
  <c r="E38" i="2"/>
  <c r="F38" i="2"/>
  <c r="B38" i="3"/>
  <c r="C38" i="3"/>
  <c r="D38" i="3"/>
  <c r="E38" i="3"/>
  <c r="F38" i="3"/>
  <c r="G38" i="3"/>
  <c r="B35" i="4"/>
  <c r="C35" i="4"/>
  <c r="D35" i="4"/>
  <c r="E35" i="4"/>
  <c r="F35" i="4"/>
  <c r="G35" i="4"/>
  <c r="H35" i="4"/>
  <c r="B35" i="15"/>
  <c r="C35" i="15"/>
  <c r="D35" i="15"/>
  <c r="E35" i="15"/>
  <c r="F35" i="15"/>
  <c r="G35" i="15"/>
  <c r="H35" i="15"/>
  <c r="I35" i="15"/>
  <c r="J35" i="15"/>
  <c r="B26" i="8"/>
  <c r="C26" i="8"/>
  <c r="D26" i="8"/>
  <c r="E26" i="8"/>
  <c r="G26" i="8"/>
  <c r="J26" i="8"/>
  <c r="J31" i="8" s="1"/>
  <c r="K26" i="8"/>
  <c r="L26" i="8"/>
  <c r="B39" i="2"/>
  <c r="C39" i="2"/>
  <c r="D39" i="2"/>
  <c r="E39" i="2"/>
  <c r="F39" i="2"/>
  <c r="B39" i="3"/>
  <c r="C39" i="3"/>
  <c r="D39" i="3"/>
  <c r="E39" i="3"/>
  <c r="F39" i="3"/>
  <c r="G39" i="3"/>
  <c r="B36" i="4"/>
  <c r="C36" i="4"/>
  <c r="D36" i="4"/>
  <c r="E36" i="4"/>
  <c r="F36" i="4"/>
  <c r="G36" i="4"/>
  <c r="H36" i="4"/>
  <c r="B36" i="15"/>
  <c r="C36" i="15"/>
  <c r="D36" i="15"/>
  <c r="E36" i="15"/>
  <c r="F36" i="15"/>
  <c r="G36" i="15"/>
  <c r="H36" i="15"/>
  <c r="I36" i="15"/>
  <c r="J36" i="15"/>
  <c r="B27" i="8"/>
  <c r="C27" i="8"/>
  <c r="D27" i="8"/>
  <c r="E27" i="8"/>
  <c r="G27" i="8"/>
  <c r="J27" i="8"/>
  <c r="K27" i="8"/>
  <c r="K32" i="8" s="1"/>
  <c r="L27" i="8"/>
  <c r="B21" i="1"/>
  <c r="C21" i="1"/>
  <c r="B20" i="1"/>
  <c r="C20" i="1"/>
  <c r="B4" i="8"/>
  <c r="C4" i="8"/>
  <c r="D4" i="8"/>
  <c r="E4" i="8"/>
  <c r="G4" i="8"/>
  <c r="I4" i="8"/>
  <c r="J4" i="8"/>
  <c r="K4" i="8"/>
  <c r="L4" i="8"/>
  <c r="B5" i="8"/>
  <c r="C5" i="8"/>
  <c r="D5" i="8"/>
  <c r="E5" i="8"/>
  <c r="G5" i="8"/>
  <c r="I5" i="8"/>
  <c r="J5" i="8"/>
  <c r="K5" i="8"/>
  <c r="L5" i="8"/>
  <c r="B10" i="7"/>
  <c r="C10" i="7"/>
  <c r="D10" i="7"/>
  <c r="E10" i="7"/>
  <c r="F10" i="7"/>
  <c r="B11" i="7"/>
  <c r="C11" i="7"/>
  <c r="D11" i="7"/>
  <c r="E11" i="7"/>
  <c r="F11" i="7"/>
  <c r="B15" i="4"/>
  <c r="C15" i="4"/>
  <c r="D15" i="4"/>
  <c r="E15" i="4"/>
  <c r="F15" i="4"/>
  <c r="G15" i="4"/>
  <c r="H15" i="4"/>
  <c r="B15" i="15"/>
  <c r="C15" i="15"/>
  <c r="D15" i="15"/>
  <c r="E15" i="15"/>
  <c r="F15" i="15"/>
  <c r="G15" i="15"/>
  <c r="H15" i="15"/>
  <c r="I15" i="15"/>
  <c r="J15" i="15"/>
  <c r="B18" i="4"/>
  <c r="C18" i="4"/>
  <c r="D18" i="4"/>
  <c r="E18" i="4"/>
  <c r="F18" i="4"/>
  <c r="G18" i="4"/>
  <c r="H18" i="4"/>
  <c r="B18" i="15"/>
  <c r="C18" i="15"/>
  <c r="D18" i="15"/>
  <c r="D20" i="15" s="1"/>
  <c r="E18" i="15"/>
  <c r="F18" i="15"/>
  <c r="G18" i="15"/>
  <c r="H18" i="15"/>
  <c r="I18" i="15"/>
  <c r="J18" i="15"/>
  <c r="B16" i="4"/>
  <c r="C16" i="4"/>
  <c r="D16" i="4"/>
  <c r="E16" i="4"/>
  <c r="E17" i="4" s="1"/>
  <c r="F16" i="4"/>
  <c r="G16" i="4"/>
  <c r="H16" i="4"/>
  <c r="B16" i="15"/>
  <c r="C16" i="15"/>
  <c r="D16" i="15"/>
  <c r="E16" i="15"/>
  <c r="F16" i="15"/>
  <c r="F17" i="15" s="1"/>
  <c r="G16" i="15"/>
  <c r="H16" i="15"/>
  <c r="I16" i="15"/>
  <c r="J16" i="15"/>
  <c r="J17" i="15" s="1"/>
  <c r="B19" i="4"/>
  <c r="C19" i="4"/>
  <c r="D19" i="4"/>
  <c r="E19" i="4"/>
  <c r="E20" i="4" s="1"/>
  <c r="F19" i="4"/>
  <c r="G19" i="4"/>
  <c r="H19" i="4"/>
  <c r="B19" i="15"/>
  <c r="B20" i="15" s="1"/>
  <c r="C19" i="15"/>
  <c r="D19" i="15"/>
  <c r="E19" i="15"/>
  <c r="F19" i="15"/>
  <c r="G19" i="15"/>
  <c r="H19" i="15"/>
  <c r="I19" i="15"/>
  <c r="I20" i="15" s="1"/>
  <c r="J19" i="15"/>
  <c r="B15" i="2"/>
  <c r="C15" i="2"/>
  <c r="D15" i="2"/>
  <c r="E15" i="2"/>
  <c r="F15" i="2"/>
  <c r="B16" i="3"/>
  <c r="C16" i="3"/>
  <c r="D16" i="3"/>
  <c r="E16" i="3"/>
  <c r="F16" i="3"/>
  <c r="G16" i="3"/>
  <c r="H16" i="3"/>
  <c r="B19" i="2"/>
  <c r="C19" i="2"/>
  <c r="D19" i="2"/>
  <c r="E19" i="2"/>
  <c r="F19" i="2"/>
  <c r="B20" i="3"/>
  <c r="C20" i="3"/>
  <c r="D20" i="3"/>
  <c r="E20" i="3"/>
  <c r="F20" i="3"/>
  <c r="G20" i="3"/>
  <c r="H20" i="3"/>
  <c r="B16" i="2"/>
  <c r="C16" i="2"/>
  <c r="C17" i="2" s="1"/>
  <c r="D16" i="2"/>
  <c r="E16" i="2"/>
  <c r="F16" i="2"/>
  <c r="B17" i="3"/>
  <c r="C17" i="3"/>
  <c r="D17" i="3"/>
  <c r="E17" i="3"/>
  <c r="E18" i="3" s="1"/>
  <c r="F17" i="3"/>
  <c r="G17" i="3"/>
  <c r="H17" i="3"/>
  <c r="H18" i="3" s="1"/>
  <c r="B20" i="2"/>
  <c r="C20" i="2"/>
  <c r="D20" i="2"/>
  <c r="D21" i="2" s="1"/>
  <c r="E20" i="2"/>
  <c r="F20" i="2"/>
  <c r="B21" i="3"/>
  <c r="C21" i="3"/>
  <c r="D21" i="3"/>
  <c r="E21" i="3"/>
  <c r="F21" i="3"/>
  <c r="G21" i="3"/>
  <c r="G22" i="3" s="1"/>
  <c r="H21" i="3"/>
  <c r="B9" i="2"/>
  <c r="C9" i="2"/>
  <c r="D9" i="2"/>
  <c r="E9" i="2"/>
  <c r="F9" i="2"/>
  <c r="B10" i="3"/>
  <c r="C10" i="3"/>
  <c r="D10" i="3"/>
  <c r="E10" i="3"/>
  <c r="F10" i="3"/>
  <c r="G10" i="3"/>
  <c r="H10" i="3"/>
  <c r="B10" i="4"/>
  <c r="C10" i="4"/>
  <c r="D10" i="4"/>
  <c r="E10" i="4"/>
  <c r="F10" i="4"/>
  <c r="G10" i="4"/>
  <c r="H10" i="4"/>
  <c r="B10" i="15"/>
  <c r="C10" i="15"/>
  <c r="D10" i="15"/>
  <c r="E10" i="15"/>
  <c r="F10" i="15"/>
  <c r="G10" i="15"/>
  <c r="H10" i="15"/>
  <c r="I10" i="15"/>
  <c r="J10" i="15"/>
  <c r="B10" i="2"/>
  <c r="C10" i="2"/>
  <c r="C11" i="2" s="1"/>
  <c r="D10" i="2"/>
  <c r="D11" i="2" s="1"/>
  <c r="E10" i="2"/>
  <c r="F10" i="2"/>
  <c r="B11" i="3"/>
  <c r="C11" i="3"/>
  <c r="D11" i="3"/>
  <c r="E11" i="3"/>
  <c r="F11" i="3"/>
  <c r="G11" i="3"/>
  <c r="H11" i="3"/>
  <c r="B11" i="4"/>
  <c r="C11" i="4"/>
  <c r="D11" i="4"/>
  <c r="E11" i="4"/>
  <c r="F11" i="4"/>
  <c r="G11" i="4"/>
  <c r="H11" i="4"/>
  <c r="H12" i="4" s="1"/>
  <c r="B11" i="15"/>
  <c r="C11" i="15"/>
  <c r="C12" i="15" s="1"/>
  <c r="D11" i="15"/>
  <c r="E11" i="15"/>
  <c r="E12" i="15" s="1"/>
  <c r="F11" i="15"/>
  <c r="G11" i="15"/>
  <c r="H11" i="15"/>
  <c r="I11" i="15"/>
  <c r="J11" i="15"/>
  <c r="B5" i="7"/>
  <c r="C5" i="7"/>
  <c r="D5" i="7"/>
  <c r="E5" i="7"/>
  <c r="F5" i="7"/>
  <c r="B6" i="7"/>
  <c r="C6" i="7"/>
  <c r="D6" i="7"/>
  <c r="E6" i="7"/>
  <c r="F6" i="7"/>
  <c r="B5" i="4"/>
  <c r="C5" i="4"/>
  <c r="D5" i="4"/>
  <c r="E5" i="4"/>
  <c r="F5" i="4"/>
  <c r="G5" i="4"/>
  <c r="H5" i="4"/>
  <c r="B5" i="15"/>
  <c r="C5" i="15"/>
  <c r="D5" i="15"/>
  <c r="E5" i="15"/>
  <c r="F5" i="15"/>
  <c r="G5" i="15"/>
  <c r="H5" i="15"/>
  <c r="I5" i="15"/>
  <c r="J5" i="15"/>
  <c r="B6" i="4"/>
  <c r="C6" i="4"/>
  <c r="C7" i="4" s="1"/>
  <c r="D6" i="4"/>
  <c r="E6" i="4"/>
  <c r="F6" i="4"/>
  <c r="G6" i="4"/>
  <c r="H6" i="4"/>
  <c r="B6" i="15"/>
  <c r="B7" i="15" s="1"/>
  <c r="C6" i="15"/>
  <c r="D6" i="15"/>
  <c r="E6" i="15"/>
  <c r="F6" i="15"/>
  <c r="G6" i="15"/>
  <c r="H6" i="15"/>
  <c r="I6" i="15"/>
  <c r="J6" i="15"/>
  <c r="J7" i="15" s="1"/>
  <c r="B4" i="2"/>
  <c r="B5" i="2"/>
  <c r="C4" i="2"/>
  <c r="C5" i="2"/>
  <c r="D4" i="2"/>
  <c r="D5" i="2"/>
  <c r="E4" i="2"/>
  <c r="E5" i="2"/>
  <c r="F4" i="2"/>
  <c r="F5" i="2"/>
  <c r="B5" i="3"/>
  <c r="C5" i="3"/>
  <c r="D5" i="3"/>
  <c r="E5" i="3"/>
  <c r="F5" i="3"/>
  <c r="G5" i="3"/>
  <c r="H5" i="3"/>
  <c r="B6" i="3"/>
  <c r="C6" i="3"/>
  <c r="D6" i="3"/>
  <c r="E6" i="3"/>
  <c r="F6" i="3"/>
  <c r="G6" i="3"/>
  <c r="H6" i="3"/>
  <c r="C51" i="2"/>
  <c r="F49" i="3"/>
  <c r="I49" i="3" s="1"/>
  <c r="G51" i="2" s="1"/>
  <c r="B45" i="4"/>
  <c r="E45" i="4"/>
  <c r="F45" i="4"/>
  <c r="C47" i="15"/>
  <c r="E47" i="15"/>
  <c r="F47" i="15"/>
  <c r="H47" i="15"/>
  <c r="B5" i="16"/>
  <c r="C5" i="16"/>
  <c r="D5" i="16"/>
  <c r="E5" i="16"/>
  <c r="F5" i="16"/>
  <c r="G5" i="16"/>
  <c r="H5" i="16"/>
  <c r="I5" i="16"/>
  <c r="J5" i="16"/>
  <c r="K5" i="16"/>
  <c r="L5" i="16"/>
  <c r="B10" i="16"/>
  <c r="C10" i="16"/>
  <c r="D10" i="16"/>
  <c r="E10" i="16"/>
  <c r="F10" i="16"/>
  <c r="G10" i="16"/>
  <c r="H10" i="16"/>
  <c r="I10" i="16"/>
  <c r="J10" i="16"/>
  <c r="K10" i="16"/>
  <c r="L10" i="16"/>
  <c r="B4" i="16"/>
  <c r="C4" i="16"/>
  <c r="D4" i="16"/>
  <c r="E4" i="16"/>
  <c r="F4" i="16"/>
  <c r="G4" i="16"/>
  <c r="H4" i="16"/>
  <c r="I4" i="16"/>
  <c r="J4" i="16"/>
  <c r="K4" i="16"/>
  <c r="L4" i="16"/>
  <c r="B9" i="16"/>
  <c r="C9" i="16"/>
  <c r="D9" i="16"/>
  <c r="E9" i="16"/>
  <c r="F9" i="16"/>
  <c r="G9" i="16"/>
  <c r="H9" i="16"/>
  <c r="I9" i="16"/>
  <c r="J9" i="16"/>
  <c r="K9" i="16"/>
  <c r="L9" i="16"/>
  <c r="P50" i="9"/>
  <c r="P49" i="9"/>
  <c r="P48" i="9"/>
  <c r="P44" i="9"/>
  <c r="P21" i="9"/>
  <c r="P19" i="9"/>
  <c r="P17" i="9"/>
  <c r="P16" i="9"/>
  <c r="P4" i="9"/>
  <c r="P20" i="9"/>
  <c r="P12" i="9"/>
  <c r="P43" i="9"/>
  <c r="P41" i="9"/>
  <c r="P18" i="9"/>
  <c r="P40" i="9"/>
  <c r="P39" i="9"/>
  <c r="P42" i="9"/>
  <c r="P47" i="9"/>
  <c r="P38" i="9"/>
  <c r="P35" i="9"/>
  <c r="P30" i="9"/>
  <c r="P31" i="9"/>
  <c r="P27" i="9"/>
  <c r="P23" i="9"/>
  <c r="P15" i="9"/>
  <c r="P11" i="9"/>
  <c r="P8" i="9"/>
  <c r="P25" i="9"/>
  <c r="P33" i="9"/>
  <c r="P6" i="9"/>
  <c r="C50" i="9"/>
  <c r="C49" i="9"/>
  <c r="C48" i="9"/>
  <c r="C44" i="9"/>
  <c r="C21" i="9"/>
  <c r="C19" i="9"/>
  <c r="C17" i="9"/>
  <c r="C16" i="9"/>
  <c r="C4" i="9"/>
  <c r="C20" i="9"/>
  <c r="C12" i="9"/>
  <c r="C43" i="9"/>
  <c r="C41" i="9"/>
  <c r="C18" i="9"/>
  <c r="C40" i="9"/>
  <c r="C39" i="9"/>
  <c r="C42" i="9"/>
  <c r="L47" i="9"/>
  <c r="L48" i="9"/>
  <c r="L49" i="9"/>
  <c r="L50" i="9"/>
  <c r="L38" i="9"/>
  <c r="L39" i="9"/>
  <c r="L40" i="9"/>
  <c r="L41" i="9"/>
  <c r="L42" i="9"/>
  <c r="L43" i="9"/>
  <c r="L44" i="9"/>
  <c r="L35" i="9"/>
  <c r="L30" i="9"/>
  <c r="L31" i="9"/>
  <c r="L27" i="9"/>
  <c r="L23" i="9"/>
  <c r="L15" i="9"/>
  <c r="L16" i="9"/>
  <c r="L17" i="9"/>
  <c r="L18" i="9"/>
  <c r="L19" i="9"/>
  <c r="L20" i="9"/>
  <c r="L21" i="9"/>
  <c r="L11" i="9"/>
  <c r="L12" i="9"/>
  <c r="L8" i="9"/>
  <c r="L4" i="9"/>
  <c r="L25" i="9"/>
  <c r="L33" i="9"/>
  <c r="Q50" i="9"/>
  <c r="Q49" i="9"/>
  <c r="Q48" i="9"/>
  <c r="Q44" i="9"/>
  <c r="Q21" i="9"/>
  <c r="R21" i="9" s="1"/>
  <c r="Q19" i="9"/>
  <c r="Q17" i="9"/>
  <c r="Q16" i="9"/>
  <c r="Q4" i="9"/>
  <c r="R4" i="9" s="1"/>
  <c r="Q20" i="9"/>
  <c r="Q12" i="9"/>
  <c r="Q43" i="9"/>
  <c r="R43" i="9" s="1"/>
  <c r="Q41" i="9"/>
  <c r="Q18" i="9"/>
  <c r="Q40" i="9"/>
  <c r="Q39" i="9"/>
  <c r="Q42" i="9"/>
  <c r="N50" i="9"/>
  <c r="N49" i="9"/>
  <c r="N48" i="9"/>
  <c r="N44" i="9"/>
  <c r="N21" i="9"/>
  <c r="N19" i="9"/>
  <c r="N17" i="9"/>
  <c r="N16" i="9"/>
  <c r="O16" i="9" s="1"/>
  <c r="N4" i="9"/>
  <c r="N20" i="9"/>
  <c r="N12" i="9"/>
  <c r="N43" i="9"/>
  <c r="N41" i="9"/>
  <c r="N18" i="9"/>
  <c r="N40" i="9"/>
  <c r="N39" i="9"/>
  <c r="N42" i="9"/>
  <c r="H50" i="9"/>
  <c r="H49" i="9"/>
  <c r="H48" i="9"/>
  <c r="H44" i="9"/>
  <c r="H21" i="9"/>
  <c r="H19" i="9"/>
  <c r="H17" i="9"/>
  <c r="H16" i="9"/>
  <c r="H4" i="9"/>
  <c r="H20" i="9"/>
  <c r="H12" i="9"/>
  <c r="H43" i="9"/>
  <c r="H41" i="9"/>
  <c r="H18" i="9"/>
  <c r="H40" i="9"/>
  <c r="H39" i="9"/>
  <c r="H42" i="9"/>
  <c r="G50" i="9"/>
  <c r="G49" i="9"/>
  <c r="G48" i="9"/>
  <c r="G44" i="9"/>
  <c r="G21" i="9"/>
  <c r="G19" i="9"/>
  <c r="G17" i="9"/>
  <c r="G16" i="9"/>
  <c r="G4" i="9"/>
  <c r="G20" i="9"/>
  <c r="G12" i="9"/>
  <c r="G43" i="9"/>
  <c r="G41" i="9"/>
  <c r="G18" i="9"/>
  <c r="G40" i="9"/>
  <c r="G39" i="9"/>
  <c r="G42" i="9"/>
  <c r="E50" i="9"/>
  <c r="E49" i="9"/>
  <c r="E48" i="9"/>
  <c r="E44" i="9"/>
  <c r="E21" i="9"/>
  <c r="E19" i="9"/>
  <c r="E17" i="9"/>
  <c r="E16" i="9"/>
  <c r="E4" i="9"/>
  <c r="E20" i="9"/>
  <c r="E12" i="9"/>
  <c r="E43" i="9"/>
  <c r="E41" i="9"/>
  <c r="E18" i="9"/>
  <c r="E40" i="9"/>
  <c r="E39" i="9"/>
  <c r="E42" i="9"/>
  <c r="C38" i="9"/>
  <c r="C47" i="9"/>
  <c r="C35" i="9"/>
  <c r="C30" i="9"/>
  <c r="C31" i="9"/>
  <c r="C27" i="9"/>
  <c r="C23" i="9"/>
  <c r="C15" i="9"/>
  <c r="C11" i="9"/>
  <c r="C8" i="9"/>
  <c r="C25" i="9"/>
  <c r="C33" i="9"/>
  <c r="Q47" i="9"/>
  <c r="Q38" i="9"/>
  <c r="Q35" i="9"/>
  <c r="Q30" i="9"/>
  <c r="Q31" i="9"/>
  <c r="Q27" i="9"/>
  <c r="Q23" i="9"/>
  <c r="Q15" i="9"/>
  <c r="Q11" i="9"/>
  <c r="Q8" i="9"/>
  <c r="Q25" i="9"/>
  <c r="Q33" i="9"/>
  <c r="N47" i="9"/>
  <c r="N38" i="9"/>
  <c r="N35" i="9"/>
  <c r="N30" i="9"/>
  <c r="N31" i="9"/>
  <c r="N27" i="9"/>
  <c r="N23" i="9"/>
  <c r="N15" i="9"/>
  <c r="N11" i="9"/>
  <c r="N8" i="9"/>
  <c r="N25" i="9"/>
  <c r="N33" i="9"/>
  <c r="H47" i="9"/>
  <c r="H38" i="9"/>
  <c r="H35" i="9"/>
  <c r="H30" i="9"/>
  <c r="H31" i="9"/>
  <c r="H27" i="9"/>
  <c r="H23" i="9"/>
  <c r="H15" i="9"/>
  <c r="H11" i="9"/>
  <c r="H8" i="9"/>
  <c r="H25" i="9"/>
  <c r="H33" i="9"/>
  <c r="G47" i="9"/>
  <c r="I47" i="9" s="1"/>
  <c r="G38" i="9"/>
  <c r="G35" i="9"/>
  <c r="G30" i="9"/>
  <c r="I30" i="9" s="1"/>
  <c r="G31" i="9"/>
  <c r="G27" i="9"/>
  <c r="G23" i="9"/>
  <c r="G15" i="9"/>
  <c r="I15" i="9" s="1"/>
  <c r="G11" i="9"/>
  <c r="G8" i="9"/>
  <c r="G25" i="9"/>
  <c r="G33" i="9"/>
  <c r="I33" i="9" s="1"/>
  <c r="E47" i="9"/>
  <c r="E38" i="9"/>
  <c r="E35" i="9"/>
  <c r="E30" i="9"/>
  <c r="E31" i="9"/>
  <c r="E27" i="9"/>
  <c r="F27" i="9" s="1"/>
  <c r="E23" i="9"/>
  <c r="E15" i="9"/>
  <c r="E11" i="9"/>
  <c r="E8" i="9"/>
  <c r="F8" i="9" s="1"/>
  <c r="E25" i="9"/>
  <c r="E33" i="9"/>
  <c r="Q6" i="9"/>
  <c r="H6" i="9"/>
  <c r="G6" i="9"/>
  <c r="L35" i="16"/>
  <c r="K35" i="16"/>
  <c r="J35" i="16"/>
  <c r="I35" i="16"/>
  <c r="H35" i="16"/>
  <c r="G35" i="16"/>
  <c r="F35" i="16"/>
  <c r="E35" i="16"/>
  <c r="D35" i="16"/>
  <c r="C35" i="16"/>
  <c r="B35" i="16"/>
  <c r="L34" i="16"/>
  <c r="K34" i="16"/>
  <c r="K37" i="16" s="1"/>
  <c r="J34" i="16"/>
  <c r="I34" i="16"/>
  <c r="H34" i="16"/>
  <c r="G34" i="16"/>
  <c r="F34" i="16"/>
  <c r="E34" i="16"/>
  <c r="D34" i="16"/>
  <c r="C34" i="16"/>
  <c r="B34" i="16"/>
  <c r="L22" i="16"/>
  <c r="K22" i="16"/>
  <c r="J22" i="16"/>
  <c r="I22" i="16"/>
  <c r="H22" i="16"/>
  <c r="G22" i="16"/>
  <c r="F22" i="16"/>
  <c r="E22" i="16"/>
  <c r="D22" i="16"/>
  <c r="C22" i="16"/>
  <c r="B22" i="16"/>
  <c r="L21" i="16"/>
  <c r="K21" i="16"/>
  <c r="J21" i="16"/>
  <c r="I21" i="16"/>
  <c r="H21" i="16"/>
  <c r="G21" i="16"/>
  <c r="F21" i="16"/>
  <c r="E21" i="16"/>
  <c r="D21" i="16"/>
  <c r="C21" i="16"/>
  <c r="B21" i="16"/>
  <c r="L17" i="16"/>
  <c r="K17" i="16"/>
  <c r="J17" i="16"/>
  <c r="I17" i="16"/>
  <c r="H17" i="16"/>
  <c r="G17" i="16"/>
  <c r="F17" i="16"/>
  <c r="E17" i="16"/>
  <c r="D17" i="16"/>
  <c r="C17" i="16"/>
  <c r="B17" i="16"/>
  <c r="L16" i="16"/>
  <c r="K16" i="16"/>
  <c r="J16" i="16"/>
  <c r="I16" i="16"/>
  <c r="H16" i="16"/>
  <c r="G16" i="16"/>
  <c r="F16" i="16"/>
  <c r="E16" i="16"/>
  <c r="D16" i="16"/>
  <c r="C16" i="16"/>
  <c r="B16" i="16"/>
  <c r="O21" i="7"/>
  <c r="O33" i="7" s="1"/>
  <c r="J21" i="7"/>
  <c r="J33" i="7" s="1"/>
  <c r="E21" i="7"/>
  <c r="E33" i="7" s="1"/>
  <c r="N6" i="9"/>
  <c r="E6" i="9"/>
  <c r="L6" i="9"/>
  <c r="C6" i="9"/>
  <c r="L28" i="16"/>
  <c r="K28" i="16"/>
  <c r="J28" i="16"/>
  <c r="I28" i="16"/>
  <c r="H28" i="16"/>
  <c r="G28" i="16"/>
  <c r="F28" i="16"/>
  <c r="E28" i="16"/>
  <c r="D28" i="16"/>
  <c r="C28" i="16"/>
  <c r="B28" i="16"/>
  <c r="L27" i="16"/>
  <c r="K27" i="16"/>
  <c r="J27" i="16"/>
  <c r="I27" i="16"/>
  <c r="H27" i="16"/>
  <c r="G27" i="16"/>
  <c r="F27" i="16"/>
  <c r="E27" i="16"/>
  <c r="D27" i="16"/>
  <c r="C27" i="16"/>
  <c r="B27" i="16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L9" i="8"/>
  <c r="B9" i="8"/>
  <c r="L8" i="8"/>
  <c r="B8" i="8"/>
  <c r="H46" i="15"/>
  <c r="F46" i="15"/>
  <c r="E46" i="15"/>
  <c r="C46" i="15"/>
  <c r="F44" i="4"/>
  <c r="E44" i="4"/>
  <c r="B44" i="4"/>
  <c r="F48" i="3"/>
  <c r="H39" i="3"/>
  <c r="H38" i="3"/>
  <c r="C50" i="2"/>
  <c r="C48" i="2"/>
  <c r="C47" i="2"/>
  <c r="H47" i="2" s="1"/>
  <c r="B37" i="1"/>
  <c r="B36" i="1"/>
  <c r="D37" i="1"/>
  <c r="D36" i="1"/>
  <c r="H28" i="1"/>
  <c r="H27" i="1"/>
  <c r="H21" i="1"/>
  <c r="H20" i="1"/>
  <c r="H19" i="1"/>
  <c r="H18" i="1"/>
  <c r="H17" i="1"/>
  <c r="H16" i="1"/>
  <c r="H10" i="1"/>
  <c r="H7" i="1"/>
  <c r="H6" i="1"/>
  <c r="H5" i="1"/>
  <c r="E28" i="1"/>
  <c r="E27" i="1"/>
  <c r="E21" i="1"/>
  <c r="E20" i="1"/>
  <c r="E19" i="1"/>
  <c r="E18" i="1"/>
  <c r="E17" i="1"/>
  <c r="E16" i="1"/>
  <c r="E10" i="1"/>
  <c r="E7" i="1"/>
  <c r="E6" i="1"/>
  <c r="E5" i="1"/>
  <c r="N30" i="7"/>
  <c r="P30" i="7"/>
  <c r="N31" i="7"/>
  <c r="P31" i="7"/>
  <c r="D30" i="7"/>
  <c r="F30" i="7"/>
  <c r="D31" i="7"/>
  <c r="N29" i="7"/>
  <c r="D29" i="7"/>
  <c r="N27" i="7"/>
  <c r="P27" i="7"/>
  <c r="N28" i="7"/>
  <c r="D27" i="7"/>
  <c r="F27" i="7"/>
  <c r="D28" i="7"/>
  <c r="N24" i="7"/>
  <c r="N25" i="7"/>
  <c r="D24" i="7"/>
  <c r="F24" i="7"/>
  <c r="D25" i="7"/>
  <c r="F25" i="7"/>
  <c r="N23" i="7"/>
  <c r="P23" i="7"/>
  <c r="D23" i="7"/>
  <c r="N32" i="7"/>
  <c r="P32" i="7"/>
  <c r="I32" i="7"/>
  <c r="K32" i="7"/>
  <c r="D32" i="7"/>
  <c r="F32" i="7"/>
  <c r="I31" i="7"/>
  <c r="K31" i="7"/>
  <c r="F31" i="7"/>
  <c r="I30" i="7"/>
  <c r="K30" i="7"/>
  <c r="P29" i="7"/>
  <c r="I29" i="7"/>
  <c r="K29" i="7"/>
  <c r="F29" i="7"/>
  <c r="P28" i="7"/>
  <c r="I28" i="7"/>
  <c r="K28" i="7"/>
  <c r="F28" i="7"/>
  <c r="I27" i="7"/>
  <c r="K27" i="7"/>
  <c r="N26" i="7"/>
  <c r="P26" i="7"/>
  <c r="I26" i="7"/>
  <c r="K26" i="7"/>
  <c r="D26" i="7"/>
  <c r="F26" i="7"/>
  <c r="P25" i="7"/>
  <c r="I25" i="7"/>
  <c r="K25" i="7"/>
  <c r="P24" i="7"/>
  <c r="I24" i="7"/>
  <c r="K24" i="7"/>
  <c r="I23" i="7"/>
  <c r="K23" i="7"/>
  <c r="F23" i="7"/>
  <c r="N22" i="7"/>
  <c r="P22" i="7"/>
  <c r="I22" i="7"/>
  <c r="K22" i="7"/>
  <c r="D22" i="7"/>
  <c r="F22" i="7"/>
  <c r="E45" i="15"/>
  <c r="K45" i="15" s="1"/>
  <c r="E44" i="15"/>
  <c r="K44" i="15" s="1"/>
  <c r="M20" i="16"/>
  <c r="M8" i="16"/>
  <c r="H42" i="2"/>
  <c r="H37" i="2"/>
  <c r="H36" i="2"/>
  <c r="H32" i="2"/>
  <c r="H8" i="2"/>
  <c r="J34" i="4"/>
  <c r="J33" i="4"/>
  <c r="J14" i="4"/>
  <c r="C10" i="8"/>
  <c r="D10" i="8"/>
  <c r="E10" i="8"/>
  <c r="G10" i="8"/>
  <c r="I10" i="8"/>
  <c r="J10" i="8"/>
  <c r="K10" i="8"/>
  <c r="I33" i="8"/>
  <c r="D40" i="15" l="1"/>
  <c r="L37" i="16"/>
  <c r="G18" i="3"/>
  <c r="G23" i="3" s="1"/>
  <c r="I17" i="15"/>
  <c r="I21" i="15" s="1"/>
  <c r="D17" i="4"/>
  <c r="H37" i="4"/>
  <c r="I37" i="16"/>
  <c r="E32" i="8"/>
  <c r="H37" i="16"/>
  <c r="R44" i="9"/>
  <c r="C18" i="3"/>
  <c r="E17" i="15"/>
  <c r="C40" i="4"/>
  <c r="B37" i="16"/>
  <c r="F37" i="16"/>
  <c r="H29" i="9"/>
  <c r="G44" i="3"/>
  <c r="I48" i="3"/>
  <c r="G50" i="2" s="1"/>
  <c r="H50" i="2" s="1"/>
  <c r="D30" i="16"/>
  <c r="H30" i="16"/>
  <c r="K18" i="16"/>
  <c r="N10" i="9"/>
  <c r="F18" i="9"/>
  <c r="O42" i="9"/>
  <c r="F43" i="9"/>
  <c r="F16" i="9"/>
  <c r="L11" i="16"/>
  <c r="I41" i="15"/>
  <c r="E41" i="15"/>
  <c r="H41" i="4"/>
  <c r="O15" i="9"/>
  <c r="C23" i="16"/>
  <c r="E21" i="2"/>
  <c r="K28" i="8"/>
  <c r="I37" i="15"/>
  <c r="C22" i="3"/>
  <c r="H20" i="4"/>
  <c r="H17" i="4"/>
  <c r="B46" i="4"/>
  <c r="B47" i="4" s="1"/>
  <c r="N29" i="9"/>
  <c r="C44" i="3"/>
  <c r="D44" i="2"/>
  <c r="C27" i="4"/>
  <c r="C18" i="8"/>
  <c r="O12" i="9"/>
  <c r="R39" i="9"/>
  <c r="B23" i="8"/>
  <c r="J18" i="16"/>
  <c r="I39" i="9"/>
  <c r="O19" i="9"/>
  <c r="R8" i="9"/>
  <c r="R38" i="9"/>
  <c r="D6" i="16"/>
  <c r="C7" i="7"/>
  <c r="B12" i="3"/>
  <c r="F18" i="3"/>
  <c r="H20" i="15"/>
  <c r="G17" i="4"/>
  <c r="J28" i="8"/>
  <c r="C28" i="8"/>
  <c r="H37" i="15"/>
  <c r="F40" i="2"/>
  <c r="B40" i="2"/>
  <c r="G40" i="15"/>
  <c r="L18" i="16"/>
  <c r="B27" i="15"/>
  <c r="E30" i="2"/>
  <c r="B30" i="16"/>
  <c r="F30" i="16"/>
  <c r="J30" i="16"/>
  <c r="E18" i="16"/>
  <c r="I18" i="16"/>
  <c r="O25" i="9"/>
  <c r="R25" i="9"/>
  <c r="R23" i="9"/>
  <c r="R35" i="9"/>
  <c r="F23" i="9"/>
  <c r="I19" i="9"/>
  <c r="O31" i="9"/>
  <c r="F40" i="9"/>
  <c r="R50" i="9"/>
  <c r="B7" i="3"/>
  <c r="F6" i="2"/>
  <c r="D7" i="15"/>
  <c r="F12" i="15"/>
  <c r="H22" i="3"/>
  <c r="H23" i="3" s="1"/>
  <c r="B17" i="15"/>
  <c r="B21" i="15" s="1"/>
  <c r="F12" i="7"/>
  <c r="B12" i="7"/>
  <c r="J6" i="8"/>
  <c r="J12" i="8" s="1"/>
  <c r="D20" i="1"/>
  <c r="F20" i="1" s="1"/>
  <c r="L32" i="8"/>
  <c r="J41" i="15"/>
  <c r="F41" i="15"/>
  <c r="B41" i="15"/>
  <c r="E41" i="4"/>
  <c r="D28" i="8"/>
  <c r="I40" i="15"/>
  <c r="E40" i="15"/>
  <c r="H40" i="4"/>
  <c r="B40" i="3"/>
  <c r="B43" i="3"/>
  <c r="H18" i="16"/>
  <c r="F38" i="9"/>
  <c r="O27" i="9"/>
  <c r="F43" i="2"/>
  <c r="B43" i="2"/>
  <c r="G32" i="15"/>
  <c r="C32" i="15"/>
  <c r="F44" i="3"/>
  <c r="B23" i="16"/>
  <c r="F31" i="9"/>
  <c r="I11" i="9"/>
  <c r="I31" i="9"/>
  <c r="O8" i="9"/>
  <c r="R40" i="9"/>
  <c r="R12" i="9"/>
  <c r="K11" i="16"/>
  <c r="G11" i="16"/>
  <c r="F6" i="16"/>
  <c r="B6" i="16"/>
  <c r="I11" i="16"/>
  <c r="E11" i="16"/>
  <c r="H6" i="16"/>
  <c r="H12" i="15"/>
  <c r="G12" i="4"/>
  <c r="F12" i="3"/>
  <c r="C21" i="2"/>
  <c r="C23" i="2" s="1"/>
  <c r="B18" i="3"/>
  <c r="G20" i="4"/>
  <c r="G21" i="4" s="1"/>
  <c r="H17" i="15"/>
  <c r="D17" i="15"/>
  <c r="D21" i="15" s="1"/>
  <c r="C17" i="4"/>
  <c r="E32" i="4"/>
  <c r="H35" i="3"/>
  <c r="D35" i="3"/>
  <c r="L23" i="8"/>
  <c r="E23" i="8"/>
  <c r="J27" i="15"/>
  <c r="F27" i="15"/>
  <c r="I28" i="3"/>
  <c r="G28" i="2" s="1"/>
  <c r="H28" i="2" s="1"/>
  <c r="B5" i="5" s="1"/>
  <c r="C32" i="4"/>
  <c r="B35" i="3"/>
  <c r="J23" i="8"/>
  <c r="H33" i="8"/>
  <c r="C30" i="16"/>
  <c r="G30" i="16"/>
  <c r="R15" i="9"/>
  <c r="C29" i="9"/>
  <c r="H37" i="9"/>
  <c r="I44" i="9"/>
  <c r="F7" i="3"/>
  <c r="E7" i="7"/>
  <c r="C12" i="7"/>
  <c r="K6" i="8"/>
  <c r="K12" i="8" s="1"/>
  <c r="D44" i="3"/>
  <c r="E44" i="2"/>
  <c r="I32" i="15"/>
  <c r="E32" i="15"/>
  <c r="H32" i="4"/>
  <c r="E27" i="4"/>
  <c r="L18" i="8"/>
  <c r="E18" i="8"/>
  <c r="G31" i="8"/>
  <c r="B10" i="8"/>
  <c r="H23" i="16"/>
  <c r="I6" i="9"/>
  <c r="Q10" i="9"/>
  <c r="I43" i="9"/>
  <c r="I16" i="9"/>
  <c r="K6" i="16"/>
  <c r="G6" i="16"/>
  <c r="C6" i="16"/>
  <c r="E6" i="16"/>
  <c r="E7" i="3"/>
  <c r="H7" i="3"/>
  <c r="D7" i="3"/>
  <c r="C6" i="8"/>
  <c r="C12" i="8" s="1"/>
  <c r="R48" i="9"/>
  <c r="B40" i="4"/>
  <c r="B31" i="8"/>
  <c r="E23" i="16"/>
  <c r="I23" i="16"/>
  <c r="I27" i="9"/>
  <c r="F4" i="9"/>
  <c r="F21" i="9"/>
  <c r="F50" i="9"/>
  <c r="G46" i="9"/>
  <c r="O17" i="9"/>
  <c r="O44" i="9"/>
  <c r="O40" i="9"/>
  <c r="O49" i="9"/>
  <c r="R6" i="9"/>
  <c r="R47" i="9"/>
  <c r="R20" i="9"/>
  <c r="H7" i="4"/>
  <c r="D7" i="4"/>
  <c r="I10" i="3"/>
  <c r="G9" i="2" s="1"/>
  <c r="B17" i="2"/>
  <c r="B6" i="8"/>
  <c r="D21" i="1"/>
  <c r="F21" i="1" s="1"/>
  <c r="G41" i="15"/>
  <c r="K36" i="15"/>
  <c r="I36" i="4" s="1"/>
  <c r="J36" i="4" s="1"/>
  <c r="C16" i="5" s="1"/>
  <c r="B37" i="4"/>
  <c r="L31" i="8"/>
  <c r="E28" i="8"/>
  <c r="J40" i="15"/>
  <c r="J42" i="15" s="1"/>
  <c r="E40" i="4"/>
  <c r="G40" i="3"/>
  <c r="C40" i="3"/>
  <c r="D40" i="2"/>
  <c r="E44" i="3"/>
  <c r="C32" i="8"/>
  <c r="L10" i="8"/>
  <c r="F30" i="9"/>
  <c r="R27" i="9"/>
  <c r="C10" i="9"/>
  <c r="F48" i="9"/>
  <c r="R33" i="9"/>
  <c r="R30" i="9"/>
  <c r="H7" i="15"/>
  <c r="J12" i="15"/>
  <c r="E12" i="4"/>
  <c r="D12" i="3"/>
  <c r="E11" i="2"/>
  <c r="D22" i="3"/>
  <c r="F40" i="3"/>
  <c r="C40" i="2"/>
  <c r="E10" i="9"/>
  <c r="F11" i="9"/>
  <c r="N53" i="9"/>
  <c r="O21" i="9"/>
  <c r="F39" i="9"/>
  <c r="C37" i="9"/>
  <c r="R18" i="9"/>
  <c r="G5" i="7"/>
  <c r="B7" i="1" s="1"/>
  <c r="G12" i="15"/>
  <c r="F12" i="4"/>
  <c r="B12" i="4"/>
  <c r="F21" i="2"/>
  <c r="F17" i="2"/>
  <c r="G20" i="15"/>
  <c r="C20" i="15"/>
  <c r="F20" i="4"/>
  <c r="B20" i="4"/>
  <c r="G17" i="15"/>
  <c r="G21" i="15" s="1"/>
  <c r="B17" i="4"/>
  <c r="H48" i="2"/>
  <c r="C49" i="2"/>
  <c r="H49" i="2" s="1"/>
  <c r="L14" i="9"/>
  <c r="L37" i="9"/>
  <c r="L46" i="9"/>
  <c r="F10" i="9"/>
  <c r="G6" i="7"/>
  <c r="C7" i="1" s="1"/>
  <c r="I11" i="3"/>
  <c r="G10" i="2" s="1"/>
  <c r="H10" i="2" s="1"/>
  <c r="K30" i="16"/>
  <c r="G11" i="7"/>
  <c r="C18" i="1" s="1"/>
  <c r="N46" i="9"/>
  <c r="M4" i="16"/>
  <c r="M5" i="16"/>
  <c r="K26" i="15"/>
  <c r="I26" i="4" s="1"/>
  <c r="J26" i="4" s="1"/>
  <c r="C6" i="5" s="1"/>
  <c r="D40" i="3"/>
  <c r="C23" i="8"/>
  <c r="J23" i="16"/>
  <c r="P14" i="9"/>
  <c r="R42" i="9"/>
  <c r="E37" i="4"/>
  <c r="B40" i="15"/>
  <c r="I20" i="3"/>
  <c r="G19" i="2" s="1"/>
  <c r="H19" i="2" s="1"/>
  <c r="C53" i="9"/>
  <c r="O39" i="9"/>
  <c r="M8" i="8"/>
  <c r="F43" i="3"/>
  <c r="B27" i="4"/>
  <c r="K19" i="15"/>
  <c r="I19" i="4" s="1"/>
  <c r="J19" i="4" s="1"/>
  <c r="E31" i="8"/>
  <c r="I25" i="9"/>
  <c r="I35" i="9"/>
  <c r="Q29" i="9"/>
  <c r="I40" i="9"/>
  <c r="R17" i="9"/>
  <c r="E7" i="4"/>
  <c r="I39" i="3"/>
  <c r="G39" i="2" s="1"/>
  <c r="H39" i="2" s="1"/>
  <c r="B16" i="5" s="1"/>
  <c r="B32" i="4"/>
  <c r="F35" i="2"/>
  <c r="B35" i="2"/>
  <c r="G23" i="8"/>
  <c r="D43" i="2"/>
  <c r="F23" i="16"/>
  <c r="P29" i="9"/>
  <c r="J11" i="16"/>
  <c r="J20" i="15"/>
  <c r="J21" i="15" s="1"/>
  <c r="D40" i="4"/>
  <c r="D31" i="8"/>
  <c r="E43" i="3"/>
  <c r="B41" i="4"/>
  <c r="D32" i="4"/>
  <c r="B18" i="16"/>
  <c r="F18" i="16"/>
  <c r="M21" i="16"/>
  <c r="I41" i="9"/>
  <c r="N14" i="9"/>
  <c r="O14" i="9" s="1"/>
  <c r="O20" i="9"/>
  <c r="O48" i="9"/>
  <c r="Q37" i="9"/>
  <c r="O38" i="9"/>
  <c r="O47" i="9"/>
  <c r="F19" i="9"/>
  <c r="G7" i="3"/>
  <c r="C6" i="2"/>
  <c r="E7" i="15"/>
  <c r="G7" i="15"/>
  <c r="F7" i="4"/>
  <c r="I16" i="3"/>
  <c r="G15" i="2" s="1"/>
  <c r="H15" i="2" s="1"/>
  <c r="C37" i="4"/>
  <c r="H40" i="15"/>
  <c r="R41" i="9"/>
  <c r="P37" i="9"/>
  <c r="E6" i="8"/>
  <c r="E12" i="8" s="1"/>
  <c r="M5" i="8"/>
  <c r="C19" i="1" s="1"/>
  <c r="M27" i="8"/>
  <c r="D16" i="5" s="1"/>
  <c r="C44" i="2"/>
  <c r="G23" i="16"/>
  <c r="K23" i="16"/>
  <c r="R16" i="9"/>
  <c r="Q14" i="9"/>
  <c r="O30" i="9"/>
  <c r="L29" i="9"/>
  <c r="F49" i="9"/>
  <c r="C46" i="9"/>
  <c r="I5" i="3"/>
  <c r="G4" i="2" s="1"/>
  <c r="H4" i="2" s="1"/>
  <c r="B5" i="1" s="1"/>
  <c r="C7" i="15"/>
  <c r="K5" i="15"/>
  <c r="I5" i="4" s="1"/>
  <c r="J5" i="4" s="1"/>
  <c r="B6" i="1" s="1"/>
  <c r="I12" i="15"/>
  <c r="K16" i="15"/>
  <c r="I16" i="4" s="1"/>
  <c r="J16" i="4" s="1"/>
  <c r="F20" i="15"/>
  <c r="F21" i="15" s="1"/>
  <c r="H30" i="3"/>
  <c r="H43" i="3"/>
  <c r="E14" i="9"/>
  <c r="F15" i="9"/>
  <c r="P53" i="9"/>
  <c r="I34" i="3"/>
  <c r="G34" i="2" s="1"/>
  <c r="H34" i="2" s="1"/>
  <c r="B11" i="5" s="1"/>
  <c r="I29" i="3"/>
  <c r="G29" i="2" s="1"/>
  <c r="E12" i="3"/>
  <c r="B30" i="3"/>
  <c r="F35" i="3"/>
  <c r="B44" i="3"/>
  <c r="K31" i="15"/>
  <c r="I31" i="4" s="1"/>
  <c r="G18" i="8"/>
  <c r="C30" i="2"/>
  <c r="H40" i="3"/>
  <c r="H44" i="3"/>
  <c r="M9" i="8"/>
  <c r="I30" i="16"/>
  <c r="M28" i="16"/>
  <c r="M17" i="16"/>
  <c r="G18" i="16"/>
  <c r="D23" i="16"/>
  <c r="G40" i="4"/>
  <c r="G37" i="4"/>
  <c r="I38" i="3"/>
  <c r="G38" i="2" s="1"/>
  <c r="E40" i="3"/>
  <c r="G28" i="8"/>
  <c r="G32" i="8"/>
  <c r="M16" i="8"/>
  <c r="D5" i="5" s="1"/>
  <c r="B18" i="8"/>
  <c r="G29" i="9"/>
  <c r="G37" i="15"/>
  <c r="K18" i="15"/>
  <c r="I18" i="4" s="1"/>
  <c r="J32" i="8"/>
  <c r="F25" i="9"/>
  <c r="M10" i="16"/>
  <c r="B11" i="16"/>
  <c r="H51" i="2"/>
  <c r="I21" i="3"/>
  <c r="G20" i="2" s="1"/>
  <c r="H20" i="2" s="1"/>
  <c r="F22" i="3"/>
  <c r="B22" i="3"/>
  <c r="G41" i="4"/>
  <c r="C41" i="4"/>
  <c r="M26" i="8"/>
  <c r="D15" i="5" s="1"/>
  <c r="C37" i="15"/>
  <c r="F30" i="3"/>
  <c r="K46" i="15"/>
  <c r="I44" i="4" s="1"/>
  <c r="J44" i="4" s="1"/>
  <c r="J37" i="16"/>
  <c r="F35" i="9"/>
  <c r="I23" i="9"/>
  <c r="O18" i="9"/>
  <c r="O41" i="9"/>
  <c r="O50" i="9"/>
  <c r="F42" i="9"/>
  <c r="F41" i="9"/>
  <c r="F11" i="16"/>
  <c r="K47" i="15"/>
  <c r="I45" i="4" s="1"/>
  <c r="J45" i="4" s="1"/>
  <c r="E22" i="3"/>
  <c r="E23" i="3" s="1"/>
  <c r="B21" i="2"/>
  <c r="J37" i="15"/>
  <c r="F37" i="4"/>
  <c r="E40" i="2"/>
  <c r="K30" i="15"/>
  <c r="I30" i="4" s="1"/>
  <c r="J30" i="4" s="1"/>
  <c r="C10" i="5" s="1"/>
  <c r="H27" i="15"/>
  <c r="M22" i="8"/>
  <c r="D11" i="5" s="1"/>
  <c r="G27" i="15"/>
  <c r="C41" i="15"/>
  <c r="F41" i="4"/>
  <c r="E30" i="3"/>
  <c r="M17" i="8"/>
  <c r="E30" i="16"/>
  <c r="O6" i="9"/>
  <c r="G37" i="16"/>
  <c r="I8" i="9"/>
  <c r="O33" i="9"/>
  <c r="H10" i="9"/>
  <c r="I48" i="9"/>
  <c r="R19" i="9"/>
  <c r="I6" i="16"/>
  <c r="H11" i="16"/>
  <c r="D11" i="16"/>
  <c r="D6" i="2"/>
  <c r="K6" i="15"/>
  <c r="I6" i="4" s="1"/>
  <c r="J6" i="4" s="1"/>
  <c r="C6" i="1" s="1"/>
  <c r="I7" i="15"/>
  <c r="F7" i="7"/>
  <c r="F11" i="2"/>
  <c r="B11" i="2"/>
  <c r="C12" i="3"/>
  <c r="E20" i="15"/>
  <c r="D20" i="4"/>
  <c r="E37" i="15"/>
  <c r="B37" i="15"/>
  <c r="M21" i="8"/>
  <c r="D27" i="15"/>
  <c r="G27" i="4"/>
  <c r="E35" i="2"/>
  <c r="I38" i="9"/>
  <c r="F33" i="9"/>
  <c r="I4" i="9"/>
  <c r="I21" i="9"/>
  <c r="I50" i="9"/>
  <c r="O43" i="9"/>
  <c r="F12" i="9"/>
  <c r="F17" i="9"/>
  <c r="R31" i="9"/>
  <c r="P46" i="9"/>
  <c r="L6" i="16"/>
  <c r="I6" i="3"/>
  <c r="G5" i="2" s="1"/>
  <c r="H5" i="2" s="1"/>
  <c r="C5" i="1" s="1"/>
  <c r="C7" i="3"/>
  <c r="E6" i="2"/>
  <c r="F7" i="15"/>
  <c r="G7" i="4"/>
  <c r="D7" i="7"/>
  <c r="H12" i="3"/>
  <c r="C12" i="4"/>
  <c r="D17" i="2"/>
  <c r="D23" i="2" s="1"/>
  <c r="C17" i="15"/>
  <c r="F17" i="4"/>
  <c r="C20" i="4"/>
  <c r="D12" i="7"/>
  <c r="E12" i="7"/>
  <c r="L6" i="8"/>
  <c r="H41" i="15"/>
  <c r="C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28" i="8"/>
  <c r="I6" i="8"/>
  <c r="I12" i="8" s="1"/>
  <c r="L28" i="8"/>
  <c r="G6" i="8"/>
  <c r="G12" i="8" s="1"/>
  <c r="F44" i="9"/>
  <c r="E53" i="9"/>
  <c r="I42" i="9"/>
  <c r="G37" i="9"/>
  <c r="I20" i="9"/>
  <c r="G14" i="9"/>
  <c r="I17" i="9"/>
  <c r="H14" i="9"/>
  <c r="Q46" i="9"/>
  <c r="Q53" i="9"/>
  <c r="O4" i="9"/>
  <c r="L53" i="9"/>
  <c r="B6" i="2"/>
  <c r="I17" i="3"/>
  <c r="G16" i="2" s="1"/>
  <c r="D41" i="15"/>
  <c r="D37" i="15"/>
  <c r="D41" i="4"/>
  <c r="C40" i="15"/>
  <c r="K25" i="15"/>
  <c r="I25" i="4" s="1"/>
  <c r="C27" i="15"/>
  <c r="F40" i="4"/>
  <c r="F27" i="4"/>
  <c r="E46" i="9"/>
  <c r="F47" i="9"/>
  <c r="L30" i="16"/>
  <c r="M27" i="16"/>
  <c r="M16" i="16"/>
  <c r="D18" i="16"/>
  <c r="L23" i="16"/>
  <c r="M22" i="16"/>
  <c r="E37" i="16"/>
  <c r="M34" i="16"/>
  <c r="E37" i="9"/>
  <c r="F37" i="9" s="1"/>
  <c r="J12" i="5"/>
  <c r="J21" i="5"/>
  <c r="I49" i="9"/>
  <c r="H53" i="9"/>
  <c r="E17" i="2"/>
  <c r="M4" i="8"/>
  <c r="B19" i="1" s="1"/>
  <c r="D6" i="8"/>
  <c r="K31" i="8"/>
  <c r="K23" i="8"/>
  <c r="D32" i="8"/>
  <c r="F6" i="9"/>
  <c r="C43" i="3"/>
  <c r="R49" i="9"/>
  <c r="C11" i="16"/>
  <c r="M9" i="16"/>
  <c r="B12" i="15"/>
  <c r="K10" i="15"/>
  <c r="I10" i="4" s="1"/>
  <c r="F40" i="15"/>
  <c r="K35" i="15"/>
  <c r="I35" i="4" s="1"/>
  <c r="F37" i="15"/>
  <c r="F44" i="2"/>
  <c r="F30" i="2"/>
  <c r="B44" i="2"/>
  <c r="B30" i="2"/>
  <c r="G53" i="9"/>
  <c r="I33" i="3"/>
  <c r="G33" i="2" s="1"/>
  <c r="D18" i="8"/>
  <c r="D37" i="16"/>
  <c r="C37" i="16"/>
  <c r="M35" i="16"/>
  <c r="O11" i="9"/>
  <c r="L10" i="9"/>
  <c r="O23" i="9"/>
  <c r="O35" i="9"/>
  <c r="K11" i="15"/>
  <c r="I11" i="4" s="1"/>
  <c r="J11" i="4" s="1"/>
  <c r="D12" i="15"/>
  <c r="F20" i="9"/>
  <c r="R11" i="9"/>
  <c r="K15" i="15"/>
  <c r="I15" i="4" s="1"/>
  <c r="C14" i="9"/>
  <c r="E29" i="9"/>
  <c r="N37" i="9"/>
  <c r="J6" i="16"/>
  <c r="B7" i="7"/>
  <c r="B32" i="8"/>
  <c r="F32" i="15"/>
  <c r="C43" i="2"/>
  <c r="C35" i="2"/>
  <c r="P10" i="9"/>
  <c r="H46" i="9"/>
  <c r="E21" i="4"/>
  <c r="C18" i="16"/>
  <c r="I18" i="9"/>
  <c r="I12" i="9"/>
  <c r="G10" i="9"/>
  <c r="B7" i="4"/>
  <c r="D12" i="4"/>
  <c r="G12" i="3"/>
  <c r="D18" i="3"/>
  <c r="G10" i="7"/>
  <c r="B18" i="1" s="1"/>
  <c r="D37" i="4"/>
  <c r="G43" i="3"/>
  <c r="G30" i="3"/>
  <c r="D30" i="3"/>
  <c r="D43" i="3"/>
  <c r="E43" i="2"/>
  <c r="B42" i="15" l="1"/>
  <c r="B12" i="8"/>
  <c r="H42" i="4"/>
  <c r="C23" i="3"/>
  <c r="G20" i="1"/>
  <c r="I20" i="1" s="1"/>
  <c r="I29" i="9"/>
  <c r="O29" i="9"/>
  <c r="C21" i="7"/>
  <c r="C33" i="7" s="1"/>
  <c r="I7" i="4"/>
  <c r="H21" i="4"/>
  <c r="H45" i="3"/>
  <c r="O37" i="9"/>
  <c r="C21" i="4"/>
  <c r="R10" i="9"/>
  <c r="F29" i="9"/>
  <c r="D21" i="4"/>
  <c r="B23" i="2"/>
  <c r="B33" i="1"/>
  <c r="M10" i="8"/>
  <c r="E45" i="2"/>
  <c r="G45" i="3"/>
  <c r="I10" i="9"/>
  <c r="E23" i="2"/>
  <c r="J33" i="8"/>
  <c r="E21" i="15"/>
  <c r="F45" i="3"/>
  <c r="I42" i="15"/>
  <c r="D45" i="2"/>
  <c r="D45" i="3"/>
  <c r="L12" i="8"/>
  <c r="F23" i="3"/>
  <c r="C33" i="8"/>
  <c r="G42" i="15"/>
  <c r="H21" i="15"/>
  <c r="E42" i="15"/>
  <c r="R29" i="9"/>
  <c r="B42" i="4"/>
  <c r="D7" i="1"/>
  <c r="G7" i="1" s="1"/>
  <c r="I7" i="1" s="1"/>
  <c r="G17" i="2"/>
  <c r="H17" i="2" s="1"/>
  <c r="R14" i="9"/>
  <c r="I12" i="3"/>
  <c r="I44" i="3"/>
  <c r="C42" i="4"/>
  <c r="F45" i="2"/>
  <c r="L33" i="8"/>
  <c r="F21" i="4"/>
  <c r="D17" i="5"/>
  <c r="E45" i="3"/>
  <c r="F42" i="15"/>
  <c r="D18" i="1"/>
  <c r="F18" i="1" s="1"/>
  <c r="C10" i="1"/>
  <c r="I27" i="4"/>
  <c r="J27" i="4" s="1"/>
  <c r="C21" i="15"/>
  <c r="E42" i="4"/>
  <c r="E33" i="8"/>
  <c r="G11" i="2"/>
  <c r="H11" i="2" s="1"/>
  <c r="H9" i="2"/>
  <c r="G33" i="8"/>
  <c r="I35" i="3"/>
  <c r="F53" i="9"/>
  <c r="I40" i="3"/>
  <c r="O46" i="9"/>
  <c r="B45" i="3"/>
  <c r="G44" i="2"/>
  <c r="H44" i="2" s="1"/>
  <c r="K32" i="15"/>
  <c r="J25" i="4"/>
  <c r="C5" i="5" s="1"/>
  <c r="I30" i="3"/>
  <c r="M6" i="16"/>
  <c r="G21" i="1"/>
  <c r="I21" i="1" s="1"/>
  <c r="I7" i="3"/>
  <c r="M23" i="8"/>
  <c r="B21" i="4"/>
  <c r="D40" i="9"/>
  <c r="M18" i="8"/>
  <c r="K20" i="15"/>
  <c r="D6" i="1"/>
  <c r="G6" i="1" s="1"/>
  <c r="I6" i="1" s="1"/>
  <c r="M31" i="8"/>
  <c r="G12" i="7"/>
  <c r="C8" i="1"/>
  <c r="M11" i="16"/>
  <c r="J22" i="5"/>
  <c r="H29" i="2"/>
  <c r="B6" i="5" s="1"/>
  <c r="B7" i="5" s="1"/>
  <c r="K7" i="15"/>
  <c r="G21" i="2"/>
  <c r="H21" i="2" s="1"/>
  <c r="G42" i="4"/>
  <c r="M23" i="16"/>
  <c r="I32" i="4"/>
  <c r="J32" i="4" s="1"/>
  <c r="C37" i="1"/>
  <c r="H42" i="15"/>
  <c r="I22" i="3"/>
  <c r="R37" i="9"/>
  <c r="F23" i="2"/>
  <c r="B21" i="7"/>
  <c r="K27" i="15"/>
  <c r="B16" i="1"/>
  <c r="C17" i="1"/>
  <c r="B23" i="3"/>
  <c r="H54" i="9"/>
  <c r="H52" i="9" s="1"/>
  <c r="M37" i="16"/>
  <c r="I41" i="4"/>
  <c r="J41" i="4" s="1"/>
  <c r="M18" i="16"/>
  <c r="D19" i="1"/>
  <c r="G19" i="1" s="1"/>
  <c r="G6" i="2"/>
  <c r="H6" i="2" s="1"/>
  <c r="D5" i="1" s="1"/>
  <c r="B8" i="1"/>
  <c r="R53" i="9"/>
  <c r="I14" i="9"/>
  <c r="K17" i="15"/>
  <c r="I20" i="4"/>
  <c r="J20" i="4" s="1"/>
  <c r="J18" i="4"/>
  <c r="J7" i="4"/>
  <c r="M32" i="8"/>
  <c r="G7" i="7"/>
  <c r="I53" i="9"/>
  <c r="M30" i="16"/>
  <c r="M28" i="8"/>
  <c r="H38" i="2"/>
  <c r="B15" i="5" s="1"/>
  <c r="B17" i="5" s="1"/>
  <c r="G40" i="2"/>
  <c r="H40" i="2" s="1"/>
  <c r="J31" i="4"/>
  <c r="G30" i="2"/>
  <c r="H30" i="2" s="1"/>
  <c r="E36" i="1"/>
  <c r="B33" i="8"/>
  <c r="C45" i="2"/>
  <c r="F14" i="9"/>
  <c r="C54" i="9"/>
  <c r="G35" i="2"/>
  <c r="H35" i="2" s="1"/>
  <c r="G43" i="2"/>
  <c r="D6" i="5"/>
  <c r="H33" i="2"/>
  <c r="B10" i="5" s="1"/>
  <c r="K33" i="8"/>
  <c r="K37" i="15"/>
  <c r="I46" i="9"/>
  <c r="I18" i="3"/>
  <c r="D23" i="3"/>
  <c r="I17" i="4"/>
  <c r="J15" i="4"/>
  <c r="D10" i="5"/>
  <c r="D12" i="8"/>
  <c r="M6" i="8"/>
  <c r="F42" i="4"/>
  <c r="C42" i="15"/>
  <c r="K40" i="15"/>
  <c r="D42" i="15"/>
  <c r="K41" i="15"/>
  <c r="D33" i="8"/>
  <c r="O10" i="9"/>
  <c r="B45" i="2"/>
  <c r="I37" i="4"/>
  <c r="I40" i="4"/>
  <c r="J40" i="4" s="1"/>
  <c r="J35" i="4"/>
  <c r="C15" i="5" s="1"/>
  <c r="J10" i="4"/>
  <c r="I12" i="4"/>
  <c r="J12" i="4" s="1"/>
  <c r="N54" i="9"/>
  <c r="N52" i="9" s="1"/>
  <c r="E16" i="5"/>
  <c r="F16" i="5" s="1"/>
  <c r="H16" i="2"/>
  <c r="C16" i="1" s="1"/>
  <c r="Q54" i="9"/>
  <c r="Q52" i="9" s="1"/>
  <c r="R46" i="9"/>
  <c r="D42" i="4"/>
  <c r="K12" i="15"/>
  <c r="C45" i="3"/>
  <c r="I43" i="3"/>
  <c r="E54" i="9"/>
  <c r="E52" i="9" s="1"/>
  <c r="F46" i="9"/>
  <c r="P54" i="9"/>
  <c r="M40" i="9"/>
  <c r="O53" i="9"/>
  <c r="I37" i="9"/>
  <c r="G54" i="9"/>
  <c r="L54" i="9"/>
  <c r="M10" i="9" s="1"/>
  <c r="I19" i="1" l="1"/>
  <c r="M12" i="8"/>
  <c r="B10" i="1"/>
  <c r="D10" i="1" s="1"/>
  <c r="K21" i="15"/>
  <c r="D21" i="7"/>
  <c r="F21" i="7" s="1"/>
  <c r="F19" i="1"/>
  <c r="F6" i="1"/>
  <c r="G45" i="2"/>
  <c r="H45" i="2" s="1"/>
  <c r="B32" i="1"/>
  <c r="C32" i="1" s="1"/>
  <c r="I45" i="3"/>
  <c r="F7" i="1"/>
  <c r="G18" i="1"/>
  <c r="G23" i="2"/>
  <c r="H23" i="2" s="1"/>
  <c r="B27" i="1"/>
  <c r="B21" i="5"/>
  <c r="B28" i="1"/>
  <c r="B33" i="7"/>
  <c r="I42" i="4"/>
  <c r="J42" i="4" s="1"/>
  <c r="K42" i="15"/>
  <c r="I23" i="3"/>
  <c r="C11" i="1"/>
  <c r="M21" i="7" s="1"/>
  <c r="D33" i="1"/>
  <c r="C33" i="1"/>
  <c r="B17" i="1"/>
  <c r="D17" i="1" s="1"/>
  <c r="H43" i="2"/>
  <c r="C11" i="5"/>
  <c r="C28" i="1"/>
  <c r="C27" i="1"/>
  <c r="M33" i="8"/>
  <c r="D37" i="9"/>
  <c r="D18" i="9"/>
  <c r="D25" i="9"/>
  <c r="C52" i="9"/>
  <c r="D47" i="9"/>
  <c r="D20" i="9"/>
  <c r="D12" i="9"/>
  <c r="D11" i="9"/>
  <c r="D29" i="9"/>
  <c r="D50" i="9"/>
  <c r="D31" i="9"/>
  <c r="D33" i="9"/>
  <c r="D41" i="9"/>
  <c r="D15" i="9"/>
  <c r="D30" i="9"/>
  <c r="D23" i="9"/>
  <c r="F54" i="9"/>
  <c r="D54" i="9"/>
  <c r="D48" i="9"/>
  <c r="D43" i="9"/>
  <c r="D16" i="9"/>
  <c r="D39" i="9"/>
  <c r="D42" i="9"/>
  <c r="D17" i="9"/>
  <c r="D8" i="9"/>
  <c r="D21" i="9"/>
  <c r="D27" i="9"/>
  <c r="D38" i="9"/>
  <c r="D46" i="9"/>
  <c r="D35" i="9"/>
  <c r="D49" i="9"/>
  <c r="D44" i="9"/>
  <c r="D4" i="9"/>
  <c r="D19" i="9"/>
  <c r="D53" i="9"/>
  <c r="D6" i="9"/>
  <c r="D10" i="9"/>
  <c r="P52" i="9"/>
  <c r="R52" i="9" s="1"/>
  <c r="R54" i="9"/>
  <c r="J37" i="4"/>
  <c r="I16" i="5"/>
  <c r="H16" i="5"/>
  <c r="I21" i="4"/>
  <c r="J21" i="4" s="1"/>
  <c r="J17" i="4"/>
  <c r="B12" i="5"/>
  <c r="E10" i="5"/>
  <c r="B20" i="5"/>
  <c r="M18" i="9"/>
  <c r="M17" i="9"/>
  <c r="L52" i="9"/>
  <c r="M42" i="9"/>
  <c r="M47" i="9"/>
  <c r="M33" i="9"/>
  <c r="M35" i="9"/>
  <c r="M30" i="9"/>
  <c r="M48" i="9"/>
  <c r="M12" i="9"/>
  <c r="M19" i="9"/>
  <c r="M43" i="9"/>
  <c r="M54" i="9"/>
  <c r="M8" i="9"/>
  <c r="M31" i="9"/>
  <c r="M38" i="9"/>
  <c r="M6" i="9"/>
  <c r="M14" i="9"/>
  <c r="M21" i="9"/>
  <c r="M50" i="9"/>
  <c r="M41" i="9"/>
  <c r="M11" i="9"/>
  <c r="M23" i="9"/>
  <c r="M27" i="9"/>
  <c r="M16" i="9"/>
  <c r="O54" i="9"/>
  <c r="M49" i="9"/>
  <c r="M20" i="9"/>
  <c r="M44" i="9"/>
  <c r="M39" i="9"/>
  <c r="M25" i="9"/>
  <c r="M15" i="9"/>
  <c r="M29" i="9"/>
  <c r="M46" i="9"/>
  <c r="M4" i="9"/>
  <c r="M37" i="9"/>
  <c r="M53" i="9"/>
  <c r="C17" i="5"/>
  <c r="C20" i="5"/>
  <c r="E15" i="5"/>
  <c r="D12" i="5"/>
  <c r="D20" i="5"/>
  <c r="D21" i="5"/>
  <c r="D7" i="5"/>
  <c r="C22" i="1"/>
  <c r="D16" i="1"/>
  <c r="I54" i="9"/>
  <c r="G52" i="9"/>
  <c r="I52" i="9" s="1"/>
  <c r="D8" i="1"/>
  <c r="F8" i="1" s="1"/>
  <c r="G5" i="1"/>
  <c r="F5" i="1"/>
  <c r="E6" i="5"/>
  <c r="F6" i="5" s="1"/>
  <c r="C7" i="5"/>
  <c r="E5" i="5"/>
  <c r="D14" i="9"/>
  <c r="I18" i="1" l="1"/>
  <c r="B11" i="1"/>
  <c r="L21" i="7" s="1"/>
  <c r="D33" i="7"/>
  <c r="F33" i="7" s="1"/>
  <c r="D28" i="1"/>
  <c r="F28" i="1" s="1"/>
  <c r="B22" i="1"/>
  <c r="D32" i="1"/>
  <c r="B29" i="1"/>
  <c r="H21" i="7"/>
  <c r="M33" i="7"/>
  <c r="C12" i="5"/>
  <c r="C21" i="5"/>
  <c r="E21" i="5" s="1"/>
  <c r="F21" i="5" s="1"/>
  <c r="H21" i="5" s="1"/>
  <c r="E11" i="5"/>
  <c r="F11" i="5" s="1"/>
  <c r="C29" i="1"/>
  <c r="G10" i="1"/>
  <c r="I10" i="1" s="1"/>
  <c r="D11" i="1"/>
  <c r="F11" i="1" s="1"/>
  <c r="F10" i="1"/>
  <c r="F5" i="5"/>
  <c r="E7" i="5"/>
  <c r="G8" i="1"/>
  <c r="I5" i="1"/>
  <c r="G16" i="1"/>
  <c r="F16" i="1"/>
  <c r="D22" i="1"/>
  <c r="F22" i="1" s="1"/>
  <c r="D22" i="5"/>
  <c r="G21" i="7"/>
  <c r="L33" i="7"/>
  <c r="N21" i="7"/>
  <c r="F15" i="5"/>
  <c r="E17" i="5"/>
  <c r="D27" i="1" s="1"/>
  <c r="B22" i="5"/>
  <c r="E20" i="5"/>
  <c r="D52" i="9"/>
  <c r="F52" i="9"/>
  <c r="H6" i="5"/>
  <c r="I6" i="5"/>
  <c r="M52" i="9"/>
  <c r="O52" i="9"/>
  <c r="F10" i="5"/>
  <c r="F17" i="1"/>
  <c r="G17" i="1"/>
  <c r="I17" i="1" s="1"/>
  <c r="G28" i="1" l="1"/>
  <c r="I28" i="1" s="1"/>
  <c r="H33" i="7"/>
  <c r="D34" i="1"/>
  <c r="E33" i="1" s="1"/>
  <c r="E12" i="5"/>
  <c r="C22" i="5"/>
  <c r="I11" i="5"/>
  <c r="K11" i="5" s="1"/>
  <c r="H11" i="5"/>
  <c r="F27" i="1"/>
  <c r="G27" i="1"/>
  <c r="D29" i="1"/>
  <c r="F29" i="1" s="1"/>
  <c r="I21" i="7"/>
  <c r="G33" i="7"/>
  <c r="G22" i="1"/>
  <c r="I22" i="1" s="1"/>
  <c r="I16" i="1"/>
  <c r="H5" i="5"/>
  <c r="I5" i="5"/>
  <c r="F7" i="5"/>
  <c r="H7" i="5" s="1"/>
  <c r="I15" i="5"/>
  <c r="F17" i="5"/>
  <c r="H17" i="5" s="1"/>
  <c r="H15" i="5"/>
  <c r="P21" i="7"/>
  <c r="N33" i="7"/>
  <c r="P33" i="7" s="1"/>
  <c r="I8" i="1"/>
  <c r="G11" i="1"/>
  <c r="I11" i="1" s="1"/>
  <c r="K6" i="5"/>
  <c r="I21" i="5"/>
  <c r="K21" i="5" s="1"/>
  <c r="F20" i="5"/>
  <c r="E22" i="5"/>
  <c r="F12" i="5"/>
  <c r="H12" i="5" s="1"/>
  <c r="I10" i="5"/>
  <c r="H10" i="5"/>
  <c r="E32" i="1" l="1"/>
  <c r="F22" i="5"/>
  <c r="H22" i="5" s="1"/>
  <c r="H20" i="5"/>
  <c r="I33" i="7"/>
  <c r="K33" i="7" s="1"/>
  <c r="K21" i="7"/>
  <c r="K10" i="5"/>
  <c r="I12" i="5"/>
  <c r="K12" i="5" s="1"/>
  <c r="K15" i="5"/>
  <c r="I17" i="5"/>
  <c r="K17" i="5" s="1"/>
  <c r="I27" i="1"/>
  <c r="G29" i="1"/>
  <c r="I29" i="1" s="1"/>
  <c r="I7" i="5"/>
  <c r="K7" i="5" s="1"/>
  <c r="I20" i="5"/>
  <c r="K5" i="5"/>
  <c r="K20" i="5" l="1"/>
  <c r="I22" i="5"/>
  <c r="K22" i="5" s="1"/>
</calcChain>
</file>

<file path=xl/sharedStrings.xml><?xml version="1.0" encoding="utf-8"?>
<sst xmlns="http://schemas.openxmlformats.org/spreadsheetml/2006/main" count="522" uniqueCount="212">
  <si>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</si>
  <si>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</si>
  <si>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</si>
  <si>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</si>
  <si>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</si>
  <si>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</si>
  <si>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</si>
  <si>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</si>
  <si>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</si>
  <si>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</si>
  <si>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</si>
  <si>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</si>
  <si>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</si>
  <si>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</si>
  <si>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</si>
  <si>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</si>
  <si>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</si>
  <si>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</si>
  <si>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</si>
  <si>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</si>
  <si>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</si>
  <si>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</si>
  <si>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</si>
  <si>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</si>
  <si>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</si>
  <si>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</si>
  <si>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</si>
  <si>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</si>
  <si>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</si>
  <si>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</si>
  <si>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</si>
  <si>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</si>
  <si>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</si>
  <si>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</si>
  <si>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</si>
  <si>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</si>
  <si>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</si>
  <si>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</si>
  <si>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</si>
  <si>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</si>
  <si>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</si>
  <si>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</si>
  <si>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</si>
  <si>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</si>
  <si>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</si>
  <si>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</si>
  <si>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</si>
  <si>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</si>
  <si>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</si>
  <si>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</si>
  <si>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</si>
  <si>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</si>
  <si>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</si>
  <si>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</si>
  <si>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</si>
  <si>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</si>
  <si>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</si>
  <si>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</si>
  <si>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</si>
  <si>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</si>
  <si>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</si>
  <si>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</si>
  <si>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</si>
  <si>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</si>
  <si>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</si>
  <si>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</si>
  <si>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</si>
  <si>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</si>
  <si>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</si>
  <si>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</si>
  <si>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</si>
  <si>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</si>
  <si>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</si>
  <si>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</si>
  <si>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</si>
  <si>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</si>
  <si>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</si>
  <si>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</si>
  <si>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</si>
  <si>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</si>
  <si>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</si>
  <si>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</si>
  <si>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</si>
  <si>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</si>
  <si>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</si>
  <si>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</si>
  <si>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</si>
  <si>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</si>
  <si>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</si>
  <si>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</si>
  <si>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</si>
  <si>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</si>
  <si>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</si>
  <si>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</si>
  <si>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</si>
  <si>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</si>
  <si>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</si>
  <si>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</si>
  <si>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</si>
  <si>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</si>
  <si>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</si>
  <si>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</si>
  <si>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</si>
  <si>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</si>
  <si>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</si>
  <si>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</si>
  <si>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</si>
  <si>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</si>
  <si>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</si>
  <si>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</si>
  <si>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</si>
  <si>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</si>
  <si>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</si>
  <si>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</si>
  <si>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</si>
  <si>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</si>
  <si>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</si>
  <si>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</si>
  <si>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</si>
  <si>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</si>
  <si>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</si>
  <si>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</si>
  <si>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</si>
  <si>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</si>
  <si>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</si>
  <si>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</si>
  <si>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</si>
  <si>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</si>
  <si>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</si>
  <si>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</si>
  <si>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</si>
  <si>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</si>
  <si>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</si>
  <si>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</si>
  <si>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</si>
  <si>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</si>
  <si>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</si>
  <si>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</si>
  <si>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</si>
  <si>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</si>
  <si>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</si>
  <si>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</si>
  <si>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</si>
  <si>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</si>
  <si>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</si>
  <si>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</si>
  <si>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</si>
  <si>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</si>
  <si>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</si>
  <si>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</si>
  <si>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</si>
  <si>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</si>
  <si>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</si>
  <si>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</si>
  <si>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</si>
  <si>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</si>
  <si>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</si>
  <si>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</si>
  <si>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</si>
  <si>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</si>
  <si>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</si>
  <si>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</si>
  <si>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</si>
  <si>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</si>
  <si>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</si>
  <si>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</si>
  <si>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</si>
  <si>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</si>
  <si>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</si>
  <si>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</si>
  <si>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</si>
  <si>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</si>
  <si>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</si>
  <si>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</si>
  <si>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</si>
  <si>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</si>
  <si>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</si>
  <si>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</si>
  <si>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</si>
  <si>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</si>
  <si>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</si>
  <si>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</si>
  <si>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</si>
  <si>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</si>
  <si>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</si>
  <si>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</si>
  <si>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</si>
  <si>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</si>
  <si>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</si>
  <si>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</si>
  <si>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</si>
  <si>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</si>
  <si>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</si>
  <si>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</si>
  <si>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>January 2013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</si>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</sst>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7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1" fontId="4" fillId="2" borderId="58" xfId="0" applyNumberFormat="1" applyFont="1" applyFill="1" applyBorder="1" applyAlignment="1">
      <alignment horizontal="center" wrapText="1"/>
    </xf>
    <xf numFmtId="10" fontId="4" fillId="2" borderId="59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 wrapText="1"/>
    </xf>
    <xf numFmtId="0" fontId="4" fillId="5" borderId="59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60" xfId="0" applyFont="1" applyFill="1" applyBorder="1" applyAlignment="1">
      <alignment horizontal="center" wrapText="1"/>
    </xf>
    <xf numFmtId="165" fontId="0" fillId="0" borderId="49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64" fontId="1" fillId="0" borderId="65" xfId="3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41" fontId="0" fillId="0" borderId="70" xfId="0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2" xfId="1" applyNumberFormat="1" applyFont="1" applyBorder="1" applyAlignment="1">
      <alignment horizontal="center"/>
    </xf>
    <xf numFmtId="10" fontId="4" fillId="5" borderId="59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3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Border="1"/>
    <xf numFmtId="10" fontId="13" fillId="0" borderId="76" xfId="0" applyNumberFormat="1" applyFont="1" applyFill="1" applyBorder="1"/>
    <xf numFmtId="3" fontId="13" fillId="0" borderId="77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8" xfId="0" applyNumberFormat="1" applyFont="1" applyBorder="1"/>
    <xf numFmtId="10" fontId="13" fillId="0" borderId="9" xfId="0" applyNumberFormat="1" applyFont="1" applyBorder="1"/>
    <xf numFmtId="10" fontId="13" fillId="0" borderId="78" xfId="0" applyNumberFormat="1" applyFont="1" applyBorder="1"/>
    <xf numFmtId="10" fontId="13" fillId="0" borderId="79" xfId="0" applyNumberFormat="1" applyFont="1" applyFill="1" applyBorder="1"/>
    <xf numFmtId="0" fontId="5" fillId="0" borderId="19" xfId="0" applyFont="1" applyBorder="1"/>
    <xf numFmtId="0" fontId="5" fillId="0" borderId="80" xfId="0" applyFont="1" applyBorder="1"/>
    <xf numFmtId="0" fontId="19" fillId="0" borderId="81" xfId="0" applyFont="1" applyBorder="1" applyAlignment="1">
      <alignment horizontal="right"/>
    </xf>
    <xf numFmtId="10" fontId="4" fillId="5" borderId="58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8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82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83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6" xfId="0" applyNumberFormat="1" applyFont="1" applyBorder="1"/>
    <xf numFmtId="10" fontId="13" fillId="0" borderId="43" xfId="0" applyNumberFormat="1" applyFont="1" applyBorder="1"/>
    <xf numFmtId="10" fontId="13" fillId="0" borderId="79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17" fontId="4" fillId="0" borderId="47" xfId="0" quotePrefix="1" applyNumberFormat="1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4" xfId="0" applyFont="1" applyFill="1" applyBorder="1" applyAlignment="1">
      <alignment horizontal="center"/>
    </xf>
    <xf numFmtId="0" fontId="4" fillId="6" borderId="6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0" fontId="0" fillId="3" borderId="5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80" xfId="0" applyFill="1" applyBorder="1" applyAlignment="1">
      <alignment vertical="center" textRotation="255"/>
    </xf>
    <xf numFmtId="0" fontId="0" fillId="7" borderId="8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0" fillId="6" borderId="58" xfId="0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6" borderId="5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3" fontId="4" fillId="5" borderId="59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9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3" fontId="4" fillId="2" borderId="59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9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323775</xdr:colOff>
      <xdr:row>7</xdr:row>
      <xdr:rowOff>133365</xdr:rowOff>
    </xdr:from>
    <xdr:to>
      <xdr:col>1</xdr:col>
      <xdr:colOff>324135</xdr:colOff>
      <xdr:row>7</xdr:row>
      <xdr:rowOff>143085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3" name="Ink 32"/>
            <xdr14:cNvContentPartPr/>
          </xdr14:nvContentPartPr>
          <xdr14:nvPr macro=""/>
          <xdr14:xfrm>
            <a:off x="1885875" y="1114440"/>
            <a:ext cx="360" cy="9720"/>
          </xdr14:xfrm>
        </xdr:contentPart>
      </mc:Choice>
      <mc:Fallback xmlns="">
        <xdr:pic>
          <xdr:nvPicPr>
            <xdr:cNvPr id="33" name="Ink 3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73995" y="1102560"/>
              <a:ext cx="24120" cy="33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>
        <row r="5">
          <cell r="D5">
            <v>1613821</v>
          </cell>
          <cell r="G5">
            <v>1613821</v>
          </cell>
        </row>
        <row r="6">
          <cell r="D6">
            <v>703357</v>
          </cell>
          <cell r="G6">
            <v>703357</v>
          </cell>
        </row>
        <row r="7">
          <cell r="D7">
            <v>555</v>
          </cell>
          <cell r="G7">
            <v>555</v>
          </cell>
        </row>
        <row r="10">
          <cell r="D10">
            <v>86696</v>
          </cell>
          <cell r="G10">
            <v>86696</v>
          </cell>
        </row>
        <row r="16">
          <cell r="D16">
            <v>14435</v>
          </cell>
          <cell r="G16">
            <v>14435</v>
          </cell>
        </row>
        <row r="17">
          <cell r="D17">
            <v>16042</v>
          </cell>
          <cell r="G17">
            <v>16042</v>
          </cell>
        </row>
        <row r="18">
          <cell r="D18">
            <v>3</v>
          </cell>
          <cell r="G18">
            <v>3</v>
          </cell>
        </row>
        <row r="19">
          <cell r="D19">
            <v>945</v>
          </cell>
          <cell r="G19">
            <v>945</v>
          </cell>
        </row>
        <row r="20">
          <cell r="D20">
            <v>1608</v>
          </cell>
          <cell r="G20">
            <v>1608</v>
          </cell>
        </row>
        <row r="21">
          <cell r="D21">
            <v>110</v>
          </cell>
          <cell r="G21">
            <v>110</v>
          </cell>
        </row>
        <row r="27">
          <cell r="D27">
            <v>15307.18802644801</v>
          </cell>
          <cell r="G27">
            <v>15307.18802644801</v>
          </cell>
        </row>
        <row r="28">
          <cell r="D28">
            <v>1552.99640222727</v>
          </cell>
          <cell r="G28">
            <v>1552.99640222727</v>
          </cell>
        </row>
        <row r="32">
          <cell r="B32">
            <v>677056</v>
          </cell>
          <cell r="D32">
            <v>677056</v>
          </cell>
        </row>
        <row r="33">
          <cell r="B33">
            <v>495431</v>
          </cell>
          <cell r="D33">
            <v>495431</v>
          </cell>
        </row>
      </sheetData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>
        <row r="5">
          <cell r="F5">
            <v>7873.9671034686198</v>
          </cell>
          <cell r="I5">
            <v>7873.9671034686198</v>
          </cell>
        </row>
        <row r="6">
          <cell r="F6">
            <v>514.31614134900997</v>
          </cell>
          <cell r="I6">
            <v>514.31614134900997</v>
          </cell>
        </row>
        <row r="10">
          <cell r="F10">
            <v>7433.2209229793898</v>
          </cell>
          <cell r="I10">
            <v>7433.2209229793898</v>
          </cell>
        </row>
        <row r="11">
          <cell r="F11">
            <v>1038.68026087826</v>
          </cell>
          <cell r="I11">
            <v>1038.68026087826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15307.18802644801</v>
          </cell>
        </row>
        <row r="21">
          <cell r="F21">
            <v>1552.99640222727</v>
          </cell>
        </row>
      </sheetData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  <sheetName val="Sheet2"/>
    </sheetNames>
    <sheetDataSet>
      <sheetData sheetId="0"/>
      <sheetData sheetId="1"/>
      <sheetData sheetId="2">
        <row r="19">
          <cell r="CV19">
            <v>0</v>
          </cell>
          <cell r="DJ19">
            <v>0</v>
          </cell>
        </row>
        <row r="41">
          <cell r="CV41">
            <v>0</v>
          </cell>
          <cell r="DJ41">
            <v>0</v>
          </cell>
        </row>
      </sheetData>
      <sheetData sheetId="3">
        <row r="4">
          <cell r="DJ4">
            <v>112</v>
          </cell>
        </row>
        <row r="5">
          <cell r="DJ5">
            <v>112</v>
          </cell>
        </row>
        <row r="19">
          <cell r="CV19">
            <v>248</v>
          </cell>
          <cell r="DJ19">
            <v>224</v>
          </cell>
        </row>
        <row r="22">
          <cell r="DJ22">
            <v>10256</v>
          </cell>
        </row>
        <row r="23">
          <cell r="DJ23">
            <v>11041</v>
          </cell>
        </row>
        <row r="27">
          <cell r="DJ27">
            <v>132</v>
          </cell>
        </row>
        <row r="28">
          <cell r="DJ28">
            <v>164</v>
          </cell>
        </row>
        <row r="41">
          <cell r="CV41">
            <v>23053</v>
          </cell>
          <cell r="DJ41">
            <v>21297</v>
          </cell>
        </row>
      </sheetData>
      <sheetData sheetId="4">
        <row r="4">
          <cell r="DJ4">
            <v>62</v>
          </cell>
        </row>
        <row r="5">
          <cell r="DJ5">
            <v>62</v>
          </cell>
        </row>
        <row r="19">
          <cell r="CV19">
            <v>122</v>
          </cell>
          <cell r="DJ19">
            <v>124</v>
          </cell>
        </row>
        <row r="22">
          <cell r="DJ22">
            <v>6765</v>
          </cell>
        </row>
        <row r="23">
          <cell r="DJ23">
            <v>7484</v>
          </cell>
        </row>
        <row r="27">
          <cell r="DJ27">
            <v>324</v>
          </cell>
        </row>
        <row r="28">
          <cell r="DJ28">
            <v>309</v>
          </cell>
        </row>
        <row r="41">
          <cell r="CV41">
            <v>14658</v>
          </cell>
          <cell r="DJ41">
            <v>14249</v>
          </cell>
        </row>
        <row r="47">
          <cell r="DJ47">
            <v>14888</v>
          </cell>
        </row>
        <row r="52">
          <cell r="DJ52">
            <v>7332</v>
          </cell>
        </row>
      </sheetData>
      <sheetData sheetId="5"/>
      <sheetData sheetId="6">
        <row r="4">
          <cell r="DJ4">
            <v>284</v>
          </cell>
        </row>
        <row r="5">
          <cell r="DJ5">
            <v>284</v>
          </cell>
        </row>
        <row r="19">
          <cell r="CV19">
            <v>518</v>
          </cell>
          <cell r="DJ19">
            <v>568</v>
          </cell>
        </row>
        <row r="22">
          <cell r="DJ22">
            <v>27579</v>
          </cell>
        </row>
        <row r="23">
          <cell r="DJ23">
            <v>28901</v>
          </cell>
        </row>
        <row r="27">
          <cell r="DJ27">
            <v>1517</v>
          </cell>
        </row>
        <row r="28">
          <cell r="DJ28">
            <v>1712</v>
          </cell>
        </row>
        <row r="41">
          <cell r="CV41">
            <v>52666</v>
          </cell>
          <cell r="DJ41">
            <v>56480</v>
          </cell>
        </row>
        <row r="47">
          <cell r="DJ47">
            <v>13649</v>
          </cell>
        </row>
        <row r="52">
          <cell r="DJ52">
            <v>9527</v>
          </cell>
        </row>
      </sheetData>
      <sheetData sheetId="7">
        <row r="19">
          <cell r="CV19">
            <v>0</v>
          </cell>
        </row>
        <row r="41">
          <cell r="CV41">
            <v>0</v>
          </cell>
        </row>
      </sheetData>
      <sheetData sheetId="8"/>
      <sheetData sheetId="9">
        <row r="4">
          <cell r="DJ4">
            <v>4126</v>
          </cell>
        </row>
        <row r="5">
          <cell r="DJ5">
            <v>4126</v>
          </cell>
        </row>
        <row r="8">
          <cell r="DJ8">
            <v>3</v>
          </cell>
        </row>
        <row r="9">
          <cell r="DJ9">
            <v>9</v>
          </cell>
        </row>
        <row r="15">
          <cell r="DJ15">
            <v>358</v>
          </cell>
        </row>
        <row r="16">
          <cell r="DJ16">
            <v>357</v>
          </cell>
        </row>
        <row r="19">
          <cell r="CV19">
            <v>8666</v>
          </cell>
          <cell r="DJ19">
            <v>8979</v>
          </cell>
        </row>
        <row r="22">
          <cell r="DJ22">
            <v>524308</v>
          </cell>
        </row>
        <row r="23">
          <cell r="DJ23">
            <v>539619</v>
          </cell>
        </row>
        <row r="27">
          <cell r="DJ27">
            <v>22296</v>
          </cell>
        </row>
        <row r="28">
          <cell r="DJ28">
            <v>21971</v>
          </cell>
        </row>
        <row r="32">
          <cell r="DJ32">
            <v>61206</v>
          </cell>
        </row>
        <row r="33">
          <cell r="DJ33">
            <v>57984</v>
          </cell>
        </row>
        <row r="37">
          <cell r="DJ37">
            <v>1579</v>
          </cell>
        </row>
        <row r="38">
          <cell r="DJ38">
            <v>1560</v>
          </cell>
        </row>
        <row r="41">
          <cell r="CV41">
            <v>1100415</v>
          </cell>
          <cell r="DJ41">
            <v>1183117</v>
          </cell>
        </row>
        <row r="47">
          <cell r="DJ47">
            <v>3691253</v>
          </cell>
        </row>
        <row r="48">
          <cell r="DJ48">
            <v>1311528</v>
          </cell>
        </row>
        <row r="52">
          <cell r="DJ52">
            <v>4376737</v>
          </cell>
        </row>
        <row r="53">
          <cell r="DJ53">
            <v>96600</v>
          </cell>
        </row>
        <row r="70">
          <cell r="DJ70">
            <v>273587</v>
          </cell>
        </row>
        <row r="71">
          <cell r="DJ71">
            <v>266032</v>
          </cell>
        </row>
        <row r="73">
          <cell r="DJ73">
            <v>29398</v>
          </cell>
        </row>
        <row r="74">
          <cell r="DJ74">
            <v>28586</v>
          </cell>
        </row>
      </sheetData>
      <sheetData sheetId="10">
        <row r="4">
          <cell r="DJ4">
            <v>96</v>
          </cell>
        </row>
        <row r="5">
          <cell r="DJ5">
            <v>96</v>
          </cell>
        </row>
        <row r="19">
          <cell r="CV19">
            <v>178</v>
          </cell>
          <cell r="DJ19">
            <v>192</v>
          </cell>
        </row>
        <row r="22">
          <cell r="DJ22">
            <v>13371</v>
          </cell>
        </row>
        <row r="23">
          <cell r="DJ23">
            <v>13547</v>
          </cell>
        </row>
        <row r="27">
          <cell r="DJ27">
            <v>151</v>
          </cell>
        </row>
        <row r="28">
          <cell r="DJ28">
            <v>173</v>
          </cell>
        </row>
        <row r="41">
          <cell r="CV41">
            <v>25011</v>
          </cell>
          <cell r="DJ41">
            <v>26918</v>
          </cell>
        </row>
      </sheetData>
      <sheetData sheetId="11">
        <row r="4">
          <cell r="DJ4">
            <v>255</v>
          </cell>
        </row>
        <row r="5">
          <cell r="DJ5">
            <v>255</v>
          </cell>
        </row>
        <row r="19">
          <cell r="CV19">
            <v>1132</v>
          </cell>
          <cell r="DJ19">
            <v>510</v>
          </cell>
        </row>
        <row r="22">
          <cell r="DJ22">
            <v>1391</v>
          </cell>
        </row>
        <row r="23">
          <cell r="DJ23">
            <v>1375</v>
          </cell>
        </row>
        <row r="27">
          <cell r="DJ27">
            <v>90</v>
          </cell>
        </row>
        <row r="28">
          <cell r="DJ28">
            <v>76</v>
          </cell>
        </row>
        <row r="41">
          <cell r="CV41">
            <v>3718</v>
          </cell>
          <cell r="DJ41">
            <v>2766</v>
          </cell>
        </row>
        <row r="47">
          <cell r="DJ47">
            <v>166</v>
          </cell>
        </row>
      </sheetData>
      <sheetData sheetId="12">
        <row r="19">
          <cell r="CV19">
            <v>0</v>
          </cell>
          <cell r="DJ19">
            <v>0</v>
          </cell>
        </row>
        <row r="41">
          <cell r="CV41">
            <v>0</v>
          </cell>
          <cell r="DJ41">
            <v>0</v>
          </cell>
        </row>
      </sheetData>
      <sheetData sheetId="13"/>
      <sheetData sheetId="14">
        <row r="4">
          <cell r="DJ4">
            <v>568</v>
          </cell>
        </row>
        <row r="5">
          <cell r="DJ5">
            <v>568</v>
          </cell>
        </row>
        <row r="19">
          <cell r="CV19">
            <v>1112</v>
          </cell>
          <cell r="DJ19">
            <v>1136</v>
          </cell>
        </row>
        <row r="22">
          <cell r="DJ22">
            <v>51131</v>
          </cell>
        </row>
        <row r="23">
          <cell r="DJ23">
            <v>55192</v>
          </cell>
        </row>
        <row r="27">
          <cell r="DJ27">
            <v>1286</v>
          </cell>
        </row>
        <row r="28">
          <cell r="DJ28">
            <v>1194</v>
          </cell>
        </row>
        <row r="41">
          <cell r="CV41">
            <v>96054</v>
          </cell>
          <cell r="DJ41">
            <v>106323</v>
          </cell>
        </row>
        <row r="47">
          <cell r="DJ47">
            <v>157577</v>
          </cell>
        </row>
        <row r="52">
          <cell r="DJ52">
            <v>45622</v>
          </cell>
        </row>
        <row r="70">
          <cell r="DJ70">
            <v>55179</v>
          </cell>
        </row>
        <row r="71">
          <cell r="DJ71">
            <v>13</v>
          </cell>
        </row>
      </sheetData>
      <sheetData sheetId="15">
        <row r="4">
          <cell r="DJ4">
            <v>341</v>
          </cell>
        </row>
        <row r="5">
          <cell r="DJ5">
            <v>340</v>
          </cell>
        </row>
        <row r="19">
          <cell r="CV19">
            <v>310</v>
          </cell>
          <cell r="DJ19">
            <v>681</v>
          </cell>
        </row>
        <row r="22">
          <cell r="DJ22">
            <v>42312</v>
          </cell>
        </row>
        <row r="23">
          <cell r="DJ23">
            <v>44888</v>
          </cell>
        </row>
        <row r="27">
          <cell r="DJ27">
            <v>264</v>
          </cell>
        </row>
        <row r="28">
          <cell r="DJ28">
            <v>282</v>
          </cell>
        </row>
        <row r="41">
          <cell r="CV41">
            <v>39201</v>
          </cell>
          <cell r="DJ41">
            <v>87200</v>
          </cell>
        </row>
      </sheetData>
      <sheetData sheetId="16">
        <row r="4">
          <cell r="DJ4">
            <v>600</v>
          </cell>
        </row>
        <row r="5">
          <cell r="DJ5">
            <v>601</v>
          </cell>
        </row>
        <row r="8">
          <cell r="DJ8">
            <v>34</v>
          </cell>
        </row>
        <row r="9">
          <cell r="DJ9">
            <v>33</v>
          </cell>
        </row>
        <row r="15">
          <cell r="DJ15">
            <v>140</v>
          </cell>
        </row>
        <row r="16">
          <cell r="DJ16">
            <v>141</v>
          </cell>
        </row>
        <row r="19">
          <cell r="CV19">
            <v>963</v>
          </cell>
          <cell r="DJ19">
            <v>1549</v>
          </cell>
        </row>
        <row r="22">
          <cell r="DJ22">
            <v>53377</v>
          </cell>
        </row>
        <row r="23">
          <cell r="DJ23">
            <v>58469</v>
          </cell>
        </row>
        <row r="27">
          <cell r="DJ27">
            <v>1357</v>
          </cell>
        </row>
        <row r="28">
          <cell r="DJ28">
            <v>1438</v>
          </cell>
        </row>
        <row r="32">
          <cell r="DJ32">
            <v>16529</v>
          </cell>
        </row>
        <row r="33">
          <cell r="DJ33">
            <v>17265</v>
          </cell>
        </row>
        <row r="37">
          <cell r="DJ37">
            <v>121</v>
          </cell>
        </row>
        <row r="38">
          <cell r="DJ38">
            <v>194</v>
          </cell>
        </row>
        <row r="41">
          <cell r="CV41">
            <v>120906</v>
          </cell>
          <cell r="DJ41">
            <v>145640</v>
          </cell>
        </row>
        <row r="47">
          <cell r="DJ47">
            <v>31130</v>
          </cell>
        </row>
        <row r="48">
          <cell r="DJ48">
            <v>50740</v>
          </cell>
        </row>
        <row r="53">
          <cell r="DJ53">
            <v>371482</v>
          </cell>
        </row>
        <row r="70">
          <cell r="DJ70">
            <v>58469</v>
          </cell>
        </row>
        <row r="71">
          <cell r="DJ71">
            <v>0</v>
          </cell>
        </row>
        <row r="73">
          <cell r="DJ73">
            <v>17265</v>
          </cell>
        </row>
        <row r="74">
          <cell r="DJ74">
            <v>0</v>
          </cell>
        </row>
      </sheetData>
      <sheetData sheetId="17">
        <row r="4">
          <cell r="DJ4">
            <v>171</v>
          </cell>
        </row>
        <row r="5">
          <cell r="DJ5">
            <v>171</v>
          </cell>
        </row>
        <row r="19">
          <cell r="CV19">
            <v>512</v>
          </cell>
          <cell r="DJ19">
            <v>342</v>
          </cell>
        </row>
        <row r="22">
          <cell r="DJ22">
            <v>16146</v>
          </cell>
        </row>
        <row r="23">
          <cell r="DJ23">
            <v>15019</v>
          </cell>
        </row>
        <row r="27">
          <cell r="DJ27">
            <v>980</v>
          </cell>
        </row>
        <row r="28">
          <cell r="DJ28">
            <v>947</v>
          </cell>
        </row>
        <row r="41">
          <cell r="CV41">
            <v>50828</v>
          </cell>
          <cell r="DJ41">
            <v>31165</v>
          </cell>
        </row>
        <row r="47">
          <cell r="DJ47">
            <v>6216</v>
          </cell>
        </row>
        <row r="48">
          <cell r="DJ48">
            <v>135910</v>
          </cell>
        </row>
        <row r="52">
          <cell r="DJ52">
            <v>10395</v>
          </cell>
        </row>
        <row r="53">
          <cell r="DJ53">
            <v>107654</v>
          </cell>
        </row>
      </sheetData>
      <sheetData sheetId="18">
        <row r="4">
          <cell r="DJ4">
            <v>330</v>
          </cell>
        </row>
        <row r="5">
          <cell r="DJ5">
            <v>326</v>
          </cell>
        </row>
        <row r="19">
          <cell r="CV19">
            <v>674</v>
          </cell>
          <cell r="DJ19">
            <v>656</v>
          </cell>
        </row>
        <row r="22">
          <cell r="DJ22">
            <v>46996</v>
          </cell>
        </row>
        <row r="23">
          <cell r="DJ23">
            <v>42898</v>
          </cell>
        </row>
        <row r="27">
          <cell r="DJ27">
            <v>1005</v>
          </cell>
        </row>
        <row r="28">
          <cell r="DJ28">
            <v>1010</v>
          </cell>
        </row>
        <row r="41">
          <cell r="CV41">
            <v>87311</v>
          </cell>
          <cell r="DJ41">
            <v>89894</v>
          </cell>
        </row>
        <row r="47">
          <cell r="DJ47">
            <v>23032</v>
          </cell>
        </row>
        <row r="48">
          <cell r="DJ48">
            <v>43244</v>
          </cell>
        </row>
        <row r="52">
          <cell r="DJ52">
            <v>21339</v>
          </cell>
        </row>
        <row r="53">
          <cell r="DJ53">
            <v>192220</v>
          </cell>
        </row>
      </sheetData>
      <sheetData sheetId="19">
        <row r="15">
          <cell r="DJ15">
            <v>80</v>
          </cell>
        </row>
        <row r="16">
          <cell r="DJ16">
            <v>79</v>
          </cell>
        </row>
        <row r="19">
          <cell r="CV19">
            <v>198</v>
          </cell>
          <cell r="DJ19">
            <v>159</v>
          </cell>
        </row>
        <row r="32">
          <cell r="DJ32">
            <v>2209</v>
          </cell>
        </row>
        <row r="33">
          <cell r="DJ33">
            <v>1908</v>
          </cell>
        </row>
        <row r="37">
          <cell r="DJ37">
            <v>38</v>
          </cell>
        </row>
        <row r="38">
          <cell r="DJ38">
            <v>30</v>
          </cell>
        </row>
        <row r="41">
          <cell r="CV41">
            <v>4684</v>
          </cell>
          <cell r="DJ41">
            <v>4117</v>
          </cell>
        </row>
      </sheetData>
      <sheetData sheetId="20">
        <row r="4">
          <cell r="DJ4">
            <v>3</v>
          </cell>
        </row>
        <row r="19">
          <cell r="CV19">
            <v>0</v>
          </cell>
          <cell r="DJ19">
            <v>3</v>
          </cell>
        </row>
        <row r="22">
          <cell r="DJ22">
            <v>134</v>
          </cell>
        </row>
        <row r="23">
          <cell r="DJ23">
            <v>111</v>
          </cell>
        </row>
        <row r="27">
          <cell r="DJ27">
            <v>1</v>
          </cell>
        </row>
        <row r="41">
          <cell r="CV41">
            <v>0</v>
          </cell>
          <cell r="DJ41">
            <v>245</v>
          </cell>
        </row>
      </sheetData>
      <sheetData sheetId="21">
        <row r="4">
          <cell r="DJ4">
            <v>202</v>
          </cell>
        </row>
        <row r="5">
          <cell r="DJ5">
            <v>202</v>
          </cell>
        </row>
        <row r="19">
          <cell r="CV19">
            <v>578</v>
          </cell>
          <cell r="DJ19">
            <v>404</v>
          </cell>
        </row>
        <row r="22">
          <cell r="DJ22">
            <v>9637</v>
          </cell>
        </row>
        <row r="23">
          <cell r="DJ23">
            <v>9521</v>
          </cell>
        </row>
        <row r="27">
          <cell r="DJ27">
            <v>137</v>
          </cell>
        </row>
        <row r="28">
          <cell r="DJ28">
            <v>161</v>
          </cell>
        </row>
        <row r="41">
          <cell r="CV41">
            <v>25096</v>
          </cell>
          <cell r="DJ41">
            <v>19158</v>
          </cell>
        </row>
      </sheetData>
      <sheetData sheetId="22">
        <row r="4">
          <cell r="DJ4">
            <v>399</v>
          </cell>
        </row>
        <row r="5">
          <cell r="DJ5">
            <v>397</v>
          </cell>
        </row>
        <row r="8">
          <cell r="DJ8">
            <v>2</v>
          </cell>
        </row>
        <row r="19">
          <cell r="CV19">
            <v>919</v>
          </cell>
          <cell r="DJ19">
            <v>798</v>
          </cell>
        </row>
        <row r="22">
          <cell r="DJ22">
            <v>18866</v>
          </cell>
        </row>
        <row r="23">
          <cell r="DJ23">
            <v>20311</v>
          </cell>
        </row>
        <row r="27">
          <cell r="DJ27">
            <v>854</v>
          </cell>
        </row>
        <row r="28">
          <cell r="DJ28">
            <v>677</v>
          </cell>
        </row>
        <row r="41">
          <cell r="CV41">
            <v>42512</v>
          </cell>
          <cell r="DJ41">
            <v>39177</v>
          </cell>
        </row>
        <row r="70">
          <cell r="DJ70">
            <v>7738</v>
          </cell>
        </row>
        <row r="71">
          <cell r="DJ71">
            <v>12573</v>
          </cell>
        </row>
      </sheetData>
      <sheetData sheetId="23"/>
      <sheetData sheetId="24">
        <row r="4">
          <cell r="DJ4">
            <v>18</v>
          </cell>
        </row>
        <row r="5">
          <cell r="DJ5">
            <v>18</v>
          </cell>
        </row>
        <row r="19">
          <cell r="CV19">
            <v>53</v>
          </cell>
          <cell r="DJ19">
            <v>36</v>
          </cell>
        </row>
        <row r="22">
          <cell r="DJ22">
            <v>626</v>
          </cell>
        </row>
        <row r="23">
          <cell r="DJ23">
            <v>631</v>
          </cell>
        </row>
        <row r="41">
          <cell r="CV41">
            <v>2003</v>
          </cell>
          <cell r="DJ41">
            <v>1257</v>
          </cell>
        </row>
      </sheetData>
      <sheetData sheetId="25"/>
      <sheetData sheetId="26">
        <row r="4">
          <cell r="DJ4">
            <v>1111</v>
          </cell>
        </row>
        <row r="5">
          <cell r="DJ5">
            <v>1111</v>
          </cell>
        </row>
        <row r="9">
          <cell r="DJ9">
            <v>1</v>
          </cell>
        </row>
        <row r="15">
          <cell r="DJ15">
            <v>234</v>
          </cell>
        </row>
        <row r="16">
          <cell r="DJ16">
            <v>232</v>
          </cell>
        </row>
        <row r="19">
          <cell r="CV19">
            <v>3496</v>
          </cell>
          <cell r="DJ19">
            <v>2689</v>
          </cell>
        </row>
        <row r="22">
          <cell r="DJ22">
            <v>61565</v>
          </cell>
        </row>
        <row r="23">
          <cell r="DJ23">
            <v>64111</v>
          </cell>
        </row>
        <row r="27">
          <cell r="DJ27">
            <v>2377</v>
          </cell>
        </row>
        <row r="28">
          <cell r="DJ28">
            <v>2457</v>
          </cell>
        </row>
        <row r="32">
          <cell r="DJ32">
            <v>14146</v>
          </cell>
        </row>
        <row r="33">
          <cell r="DJ33">
            <v>14199</v>
          </cell>
        </row>
        <row r="37">
          <cell r="DJ37">
            <v>188</v>
          </cell>
        </row>
        <row r="38">
          <cell r="DJ38">
            <v>187</v>
          </cell>
        </row>
        <row r="41">
          <cell r="CV41">
            <v>188321</v>
          </cell>
          <cell r="DJ41">
            <v>154021</v>
          </cell>
        </row>
        <row r="70">
          <cell r="BG70">
            <v>26242</v>
          </cell>
          <cell r="DJ70">
            <v>24106</v>
          </cell>
        </row>
        <row r="71">
          <cell r="BG71">
            <v>44562</v>
          </cell>
          <cell r="DJ71">
            <v>40005</v>
          </cell>
        </row>
        <row r="73">
          <cell r="BG73">
            <v>1540</v>
          </cell>
          <cell r="DJ73">
            <v>5339</v>
          </cell>
        </row>
        <row r="74">
          <cell r="BG74">
            <v>2614</v>
          </cell>
          <cell r="DJ74">
            <v>8860</v>
          </cell>
        </row>
      </sheetData>
      <sheetData sheetId="27"/>
      <sheetData sheetId="28">
        <row r="4">
          <cell r="DJ4">
            <v>211</v>
          </cell>
        </row>
        <row r="5">
          <cell r="DJ5">
            <v>211</v>
          </cell>
        </row>
        <row r="19">
          <cell r="CV19">
            <v>418</v>
          </cell>
          <cell r="DJ19">
            <v>422</v>
          </cell>
        </row>
        <row r="22">
          <cell r="DJ22">
            <v>7300</v>
          </cell>
        </row>
        <row r="23">
          <cell r="DJ23">
            <v>7630</v>
          </cell>
        </row>
        <row r="27">
          <cell r="DJ27">
            <v>429</v>
          </cell>
        </row>
        <row r="28">
          <cell r="DJ28">
            <v>437</v>
          </cell>
        </row>
        <row r="41">
          <cell r="BT41">
            <v>19813</v>
          </cell>
          <cell r="CV41">
            <v>15027</v>
          </cell>
          <cell r="DJ41">
            <v>14930</v>
          </cell>
        </row>
      </sheetData>
      <sheetData sheetId="29"/>
      <sheetData sheetId="30">
        <row r="19">
          <cell r="CV19">
            <v>0</v>
          </cell>
          <cell r="DJ19">
            <v>0</v>
          </cell>
        </row>
        <row r="41">
          <cell r="CV41">
            <v>0</v>
          </cell>
          <cell r="DJ41">
            <v>0</v>
          </cell>
        </row>
      </sheetData>
      <sheetData sheetId="31">
        <row r="4">
          <cell r="DJ4">
            <v>148</v>
          </cell>
        </row>
        <row r="5">
          <cell r="DJ5">
            <v>148</v>
          </cell>
        </row>
        <row r="19">
          <cell r="CV19">
            <v>0</v>
          </cell>
          <cell r="DJ19">
            <v>296</v>
          </cell>
        </row>
        <row r="22">
          <cell r="DJ22">
            <v>8037</v>
          </cell>
        </row>
        <row r="23">
          <cell r="DJ23">
            <v>8041</v>
          </cell>
        </row>
        <row r="27">
          <cell r="DJ27">
            <v>434</v>
          </cell>
        </row>
        <row r="28">
          <cell r="DJ28">
            <v>369</v>
          </cell>
        </row>
        <row r="41">
          <cell r="CV41">
            <v>0</v>
          </cell>
          <cell r="DJ41">
            <v>16078</v>
          </cell>
        </row>
      </sheetData>
      <sheetData sheetId="32">
        <row r="4">
          <cell r="DJ4">
            <v>25</v>
          </cell>
        </row>
        <row r="5">
          <cell r="DJ5">
            <v>25</v>
          </cell>
        </row>
        <row r="19">
          <cell r="CV19">
            <v>0</v>
          </cell>
          <cell r="DJ19">
            <v>50</v>
          </cell>
        </row>
        <row r="22">
          <cell r="DJ22">
            <v>1337</v>
          </cell>
        </row>
        <row r="23">
          <cell r="DJ23">
            <v>1304</v>
          </cell>
        </row>
        <row r="27">
          <cell r="DJ27">
            <v>137</v>
          </cell>
        </row>
        <row r="28">
          <cell r="DJ28">
            <v>121</v>
          </cell>
        </row>
        <row r="41">
          <cell r="CV41">
            <v>0</v>
          </cell>
          <cell r="DJ41">
            <v>2641</v>
          </cell>
        </row>
      </sheetData>
      <sheetData sheetId="33">
        <row r="19">
          <cell r="CV19">
            <v>0</v>
          </cell>
          <cell r="DJ19">
            <v>0</v>
          </cell>
        </row>
        <row r="41">
          <cell r="CV41">
            <v>0</v>
          </cell>
          <cell r="DJ41">
            <v>0</v>
          </cell>
        </row>
      </sheetData>
      <sheetData sheetId="34"/>
      <sheetData sheetId="35">
        <row r="19">
          <cell r="CV19">
            <v>0</v>
          </cell>
        </row>
        <row r="41">
          <cell r="CV41">
            <v>0</v>
          </cell>
        </row>
      </sheetData>
      <sheetData sheetId="36">
        <row r="4">
          <cell r="DJ4">
            <v>3290</v>
          </cell>
        </row>
        <row r="5">
          <cell r="DJ5">
            <v>3283</v>
          </cell>
        </row>
        <row r="9">
          <cell r="DJ9">
            <v>7</v>
          </cell>
        </row>
        <row r="15">
          <cell r="DJ15">
            <v>167</v>
          </cell>
        </row>
        <row r="16">
          <cell r="DJ16">
            <v>167</v>
          </cell>
        </row>
        <row r="19">
          <cell r="CV19">
            <v>4794</v>
          </cell>
          <cell r="DJ19">
            <v>6914</v>
          </cell>
        </row>
        <row r="22">
          <cell r="DJ22">
            <v>149395</v>
          </cell>
        </row>
        <row r="23">
          <cell r="DJ23">
            <v>145397</v>
          </cell>
        </row>
        <row r="27">
          <cell r="DJ27">
            <v>5471</v>
          </cell>
        </row>
        <row r="28">
          <cell r="DJ28">
            <v>5739</v>
          </cell>
        </row>
        <row r="32">
          <cell r="DJ32">
            <v>6802</v>
          </cell>
        </row>
        <row r="33">
          <cell r="DJ33">
            <v>6614</v>
          </cell>
        </row>
        <row r="37">
          <cell r="DJ37">
            <v>170</v>
          </cell>
        </row>
        <row r="38">
          <cell r="DJ38">
            <v>141</v>
          </cell>
        </row>
        <row r="41">
          <cell r="CV41">
            <v>196795</v>
          </cell>
          <cell r="DJ41">
            <v>308208</v>
          </cell>
        </row>
        <row r="70">
          <cell r="DJ70">
            <v>47334</v>
          </cell>
        </row>
        <row r="71">
          <cell r="DJ71">
            <v>98063</v>
          </cell>
        </row>
        <row r="73">
          <cell r="DJ73">
            <v>2143</v>
          </cell>
        </row>
        <row r="74">
          <cell r="DJ74">
            <v>4471</v>
          </cell>
        </row>
      </sheetData>
      <sheetData sheetId="37"/>
      <sheetData sheetId="38">
        <row r="4">
          <cell r="DJ4">
            <v>92</v>
          </cell>
        </row>
        <row r="5">
          <cell r="DJ5">
            <v>89</v>
          </cell>
        </row>
        <row r="19">
          <cell r="CV19">
            <v>221</v>
          </cell>
          <cell r="DJ19">
            <v>181</v>
          </cell>
        </row>
        <row r="22">
          <cell r="DJ22">
            <v>5417</v>
          </cell>
        </row>
        <row r="23">
          <cell r="DJ23">
            <v>5398</v>
          </cell>
        </row>
        <row r="41">
          <cell r="CV41">
            <v>11360</v>
          </cell>
          <cell r="DJ41">
            <v>10815</v>
          </cell>
        </row>
      </sheetData>
      <sheetData sheetId="39">
        <row r="4">
          <cell r="DJ4">
            <v>30</v>
          </cell>
        </row>
        <row r="5">
          <cell r="DJ5">
            <v>30</v>
          </cell>
        </row>
        <row r="19">
          <cell r="CV19">
            <v>188</v>
          </cell>
          <cell r="DJ19">
            <v>60</v>
          </cell>
        </row>
        <row r="22">
          <cell r="DJ22">
            <v>1576</v>
          </cell>
        </row>
        <row r="23">
          <cell r="DJ23">
            <v>1394</v>
          </cell>
        </row>
        <row r="27">
          <cell r="DJ27">
            <v>61</v>
          </cell>
        </row>
        <row r="28">
          <cell r="DJ28">
            <v>87</v>
          </cell>
        </row>
        <row r="41">
          <cell r="CV41">
            <v>10668</v>
          </cell>
          <cell r="DJ41">
            <v>2970</v>
          </cell>
        </row>
      </sheetData>
      <sheetData sheetId="40">
        <row r="4">
          <cell r="DJ4">
            <v>1359</v>
          </cell>
        </row>
        <row r="5">
          <cell r="DJ5">
            <v>1357</v>
          </cell>
        </row>
        <row r="8">
          <cell r="DJ8">
            <v>1</v>
          </cell>
        </row>
        <row r="9">
          <cell r="DJ9">
            <v>3</v>
          </cell>
        </row>
        <row r="15">
          <cell r="DJ15">
            <v>146</v>
          </cell>
        </row>
        <row r="16">
          <cell r="DJ16">
            <v>147</v>
          </cell>
        </row>
        <row r="19">
          <cell r="CV19">
            <v>4500</v>
          </cell>
          <cell r="DJ19">
            <v>3013</v>
          </cell>
        </row>
        <row r="22">
          <cell r="DJ22">
            <v>49521</v>
          </cell>
        </row>
        <row r="23">
          <cell r="DJ23">
            <v>49232</v>
          </cell>
        </row>
        <row r="27">
          <cell r="DJ27">
            <v>2265</v>
          </cell>
        </row>
        <row r="28">
          <cell r="DJ28">
            <v>2226</v>
          </cell>
        </row>
        <row r="32">
          <cell r="DJ32">
            <v>6645</v>
          </cell>
        </row>
        <row r="33">
          <cell r="DJ33">
            <v>6595</v>
          </cell>
        </row>
        <row r="37">
          <cell r="DJ37">
            <v>73</v>
          </cell>
        </row>
        <row r="38">
          <cell r="DJ38">
            <v>84</v>
          </cell>
        </row>
        <row r="41">
          <cell r="CV41">
            <v>173681</v>
          </cell>
          <cell r="DJ41">
            <v>111993</v>
          </cell>
        </row>
        <row r="70">
          <cell r="DJ70">
            <v>12259</v>
          </cell>
        </row>
        <row r="71">
          <cell r="DJ71">
            <v>36973</v>
          </cell>
        </row>
        <row r="73">
          <cell r="DJ73">
            <v>1642</v>
          </cell>
        </row>
        <row r="74">
          <cell r="DJ74">
            <v>4953</v>
          </cell>
        </row>
      </sheetData>
      <sheetData sheetId="41">
        <row r="4">
          <cell r="DJ4">
            <v>102</v>
          </cell>
        </row>
        <row r="5">
          <cell r="DJ5">
            <v>102</v>
          </cell>
        </row>
        <row r="19">
          <cell r="CV19">
            <v>177</v>
          </cell>
          <cell r="DJ19">
            <v>204</v>
          </cell>
        </row>
        <row r="22">
          <cell r="DJ22">
            <v>4940</v>
          </cell>
        </row>
        <row r="23">
          <cell r="DJ23">
            <v>5719</v>
          </cell>
        </row>
        <row r="27">
          <cell r="DJ27">
            <v>187</v>
          </cell>
        </row>
        <row r="28">
          <cell r="DJ28">
            <v>207</v>
          </cell>
        </row>
        <row r="41">
          <cell r="CV41">
            <v>9147</v>
          </cell>
          <cell r="DJ41">
            <v>10659</v>
          </cell>
        </row>
        <row r="70">
          <cell r="DJ70">
            <v>2596</v>
          </cell>
        </row>
        <row r="71">
          <cell r="DJ71">
            <v>3123</v>
          </cell>
        </row>
      </sheetData>
      <sheetData sheetId="42">
        <row r="4">
          <cell r="DJ4">
            <v>83</v>
          </cell>
        </row>
        <row r="5">
          <cell r="DJ5">
            <v>83</v>
          </cell>
        </row>
        <row r="19">
          <cell r="CV19">
            <v>500</v>
          </cell>
          <cell r="DJ19">
            <v>166</v>
          </cell>
        </row>
        <row r="22">
          <cell r="DJ22">
            <v>4736</v>
          </cell>
        </row>
        <row r="23">
          <cell r="DJ23">
            <v>4052</v>
          </cell>
        </row>
        <row r="41">
          <cell r="CV41">
            <v>24063</v>
          </cell>
          <cell r="DJ41">
            <v>8788</v>
          </cell>
        </row>
      </sheetData>
      <sheetData sheetId="43"/>
      <sheetData sheetId="44"/>
      <sheetData sheetId="45"/>
      <sheetData sheetId="46"/>
      <sheetData sheetId="47"/>
      <sheetData sheetId="48"/>
      <sheetData sheetId="49">
        <row r="4">
          <cell r="DJ4">
            <v>4</v>
          </cell>
        </row>
        <row r="5">
          <cell r="DJ5">
            <v>3</v>
          </cell>
        </row>
        <row r="22">
          <cell r="DJ22">
            <v>306</v>
          </cell>
        </row>
        <row r="23">
          <cell r="DJ23">
            <v>62</v>
          </cell>
        </row>
      </sheetData>
      <sheetData sheetId="50"/>
      <sheetData sheetId="51">
        <row r="4">
          <cell r="DJ4">
            <v>22</v>
          </cell>
        </row>
        <row r="5">
          <cell r="DJ5">
            <v>22</v>
          </cell>
        </row>
        <row r="47">
          <cell r="DJ47">
            <v>570806</v>
          </cell>
        </row>
        <row r="52">
          <cell r="DJ52">
            <v>361199</v>
          </cell>
        </row>
      </sheetData>
      <sheetData sheetId="52">
        <row r="15">
          <cell r="DJ15">
            <v>22</v>
          </cell>
        </row>
        <row r="16">
          <cell r="DJ16">
            <v>22</v>
          </cell>
        </row>
        <row r="47">
          <cell r="DJ47">
            <v>15986</v>
          </cell>
        </row>
        <row r="52">
          <cell r="DJ52">
            <v>56114</v>
          </cell>
        </row>
      </sheetData>
      <sheetData sheetId="53">
        <row r="4">
          <cell r="DJ4">
            <v>101</v>
          </cell>
        </row>
        <row r="5">
          <cell r="DJ5">
            <v>101</v>
          </cell>
        </row>
        <row r="47">
          <cell r="DJ47">
            <v>5964070</v>
          </cell>
        </row>
        <row r="52">
          <cell r="DJ52">
            <v>8690874</v>
          </cell>
        </row>
      </sheetData>
      <sheetData sheetId="54">
        <row r="4">
          <cell r="DJ4">
            <v>99</v>
          </cell>
        </row>
        <row r="5">
          <cell r="DJ5">
            <v>96</v>
          </cell>
        </row>
        <row r="47">
          <cell r="DJ47">
            <v>4771309</v>
          </cell>
        </row>
        <row r="48">
          <cell r="DJ48">
            <v>36480</v>
          </cell>
        </row>
        <row r="52">
          <cell r="DJ52">
            <v>4427709</v>
          </cell>
        </row>
        <row r="53">
          <cell r="DJ53">
            <v>135053</v>
          </cell>
        </row>
      </sheetData>
      <sheetData sheetId="55"/>
      <sheetData sheetId="56"/>
      <sheetData sheetId="57"/>
      <sheetData sheetId="58">
        <row r="4">
          <cell r="DJ4">
            <v>249</v>
          </cell>
        </row>
        <row r="5">
          <cell r="DJ5">
            <v>249</v>
          </cell>
        </row>
      </sheetData>
      <sheetData sheetId="59">
        <row r="4">
          <cell r="DJ4">
            <v>1</v>
          </cell>
        </row>
        <row r="47">
          <cell r="DJ47">
            <v>1594</v>
          </cell>
        </row>
      </sheetData>
      <sheetData sheetId="60">
        <row r="4">
          <cell r="DJ4">
            <v>21</v>
          </cell>
        </row>
        <row r="5">
          <cell r="DJ5">
            <v>21</v>
          </cell>
        </row>
        <row r="47">
          <cell r="DJ47">
            <v>42954</v>
          </cell>
        </row>
        <row r="52">
          <cell r="DJ52">
            <v>117516</v>
          </cell>
        </row>
      </sheetData>
      <sheetData sheetId="61">
        <row r="4">
          <cell r="DJ4">
            <v>27</v>
          </cell>
        </row>
        <row r="5">
          <cell r="DJ5">
            <v>27</v>
          </cell>
        </row>
        <row r="47">
          <cell r="DJ47">
            <v>22777</v>
          </cell>
        </row>
        <row r="52">
          <cell r="DJ52">
            <v>21755</v>
          </cell>
        </row>
      </sheetData>
      <sheetData sheetId="62">
        <row r="4">
          <cell r="DJ4">
            <v>47</v>
          </cell>
        </row>
        <row r="5">
          <cell r="DJ5">
            <v>47</v>
          </cell>
        </row>
      </sheetData>
      <sheetData sheetId="63">
        <row r="4">
          <cell r="DJ4">
            <v>843</v>
          </cell>
        </row>
        <row r="5">
          <cell r="DJ5">
            <v>843</v>
          </cell>
        </row>
      </sheetData>
      <sheetData sheetId="64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  <inkml:channel name="T" type="integer" max="2.14748E9" units="dev"/>
        </inkml:traceFormat>
        <inkml:channelProperties>
          <inkml:channelProperty channel="X" name="resolution" value="28.31858" units="1/cm"/>
          <inkml:channelProperty channel="Y" name="resolution" value="28.36879" units="1/cm"/>
          <inkml:channelProperty channel="T" name="resolution" value="1" units="1/dev"/>
        </inkml:channelProperties>
      </inkml:inkSource>
      <inkml:timestamp xml:id="ts0" timeString="2014-02-19T22:13:31.51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89B7337C-A658-4F00-9B21-9273C5AD5CD9}" emma:medium="tactile" emma:mode="ink">
          <msink:context xmlns:msink="http://schemas.microsoft.com/ink/2010/main" type="inkDrawing" rotatedBoundingBox="5238,3095 5238,3121 5223,3121 5223,3095" shapeName="Other"/>
        </emma:interpretation>
      </emma:emma>
    </inkml:annotationXML>
    <inkml:trace contextRef="#ctx0" brushRef="#br0">0 0 0,'0'26'46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" zoomScaleNormal="115" zoomScaleSheetLayoutView="100" workbookViewId="0">
      <selection activeCell="H35" sqref="H35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415">
        <v>41640</v>
      </c>
      <c r="B2" s="17"/>
      <c r="C2" s="17"/>
      <c r="D2" s="477" t="s">
        <v>192</v>
      </c>
      <c r="E2" s="477" t="s">
        <v>186</v>
      </c>
      <c r="F2" s="8"/>
      <c r="G2" s="8"/>
      <c r="H2" s="8"/>
      <c r="I2" s="8"/>
      <c r="J2" s="25"/>
    </row>
    <row r="3" spans="1:14" ht="13.5" thickBot="1" x14ac:dyDescent="0.25">
      <c r="A3" s="421"/>
      <c r="B3" s="8" t="s">
        <v>0</v>
      </c>
      <c r="C3" s="8" t="s">
        <v>1</v>
      </c>
      <c r="D3" s="478"/>
      <c r="E3" s="479"/>
      <c r="F3" s="8" t="s">
        <v>2</v>
      </c>
      <c r="G3" s="8" t="s">
        <v>193</v>
      </c>
      <c r="H3" s="8" t="s">
        <v>187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5">
        <f>'Major Airline Stats'!H4</f>
        <v>871367</v>
      </c>
      <c r="C5" s="307">
        <f>'Major Airline Stats'!H5</f>
        <v>893682</v>
      </c>
      <c r="D5" s="5">
        <f>'Major Airline Stats'!H6</f>
        <v>1765049</v>
      </c>
      <c r="E5" s="9">
        <f>'[1]Monthly Summary'!D5</f>
        <v>1613821</v>
      </c>
      <c r="F5" s="41">
        <f>(D5-E5)/E5</f>
        <v>9.37080382520738E-2</v>
      </c>
      <c r="G5" s="9">
        <f>+D5</f>
        <v>1765049</v>
      </c>
      <c r="H5" s="9">
        <f>'[1]Monthly Summary'!G5</f>
        <v>1613821</v>
      </c>
      <c r="I5" s="88">
        <f>(G5-H5)/H5</f>
        <v>9.37080382520738E-2</v>
      </c>
      <c r="J5" s="9"/>
    </row>
    <row r="6" spans="1:14" x14ac:dyDescent="0.2">
      <c r="A6" s="70" t="s">
        <v>5</v>
      </c>
      <c r="B6" s="305">
        <f>'Regional Major'!J5</f>
        <v>352889</v>
      </c>
      <c r="C6" s="305">
        <f>'Regional Major'!J6</f>
        <v>352168</v>
      </c>
      <c r="D6" s="5">
        <f>B6+C6</f>
        <v>705057</v>
      </c>
      <c r="E6" s="9">
        <f>'[1]Monthly Summary'!D6</f>
        <v>703357</v>
      </c>
      <c r="F6" s="41">
        <f>(D6-E6)/E6</f>
        <v>2.4169802817061606E-3</v>
      </c>
      <c r="G6" s="9">
        <f>+D6</f>
        <v>705057</v>
      </c>
      <c r="H6" s="9">
        <f>'[1]Monthly Summary'!G6</f>
        <v>703357</v>
      </c>
      <c r="I6" s="88">
        <f>(G6-H6)/H6</f>
        <v>2.4169802817061606E-3</v>
      </c>
      <c r="J6" s="21"/>
      <c r="K6" s="2"/>
    </row>
    <row r="7" spans="1:14" x14ac:dyDescent="0.2">
      <c r="A7" s="70" t="s">
        <v>6</v>
      </c>
      <c r="B7" s="9">
        <f>Charter!G5</f>
        <v>306</v>
      </c>
      <c r="C7" s="306">
        <f>Charter!G6</f>
        <v>62</v>
      </c>
      <c r="D7" s="5">
        <f>B7+C7</f>
        <v>368</v>
      </c>
      <c r="E7" s="9">
        <f>'[1]Monthly Summary'!D7</f>
        <v>555</v>
      </c>
      <c r="F7" s="41">
        <f>(D7-E7)/E7</f>
        <v>-0.33693693693693694</v>
      </c>
      <c r="G7" s="9">
        <f>+D7</f>
        <v>368</v>
      </c>
      <c r="H7" s="9">
        <f>'[1]Monthly Summary'!G7</f>
        <v>555</v>
      </c>
      <c r="I7" s="88">
        <f>(G7-H7)/H7</f>
        <v>-0.33693693693693694</v>
      </c>
      <c r="J7" s="21"/>
      <c r="K7" s="2"/>
    </row>
    <row r="8" spans="1:14" x14ac:dyDescent="0.2">
      <c r="A8" s="73" t="s">
        <v>7</v>
      </c>
      <c r="B8" s="152">
        <f>SUM(B5:B7)</f>
        <v>1224562</v>
      </c>
      <c r="C8" s="152">
        <f>SUM(C5:C7)</f>
        <v>1245912</v>
      </c>
      <c r="D8" s="152">
        <f>SUM(D5:D7)</f>
        <v>2470474</v>
      </c>
      <c r="E8" s="152">
        <f>SUM(E5:E7)</f>
        <v>2317733</v>
      </c>
      <c r="F8" s="95">
        <f>(D8-E8)/E8</f>
        <v>6.5901033466753939E-2</v>
      </c>
      <c r="G8" s="152">
        <f>SUM(G5:G7)</f>
        <v>2470474</v>
      </c>
      <c r="H8" s="152">
        <f>SUM(H5:H7)</f>
        <v>2317733</v>
      </c>
      <c r="I8" s="94">
        <f>(G8-H8)/H8</f>
        <v>6.5901033466753939E-2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8">
        <f>'Major Airline Stats'!H9+'Regional Major'!J10</f>
        <v>43924</v>
      </c>
      <c r="C10" s="308">
        <f>'Major Airline Stats'!H10+'Regional Major'!J11</f>
        <v>43953</v>
      </c>
      <c r="D10" s="124">
        <f>SUM(B10:C10)</f>
        <v>87877</v>
      </c>
      <c r="E10" s="124">
        <f>'[1]Monthly Summary'!D10</f>
        <v>86696</v>
      </c>
      <c r="F10" s="96">
        <f>(D10-E10)/E10</f>
        <v>1.3622312448094491E-2</v>
      </c>
      <c r="G10" s="118">
        <f>+D10</f>
        <v>87877</v>
      </c>
      <c r="H10" s="124">
        <f>'[1]Monthly Summary'!G10</f>
        <v>86696</v>
      </c>
      <c r="I10" s="99">
        <f>(G10-H10)/H10</f>
        <v>1.3622312448094491E-2</v>
      </c>
      <c r="J10" s="268"/>
    </row>
    <row r="11" spans="1:14" ht="15.75" thickBot="1" x14ac:dyDescent="0.3">
      <c r="A11" s="72" t="s">
        <v>15</v>
      </c>
      <c r="B11" s="283">
        <f>B10+B8</f>
        <v>1268486</v>
      </c>
      <c r="C11" s="283">
        <f>C10+C8</f>
        <v>1289865</v>
      </c>
      <c r="D11" s="283">
        <f>D10+D8</f>
        <v>2558351</v>
      </c>
      <c r="E11" s="283">
        <f>E10+E8</f>
        <v>2404429</v>
      </c>
      <c r="F11" s="97">
        <f>(D11-E11)/E11</f>
        <v>6.4016030417200928E-2</v>
      </c>
      <c r="G11" s="283">
        <f>G8+G10</f>
        <v>2558351</v>
      </c>
      <c r="H11" s="283">
        <f>H8+H10</f>
        <v>2404429</v>
      </c>
      <c r="I11" s="100">
        <f>(G11-H11)/H11</f>
        <v>6.4016030417200928E-2</v>
      </c>
      <c r="J11" s="7"/>
    </row>
    <row r="12" spans="1:14" ht="15" x14ac:dyDescent="0.25">
      <c r="A12" s="15"/>
      <c r="B12" s="128"/>
      <c r="C12" s="128"/>
      <c r="D12" s="128"/>
      <c r="E12" s="128"/>
      <c r="F12" s="285"/>
      <c r="G12" s="128"/>
      <c r="H12" s="128"/>
      <c r="I12" s="286"/>
      <c r="J12" s="7"/>
      <c r="K12" s="134"/>
    </row>
    <row r="13" spans="1:14" ht="16.5" customHeight="1" x14ac:dyDescent="0.2">
      <c r="B13" s="8"/>
      <c r="C13" s="8"/>
      <c r="D13" s="477" t="s">
        <v>192</v>
      </c>
      <c r="E13" s="477" t="s">
        <v>186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78"/>
      <c r="E14" s="479"/>
      <c r="F14" s="8" t="s">
        <v>2</v>
      </c>
      <c r="G14" s="8" t="s">
        <v>193</v>
      </c>
      <c r="H14" s="8" t="s">
        <v>187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5"/>
    </row>
    <row r="16" spans="1:14" x14ac:dyDescent="0.2">
      <c r="A16" s="71" t="s">
        <v>4</v>
      </c>
      <c r="B16" s="316">
        <f>'Major Airline Stats'!H15+'Major Airline Stats'!H19</f>
        <v>7480</v>
      </c>
      <c r="C16" s="316">
        <f>'Major Airline Stats'!H16+'Major Airline Stats'!H20</f>
        <v>7481</v>
      </c>
      <c r="D16" s="49">
        <f t="shared" ref="D16:D21" si="0">SUM(B16:C16)</f>
        <v>14961</v>
      </c>
      <c r="E16" s="9">
        <f>'[1]Monthly Summary'!D16</f>
        <v>14435</v>
      </c>
      <c r="F16" s="98">
        <f t="shared" ref="F16:F22" si="1">(D16-E16)/E16</f>
        <v>3.6439210252857637E-2</v>
      </c>
      <c r="G16" s="49">
        <f>D16</f>
        <v>14961</v>
      </c>
      <c r="H16" s="9">
        <f>'[1]Monthly Summary'!G16</f>
        <v>14435</v>
      </c>
      <c r="I16" s="266">
        <f t="shared" ref="I16:I22" si="2">(G16-H16)/H16</f>
        <v>3.6439210252857637E-2</v>
      </c>
      <c r="N16" s="134"/>
    </row>
    <row r="17" spans="1:12" x14ac:dyDescent="0.2">
      <c r="A17" s="71" t="s">
        <v>5</v>
      </c>
      <c r="B17" s="49">
        <f>'Regional Major'!J15+'Regional Major'!J18</f>
        <v>7703</v>
      </c>
      <c r="C17" s="49">
        <f>'Regional Major'!J16+'Regional Major'!J19</f>
        <v>7692</v>
      </c>
      <c r="D17" s="49">
        <f>SUM(B17:C17)</f>
        <v>15395</v>
      </c>
      <c r="E17" s="9">
        <f>'[1]Monthly Summary'!D17</f>
        <v>16042</v>
      </c>
      <c r="F17" s="98">
        <f t="shared" si="1"/>
        <v>-4.0331629472634335E-2</v>
      </c>
      <c r="G17" s="49">
        <f>+D17</f>
        <v>15395</v>
      </c>
      <c r="H17" s="9">
        <f>'[1]Monthly Summary'!G17</f>
        <v>16042</v>
      </c>
      <c r="I17" s="266">
        <f t="shared" si="2"/>
        <v>-4.0331629472634335E-2</v>
      </c>
    </row>
    <row r="18" spans="1:12" x14ac:dyDescent="0.2">
      <c r="A18" s="71" t="s">
        <v>10</v>
      </c>
      <c r="B18" s="49">
        <f>Charter!G10</f>
        <v>4</v>
      </c>
      <c r="C18" s="49">
        <f>Charter!G11</f>
        <v>3</v>
      </c>
      <c r="D18" s="49">
        <f t="shared" si="0"/>
        <v>7</v>
      </c>
      <c r="E18" s="9">
        <f>'[1]Monthly Summary'!D18</f>
        <v>3</v>
      </c>
      <c r="F18" s="98">
        <f t="shared" si="1"/>
        <v>1.3333333333333333</v>
      </c>
      <c r="G18" s="49">
        <f>+D18</f>
        <v>7</v>
      </c>
      <c r="H18" s="9">
        <f>'[1]Monthly Summary'!G18</f>
        <v>3</v>
      </c>
      <c r="I18" s="266">
        <f t="shared" si="2"/>
        <v>1.3333333333333333</v>
      </c>
    </row>
    <row r="19" spans="1:12" x14ac:dyDescent="0.2">
      <c r="A19" s="71" t="s">
        <v>11</v>
      </c>
      <c r="B19" s="49">
        <f>Cargo!M4</f>
        <v>542</v>
      </c>
      <c r="C19" s="49">
        <f>Cargo!M5</f>
        <v>538</v>
      </c>
      <c r="D19" s="49">
        <f t="shared" si="0"/>
        <v>1080</v>
      </c>
      <c r="E19" s="9">
        <f>'[1]Monthly Summary'!D19</f>
        <v>945</v>
      </c>
      <c r="F19" s="98">
        <f t="shared" si="1"/>
        <v>0.14285714285714285</v>
      </c>
      <c r="G19" s="49">
        <f>+D19</f>
        <v>1080</v>
      </c>
      <c r="H19" s="9">
        <f>'[1]Monthly Summary'!G19</f>
        <v>945</v>
      </c>
      <c r="I19" s="266">
        <f t="shared" si="2"/>
        <v>0.14285714285714285</v>
      </c>
    </row>
    <row r="20" spans="1:12" x14ac:dyDescent="0.2">
      <c r="A20" s="71" t="s">
        <v>172</v>
      </c>
      <c r="B20" s="49">
        <f>'[2]General Avation'!$DJ$4</f>
        <v>843</v>
      </c>
      <c r="C20" s="49">
        <f>'[2]General Avation'!$DJ$5</f>
        <v>843</v>
      </c>
      <c r="D20" s="49">
        <f t="shared" si="0"/>
        <v>1686</v>
      </c>
      <c r="E20" s="9">
        <f>'[1]Monthly Summary'!D20</f>
        <v>1608</v>
      </c>
      <c r="F20" s="98">
        <f t="shared" si="1"/>
        <v>4.8507462686567165E-2</v>
      </c>
      <c r="G20" s="49">
        <f>+D20</f>
        <v>1686</v>
      </c>
      <c r="H20" s="9">
        <f>'[1]Monthly Summary'!G20</f>
        <v>1608</v>
      </c>
      <c r="I20" s="266">
        <f t="shared" si="2"/>
        <v>4.8507462686567165E-2</v>
      </c>
    </row>
    <row r="21" spans="1:12" ht="12.75" customHeight="1" x14ac:dyDescent="0.2">
      <c r="A21" s="71" t="s">
        <v>12</v>
      </c>
      <c r="B21" s="18">
        <f>'[2]Military '!$DJ$4</f>
        <v>47</v>
      </c>
      <c r="C21" s="18">
        <f>'[2]Military '!$DJ$5</f>
        <v>47</v>
      </c>
      <c r="D21" s="18">
        <f t="shared" si="0"/>
        <v>94</v>
      </c>
      <c r="E21" s="124">
        <f>'[1]Monthly Summary'!D21</f>
        <v>110</v>
      </c>
      <c r="F21" s="264">
        <f t="shared" si="1"/>
        <v>-0.14545454545454545</v>
      </c>
      <c r="G21" s="124">
        <f>+D21</f>
        <v>94</v>
      </c>
      <c r="H21" s="124">
        <f>'[1]Monthly Summary'!G21</f>
        <v>110</v>
      </c>
      <c r="I21" s="267">
        <f t="shared" si="2"/>
        <v>-0.14545454545454545</v>
      </c>
    </row>
    <row r="22" spans="1:12" ht="15.75" thickBot="1" x14ac:dyDescent="0.3">
      <c r="A22" s="72" t="s">
        <v>31</v>
      </c>
      <c r="B22" s="284">
        <f>SUM(B16:B21)</f>
        <v>16619</v>
      </c>
      <c r="C22" s="284">
        <f>SUM(C16:C21)</f>
        <v>16604</v>
      </c>
      <c r="D22" s="284">
        <f>SUM(D16:D21)</f>
        <v>33223</v>
      </c>
      <c r="E22" s="284">
        <f>SUM(E16:E21)</f>
        <v>33143</v>
      </c>
      <c r="F22" s="280">
        <f t="shared" si="1"/>
        <v>2.4137826992125036E-3</v>
      </c>
      <c r="G22" s="284">
        <f>SUM(G16:G21)</f>
        <v>33223</v>
      </c>
      <c r="H22" s="284">
        <f>SUM(H16:H21)</f>
        <v>33143</v>
      </c>
      <c r="I22" s="281">
        <f t="shared" si="2"/>
        <v>2.4137826992125036E-3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77" t="s">
        <v>192</v>
      </c>
      <c r="E24" s="477" t="s">
        <v>186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78"/>
      <c r="E25" s="479"/>
      <c r="F25" s="8" t="s">
        <v>2</v>
      </c>
      <c r="G25" s="8" t="s">
        <v>193</v>
      </c>
      <c r="H25" s="8" t="s">
        <v>187</v>
      </c>
      <c r="I25" s="8" t="s">
        <v>2</v>
      </c>
    </row>
    <row r="26" spans="1:12" ht="15" x14ac:dyDescent="0.25">
      <c r="A26" s="68" t="s">
        <v>141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Stats'!H28+'Regional Major'!J25)*0.00045359237</f>
        <v>6952.3948670845903</v>
      </c>
      <c r="C27" s="23">
        <f>(Cargo!M21+'Major Airline Stats'!H33+'Regional Major'!J30)*0.00045359237</f>
        <v>8230.9411235120297</v>
      </c>
      <c r="D27" s="23">
        <f>(SUM(B27:C27)+('Cargo Summary'!E17*0.00045359237))</f>
        <v>15183.335990596621</v>
      </c>
      <c r="E27" s="9">
        <f>'[1]Monthly Summary'!D27</f>
        <v>15307.18802644801</v>
      </c>
      <c r="F27" s="101">
        <f>(D27-E27)/E27</f>
        <v>-8.0911030580793301E-3</v>
      </c>
      <c r="G27" s="56">
        <f>+D27</f>
        <v>15183.335990596621</v>
      </c>
      <c r="H27" s="9">
        <f>'[1]Monthly Summary'!G27</f>
        <v>15307.18802644801</v>
      </c>
      <c r="I27" s="103">
        <f>(G27-H27)/H27</f>
        <v>-8.0911030580793301E-3</v>
      </c>
    </row>
    <row r="28" spans="1:12" x14ac:dyDescent="0.2">
      <c r="A28" s="65" t="s">
        <v>18</v>
      </c>
      <c r="B28" s="23">
        <f>(Cargo!M17+'Major Airline Stats'!H29+'Regional Major'!J26)*0.00045359237</f>
        <v>715.72430780773993</v>
      </c>
      <c r="C28" s="23">
        <f>(Cargo!M22+'Major Airline Stats'!H34+'Regional Major'!J31)*0.00045359237</f>
        <v>409.59799244133001</v>
      </c>
      <c r="D28" s="23">
        <f>SUM(B28:C28)</f>
        <v>1125.3223002490699</v>
      </c>
      <c r="E28" s="9">
        <f>'[1]Monthly Summary'!D28</f>
        <v>1552.99640222727</v>
      </c>
      <c r="F28" s="101">
        <f>(D28-E28)/E28</f>
        <v>-0.27538640872885484</v>
      </c>
      <c r="G28" s="23">
        <f>+D28</f>
        <v>1125.3223002490699</v>
      </c>
      <c r="H28" s="9">
        <f>'[1]Monthly Summary'!G28</f>
        <v>1552.99640222727</v>
      </c>
      <c r="I28" s="103">
        <f>(G28-H28)/H28</f>
        <v>-0.27538640872885484</v>
      </c>
    </row>
    <row r="29" spans="1:12" ht="15.75" thickBot="1" x14ac:dyDescent="0.3">
      <c r="A29" s="66" t="s">
        <v>68</v>
      </c>
      <c r="B29" s="57">
        <f>SUM(B27:B28)</f>
        <v>7668.1191748923302</v>
      </c>
      <c r="C29" s="57">
        <f>SUM(C27:C28)</f>
        <v>8640.5391159533592</v>
      </c>
      <c r="D29" s="57">
        <f>SUM(D27:D28)</f>
        <v>16308.658290845691</v>
      </c>
      <c r="E29" s="57">
        <f>SUM(E27:E28)</f>
        <v>16860.184428675278</v>
      </c>
      <c r="F29" s="102">
        <f>(D29-E29)/E29</f>
        <v>-3.2711749990798955E-2</v>
      </c>
      <c r="G29" s="57">
        <f>SUM(G27:G28)</f>
        <v>16308.658290845691</v>
      </c>
      <c r="H29" s="57">
        <f>SUM(H27:H28)</f>
        <v>16860.184428675278</v>
      </c>
      <c r="I29" s="104">
        <f>(G29-H29)/H29</f>
        <v>-3.2711749990798955E-2</v>
      </c>
    </row>
    <row r="30" spans="1:12" s="7" customFormat="1" ht="4.5" customHeight="1" thickBot="1" x14ac:dyDescent="0.3">
      <c r="A30" s="62"/>
      <c r="B30" s="423"/>
      <c r="C30" s="423"/>
      <c r="D30" s="423"/>
      <c r="E30" s="423"/>
      <c r="F30" s="285"/>
      <c r="G30" s="423"/>
      <c r="H30" s="423"/>
      <c r="I30" s="285"/>
    </row>
    <row r="31" spans="1:12" ht="13.5" thickBot="1" x14ac:dyDescent="0.25">
      <c r="B31" s="476" t="s">
        <v>164</v>
      </c>
      <c r="C31" s="475"/>
      <c r="D31" s="476" t="s">
        <v>176</v>
      </c>
      <c r="E31" s="475"/>
      <c r="F31" s="452"/>
      <c r="G31" s="454"/>
      <c r="H31" s="451"/>
      <c r="I31" s="451"/>
    </row>
    <row r="32" spans="1:12" x14ac:dyDescent="0.2">
      <c r="A32" s="427" t="s">
        <v>165</v>
      </c>
      <c r="B32" s="428">
        <f>C8-B33</f>
        <v>742260</v>
      </c>
      <c r="C32" s="429">
        <f>B32/C8</f>
        <v>0.59575636160499301</v>
      </c>
      <c r="D32" s="430">
        <f>+B32</f>
        <v>742260</v>
      </c>
      <c r="E32" s="431">
        <f>+D32/D34</f>
        <v>0.59575636160499301</v>
      </c>
      <c r="G32" s="461"/>
      <c r="H32" s="451"/>
      <c r="I32" s="450"/>
    </row>
    <row r="33" spans="1:14" ht="13.5" thickBot="1" x14ac:dyDescent="0.25">
      <c r="A33" s="432" t="s">
        <v>166</v>
      </c>
      <c r="B33" s="433">
        <f>'Major Airline Stats'!H51+'Regional Major'!J45</f>
        <v>503652</v>
      </c>
      <c r="C33" s="434">
        <f>+B33/C8</f>
        <v>0.40424363839500704</v>
      </c>
      <c r="D33" s="435">
        <f>+B33</f>
        <v>503652</v>
      </c>
      <c r="E33" s="436">
        <f>+D33/D34</f>
        <v>0.40424363839500704</v>
      </c>
      <c r="G33" s="451"/>
      <c r="H33" s="451"/>
      <c r="I33" s="450"/>
    </row>
    <row r="34" spans="1:14" ht="13.5" thickBot="1" x14ac:dyDescent="0.25">
      <c r="B34" s="320"/>
      <c r="D34" s="437">
        <f>SUM(D32:D33)</f>
        <v>1245912</v>
      </c>
    </row>
    <row r="35" spans="1:14" ht="13.5" thickBot="1" x14ac:dyDescent="0.25">
      <c r="B35" s="474" t="s">
        <v>194</v>
      </c>
      <c r="C35" s="475"/>
      <c r="D35" s="476" t="s">
        <v>195</v>
      </c>
      <c r="E35" s="475"/>
    </row>
    <row r="36" spans="1:14" x14ac:dyDescent="0.2">
      <c r="A36" s="427" t="s">
        <v>165</v>
      </c>
      <c r="B36" s="428">
        <f>'[1]Monthly Summary'!$B$32</f>
        <v>677056</v>
      </c>
      <c r="C36" s="429">
        <f>+B36/B38</f>
        <v>0.57745288433901609</v>
      </c>
      <c r="D36" s="430">
        <f>'[1]Monthly Summary'!$D$32</f>
        <v>677056</v>
      </c>
      <c r="E36" s="431">
        <f>+D36/D38</f>
        <v>0.57745288433901609</v>
      </c>
    </row>
    <row r="37" spans="1:14" ht="13.5" thickBot="1" x14ac:dyDescent="0.25">
      <c r="A37" s="432" t="s">
        <v>166</v>
      </c>
      <c r="B37" s="433">
        <f>'[1]Monthly Summary'!$B$33</f>
        <v>495431</v>
      </c>
      <c r="C37" s="436">
        <f>+B37/B38</f>
        <v>0.42254711566098385</v>
      </c>
      <c r="D37" s="435">
        <f>'[1]Monthly Summary'!$D$33</f>
        <v>495431</v>
      </c>
      <c r="E37" s="436">
        <f>+D37/D38</f>
        <v>0.42254711566098385</v>
      </c>
    </row>
    <row r="38" spans="1:14" x14ac:dyDescent="0.2">
      <c r="B38" s="460">
        <f>+SUM(B36:B37)</f>
        <v>1172487</v>
      </c>
      <c r="D38" s="437">
        <f>SUM(D36:D37)</f>
        <v>1172487</v>
      </c>
    </row>
    <row r="39" spans="1:14" x14ac:dyDescent="0.2">
      <c r="A39" s="447" t="s">
        <v>167</v>
      </c>
    </row>
    <row r="40" spans="1:14" x14ac:dyDescent="0.2">
      <c r="A40" s="233" t="s">
        <v>173</v>
      </c>
      <c r="I40" s="2"/>
    </row>
    <row r="41" spans="1:14" x14ac:dyDescent="0.2">
      <c r="N41" s="448"/>
    </row>
    <row r="42" spans="1:14" x14ac:dyDescent="0.2">
      <c r="G42" s="2"/>
      <c r="N42" s="448"/>
    </row>
    <row r="43" spans="1:14" x14ac:dyDescent="0.2">
      <c r="J43" s="2"/>
      <c r="N43" s="448"/>
    </row>
    <row r="44" spans="1:14" x14ac:dyDescent="0.2">
      <c r="N44" s="448"/>
    </row>
    <row r="45" spans="1:14" x14ac:dyDescent="0.2">
      <c r="J45" s="2"/>
      <c r="N45" s="448"/>
    </row>
    <row r="46" spans="1:14" x14ac:dyDescent="0.2">
      <c r="B46" s="2"/>
      <c r="F46" s="320"/>
    </row>
    <row r="47" spans="1:14" x14ac:dyDescent="0.2">
      <c r="N47" s="448"/>
    </row>
    <row r="51" spans="12:12" x14ac:dyDescent="0.2">
      <c r="L51" s="449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F2:I14 B24:C30 F24:I25 D24:D25 D15:I22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January 2014</oddHeader>
    <oddFooter>&amp;LPrinted on &amp;D&amp;RPage &amp;P of &amp;N</oddFooter>
  </headerFooter>
  <ignoredErrors>
    <ignoredError sqref="F8 F22 F2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98"/>
  <sheetViews>
    <sheetView topLeftCell="C1" zoomScale="85" zoomScaleNormal="100" zoomScaleSheetLayoutView="85" workbookViewId="0">
      <selection activeCell="D49" sqref="D49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9" customWidth="1"/>
    <col min="8" max="8" width="10.28515625" style="2" customWidth="1"/>
    <col min="9" max="9" width="11.5703125" style="3" customWidth="1"/>
    <col min="10" max="10" width="4.140625" style="39" customWidth="1"/>
    <col min="11" max="11" width="19.85546875" style="236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28" customFormat="1" ht="26.25" thickBot="1" x14ac:dyDescent="0.25">
      <c r="A1" s="513" t="s">
        <v>149</v>
      </c>
      <c r="B1" s="514"/>
      <c r="C1" s="270" t="s">
        <v>199</v>
      </c>
      <c r="D1" s="271" t="s">
        <v>154</v>
      </c>
      <c r="E1" s="272" t="s">
        <v>182</v>
      </c>
      <c r="F1" s="274" t="s">
        <v>107</v>
      </c>
      <c r="G1" s="273" t="s">
        <v>200</v>
      </c>
      <c r="H1" s="272" t="s">
        <v>183</v>
      </c>
      <c r="I1" s="274" t="s">
        <v>108</v>
      </c>
      <c r="J1" s="520" t="s">
        <v>153</v>
      </c>
      <c r="K1" s="521"/>
      <c r="L1" s="275" t="s">
        <v>201</v>
      </c>
      <c r="M1" s="413" t="s">
        <v>156</v>
      </c>
      <c r="N1" s="276" t="s">
        <v>184</v>
      </c>
      <c r="O1" s="357" t="s">
        <v>108</v>
      </c>
      <c r="P1" s="277" t="s">
        <v>202</v>
      </c>
      <c r="Q1" s="277" t="s">
        <v>185</v>
      </c>
      <c r="R1" s="278" t="s">
        <v>108</v>
      </c>
    </row>
    <row r="2" spans="1:23" s="228" customFormat="1" ht="13.5" thickBot="1" x14ac:dyDescent="0.25">
      <c r="A2" s="515">
        <v>41640</v>
      </c>
      <c r="B2" s="516"/>
      <c r="C2" s="517" t="s">
        <v>9</v>
      </c>
      <c r="D2" s="518"/>
      <c r="E2" s="518"/>
      <c r="F2" s="518"/>
      <c r="G2" s="518"/>
      <c r="H2" s="518"/>
      <c r="I2" s="519"/>
      <c r="J2" s="515">
        <v>41640</v>
      </c>
      <c r="K2" s="516"/>
      <c r="L2" s="510" t="s">
        <v>155</v>
      </c>
      <c r="M2" s="511"/>
      <c r="N2" s="511"/>
      <c r="O2" s="511"/>
      <c r="P2" s="511"/>
      <c r="Q2" s="511"/>
      <c r="R2" s="512"/>
    </row>
    <row r="3" spans="1:23" x14ac:dyDescent="0.2">
      <c r="A3" s="358"/>
      <c r="B3" s="359"/>
      <c r="C3" s="360"/>
      <c r="D3" s="361"/>
      <c r="E3" s="362"/>
      <c r="F3" s="363"/>
      <c r="G3" s="455"/>
      <c r="H3" s="456"/>
      <c r="I3" s="363"/>
      <c r="J3" s="364"/>
      <c r="K3" s="359"/>
      <c r="L3" s="360"/>
      <c r="M3" s="361"/>
      <c r="N3" s="362"/>
      <c r="O3" s="363"/>
      <c r="P3" s="365"/>
      <c r="Q3" s="365"/>
      <c r="R3" s="359"/>
    </row>
    <row r="4" spans="1:23" ht="14.1" customHeight="1" x14ac:dyDescent="0.2">
      <c r="A4" s="366" t="s">
        <v>111</v>
      </c>
      <c r="B4" s="58"/>
      <c r="C4" s="367">
        <f>[2]AirCanada!$DJ$19</f>
        <v>159</v>
      </c>
      <c r="D4" s="368">
        <f>C4/$C$54</f>
        <v>5.237844248254052E-3</v>
      </c>
      <c r="E4" s="369">
        <f>[2]AirCanada!$CV$19</f>
        <v>198</v>
      </c>
      <c r="F4" s="370">
        <f>(C4-E4)/E4</f>
        <v>-0.19696969696969696</v>
      </c>
      <c r="G4" s="369">
        <f>SUM([2]AirCanada!$DJ$19:$DJ$19)</f>
        <v>159</v>
      </c>
      <c r="H4" s="369">
        <f>SUM([2]AirCanada!$CV$19:$CV$19)</f>
        <v>198</v>
      </c>
      <c r="I4" s="370">
        <f>(G4-H4)/H4</f>
        <v>-0.19696969696969696</v>
      </c>
      <c r="J4" s="366" t="s">
        <v>111</v>
      </c>
      <c r="K4" s="58"/>
      <c r="L4" s="367">
        <f>[2]AirCanada!$DJ$41</f>
        <v>4117</v>
      </c>
      <c r="M4" s="368">
        <f>L4/$L$54</f>
        <v>1.6667300917450505E-3</v>
      </c>
      <c r="N4" s="369">
        <f>[2]AirCanada!$CV$41</f>
        <v>4684</v>
      </c>
      <c r="O4" s="370">
        <f>(L4-N4)/N4</f>
        <v>-0.12105038428693425</v>
      </c>
      <c r="P4" s="369">
        <f>SUM([2]AirCanada!$DJ$41:$DJ$41)</f>
        <v>4117</v>
      </c>
      <c r="Q4" s="369">
        <f>SUM([2]AirCanada!$CV$41:$CV$41)</f>
        <v>4684</v>
      </c>
      <c r="R4" s="370">
        <f>(P4-Q4)/Q4</f>
        <v>-0.12105038428693425</v>
      </c>
      <c r="T4" s="21"/>
    </row>
    <row r="5" spans="1:23" ht="14.1" customHeight="1" x14ac:dyDescent="0.2">
      <c r="A5" s="366"/>
      <c r="B5" s="58"/>
      <c r="C5" s="367"/>
      <c r="D5" s="368"/>
      <c r="E5" s="369"/>
      <c r="F5" s="370"/>
      <c r="G5" s="369"/>
      <c r="H5" s="369"/>
      <c r="I5" s="370"/>
      <c r="J5" s="366"/>
      <c r="K5" s="58"/>
      <c r="L5" s="371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66" t="s">
        <v>198</v>
      </c>
      <c r="B6" s="58"/>
      <c r="C6" s="367">
        <f>'[2]Air France'!$DJ$19</f>
        <v>0</v>
      </c>
      <c r="D6" s="368">
        <f>C6/$C$54</f>
        <v>0</v>
      </c>
      <c r="E6" s="369">
        <f>'[2]Air France'!$CV$19</f>
        <v>0</v>
      </c>
      <c r="F6" s="370" t="e">
        <f>(C6-E6)/E6</f>
        <v>#DIV/0!</v>
      </c>
      <c r="G6" s="369">
        <f>SUM('[2]Air France'!$DJ$19:$DJ$19)</f>
        <v>0</v>
      </c>
      <c r="H6" s="369">
        <f>SUM('[2]Air France'!$CV$19:$CV$19)</f>
        <v>0</v>
      </c>
      <c r="I6" s="370" t="e">
        <f>(G6-H6)/H6</f>
        <v>#DIV/0!</v>
      </c>
      <c r="J6" s="366" t="s">
        <v>198</v>
      </c>
      <c r="K6" s="58"/>
      <c r="L6" s="367">
        <f>'[2]Air France'!$DJ$41</f>
        <v>0</v>
      </c>
      <c r="M6" s="368">
        <f>L6/$L$54</f>
        <v>0</v>
      </c>
      <c r="N6" s="369">
        <f>'[2]Air France'!$CV$41</f>
        <v>0</v>
      </c>
      <c r="O6" s="370" t="e">
        <f>(L6-N6)/N6</f>
        <v>#DIV/0!</v>
      </c>
      <c r="P6" s="369">
        <f>SUM('[2]Air France'!$DJ$41:$DJ$41)</f>
        <v>0</v>
      </c>
      <c r="Q6" s="369">
        <f>SUM('[2]Air France'!$CV$41:$CV$41)</f>
        <v>0</v>
      </c>
      <c r="R6" s="370" t="e">
        <f>(P6-Q6)/Q6</f>
        <v>#DIV/0!</v>
      </c>
      <c r="T6" s="21"/>
    </row>
    <row r="7" spans="1:23" ht="14.1" customHeight="1" x14ac:dyDescent="0.2">
      <c r="A7" s="366"/>
      <c r="B7" s="58"/>
      <c r="C7" s="367"/>
      <c r="D7" s="368"/>
      <c r="E7" s="369"/>
      <c r="F7" s="370"/>
      <c r="G7" s="369"/>
      <c r="H7" s="369"/>
      <c r="I7" s="370"/>
      <c r="J7" s="366"/>
      <c r="K7" s="58"/>
      <c r="L7" s="371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66" t="s">
        <v>143</v>
      </c>
      <c r="B8" s="58"/>
      <c r="C8" s="367">
        <f>[2]Alaska!$DJ$19</f>
        <v>124</v>
      </c>
      <c r="D8" s="368">
        <f>C8/$C$54</f>
        <v>4.0848596653050469E-3</v>
      </c>
      <c r="E8" s="369">
        <f>[2]Alaska!$CV$19</f>
        <v>122</v>
      </c>
      <c r="F8" s="370">
        <f>(C8-E8)/E8</f>
        <v>1.6393442622950821E-2</v>
      </c>
      <c r="G8" s="369">
        <f>SUM([2]Alaska!$DJ$19:$DJ$19)</f>
        <v>124</v>
      </c>
      <c r="H8" s="369">
        <f>SUM([2]Alaska!$CV$19:$CV$19)</f>
        <v>122</v>
      </c>
      <c r="I8" s="370">
        <f>(G8-H8)/H8</f>
        <v>1.6393442622950821E-2</v>
      </c>
      <c r="J8" s="366" t="s">
        <v>143</v>
      </c>
      <c r="K8" s="58"/>
      <c r="L8" s="367">
        <f>[2]Alaska!$DJ$41</f>
        <v>14249</v>
      </c>
      <c r="M8" s="368">
        <f>L8/$L$54</f>
        <v>5.7685783525079489E-3</v>
      </c>
      <c r="N8" s="369">
        <f>[2]Alaska!$CV$41</f>
        <v>14658</v>
      </c>
      <c r="O8" s="370">
        <f>(L8-N8)/N8</f>
        <v>-2.7902851685086643E-2</v>
      </c>
      <c r="P8" s="369">
        <f>SUM([2]Alaska!$DJ$41:$DJ$41)</f>
        <v>14249</v>
      </c>
      <c r="Q8" s="369">
        <f>SUM([2]Alaska!$CV$41:$CV$41)</f>
        <v>14658</v>
      </c>
      <c r="R8" s="370">
        <f>(P8-Q8)/Q8</f>
        <v>-2.7902851685086643E-2</v>
      </c>
      <c r="T8" s="21"/>
    </row>
    <row r="9" spans="1:23" ht="14.1" customHeight="1" x14ac:dyDescent="0.2">
      <c r="A9" s="366"/>
      <c r="B9" s="58"/>
      <c r="C9" s="367"/>
      <c r="D9" s="368"/>
      <c r="E9" s="372"/>
      <c r="F9" s="370"/>
      <c r="G9" s="372"/>
      <c r="H9" s="372"/>
      <c r="I9" s="370"/>
      <c r="J9" s="366"/>
      <c r="K9" s="58"/>
      <c r="L9" s="373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66" t="s">
        <v>19</v>
      </c>
      <c r="B10" s="374"/>
      <c r="C10" s="367">
        <f>SUM(C11:C12)</f>
        <v>972</v>
      </c>
      <c r="D10" s="368">
        <f>C10/$C$54</f>
        <v>3.2020028989326654E-2</v>
      </c>
      <c r="E10" s="372">
        <f>SUM(E11:E12)</f>
        <v>1096</v>
      </c>
      <c r="F10" s="370">
        <f>(C10-E10)/E10</f>
        <v>-0.11313868613138686</v>
      </c>
      <c r="G10" s="372">
        <f>SUM(G11:G12)</f>
        <v>972</v>
      </c>
      <c r="H10" s="372">
        <f>SUM(H11:H12)</f>
        <v>1096</v>
      </c>
      <c r="I10" s="370">
        <f>(G10-H10)/H10</f>
        <v>-0.11313868613138686</v>
      </c>
      <c r="J10" s="366" t="s">
        <v>19</v>
      </c>
      <c r="K10" s="374"/>
      <c r="L10" s="367">
        <f>SUM(L11:L12)</f>
        <v>75638</v>
      </c>
      <c r="M10" s="368">
        <f>L10/$L$54</f>
        <v>3.0621357949820776E-2</v>
      </c>
      <c r="N10" s="372">
        <f>SUM(N11:N12)</f>
        <v>77762</v>
      </c>
      <c r="O10" s="370">
        <f>(L10-N10)/N10</f>
        <v>-2.7314112291350532E-2</v>
      </c>
      <c r="P10" s="367">
        <f>SUM(P11:P12)</f>
        <v>75638</v>
      </c>
      <c r="Q10" s="372">
        <f>SUM(Q11:Q12)</f>
        <v>77762</v>
      </c>
      <c r="R10" s="370">
        <f>(P10-Q10)/Q10</f>
        <v>-2.7314112291350532E-2</v>
      </c>
      <c r="T10" s="21"/>
    </row>
    <row r="11" spans="1:23" ht="14.1" customHeight="1" x14ac:dyDescent="0.2">
      <c r="A11" s="55"/>
      <c r="B11" s="375" t="s">
        <v>19</v>
      </c>
      <c r="C11" s="371">
        <f>[2]American!$DJ$19</f>
        <v>568</v>
      </c>
      <c r="D11" s="41">
        <f>C11/$C$54</f>
        <v>1.871129266042957E-2</v>
      </c>
      <c r="E11" s="9">
        <f>[2]American!$CV$19</f>
        <v>518</v>
      </c>
      <c r="F11" s="89">
        <f>(C11-E11)/E11</f>
        <v>9.6525096525096526E-2</v>
      </c>
      <c r="G11" s="9">
        <f>SUM([2]American!$DJ$19:$DJ$19)</f>
        <v>568</v>
      </c>
      <c r="H11" s="9">
        <f>SUM([2]American!$CV$19:$CV$19)</f>
        <v>518</v>
      </c>
      <c r="I11" s="89">
        <f>(G11-H11)/H11</f>
        <v>9.6525096525096526E-2</v>
      </c>
      <c r="J11" s="55"/>
      <c r="K11" s="375" t="s">
        <v>19</v>
      </c>
      <c r="L11" s="371">
        <f>[2]American!$DJ$41</f>
        <v>56480</v>
      </c>
      <c r="M11" s="41">
        <f>L11/$L$54</f>
        <v>2.2865415492290615E-2</v>
      </c>
      <c r="N11" s="9">
        <f>[2]American!$CV$41</f>
        <v>52666</v>
      </c>
      <c r="O11" s="89">
        <f>(L11-N11)/N11</f>
        <v>7.2418638210610259E-2</v>
      </c>
      <c r="P11" s="9">
        <f>SUM([2]American!$DJ$41:$DJ$41)</f>
        <v>56480</v>
      </c>
      <c r="Q11" s="9">
        <f>SUM([2]American!$CV$41:$CV$41)</f>
        <v>52666</v>
      </c>
      <c r="R11" s="89">
        <f>(P11-Q11)/Q11</f>
        <v>7.2418638210610259E-2</v>
      </c>
      <c r="T11" s="21"/>
    </row>
    <row r="12" spans="1:23" ht="14.1" customHeight="1" x14ac:dyDescent="0.2">
      <c r="A12" s="55"/>
      <c r="B12" s="375" t="s">
        <v>174</v>
      </c>
      <c r="C12" s="371">
        <f>'[2]American Eagle'!$DJ$19</f>
        <v>404</v>
      </c>
      <c r="D12" s="41">
        <f>C12/$C$54</f>
        <v>1.3308736328897088E-2</v>
      </c>
      <c r="E12" s="9">
        <f>'[2]American Eagle'!$CV$19</f>
        <v>578</v>
      </c>
      <c r="F12" s="89">
        <f>(C12-E12)/E12</f>
        <v>-0.30103806228373703</v>
      </c>
      <c r="G12" s="9">
        <f>SUM('[2]American Eagle'!$DJ$19:$DJ$19)</f>
        <v>404</v>
      </c>
      <c r="H12" s="9">
        <f>SUM('[2]American Eagle'!$CV$19:$CV$19)</f>
        <v>578</v>
      </c>
      <c r="I12" s="89">
        <f>(G12-H12)/H12</f>
        <v>-0.30103806228373703</v>
      </c>
      <c r="J12" s="55"/>
      <c r="K12" s="375" t="s">
        <v>174</v>
      </c>
      <c r="L12" s="371">
        <f>'[2]American Eagle'!$DJ$41</f>
        <v>19158</v>
      </c>
      <c r="M12" s="41">
        <f>L12/$L$54</f>
        <v>7.7559424575301631E-3</v>
      </c>
      <c r="N12" s="9">
        <f>'[2]American Eagle'!$CV$41</f>
        <v>25096</v>
      </c>
      <c r="O12" s="89">
        <f>(L12-N12)/N12</f>
        <v>-0.23661141217723941</v>
      </c>
      <c r="P12" s="9">
        <f>SUM('[2]American Eagle'!$DJ$41:$DJ$41)</f>
        <v>19158</v>
      </c>
      <c r="Q12" s="9">
        <f>SUM('[2]American Eagle'!$CV$41:$CV$41)</f>
        <v>25096</v>
      </c>
      <c r="R12" s="89">
        <f>(P12-Q12)/Q12</f>
        <v>-0.23661141217723941</v>
      </c>
      <c r="T12" s="21"/>
    </row>
    <row r="13" spans="1:23" ht="14.1" customHeight="1" x14ac:dyDescent="0.2">
      <c r="A13" s="55"/>
      <c r="B13" s="376"/>
      <c r="C13" s="371"/>
      <c r="D13" s="41"/>
      <c r="E13" s="9"/>
      <c r="F13" s="89"/>
      <c r="G13" s="9"/>
      <c r="H13" s="9"/>
      <c r="I13" s="89"/>
      <c r="J13" s="55"/>
      <c r="K13" s="376"/>
      <c r="L13" s="371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66" t="s">
        <v>20</v>
      </c>
      <c r="B14" s="380"/>
      <c r="C14" s="367">
        <f>SUM(C15:C21)</f>
        <v>22597</v>
      </c>
      <c r="D14" s="368">
        <f t="shared" ref="D14:D21" si="0">C14/$C$54</f>
        <v>0.74439978916853344</v>
      </c>
      <c r="E14" s="369">
        <f>SUM(E15:E21)</f>
        <v>22552</v>
      </c>
      <c r="F14" s="370">
        <f t="shared" ref="F14:F21" si="1">(C14-E14)/E14</f>
        <v>1.9953884356154663E-3</v>
      </c>
      <c r="G14" s="372">
        <f>SUM(G15:G21)</f>
        <v>22597</v>
      </c>
      <c r="H14" s="372">
        <f>SUM(H15:H21)</f>
        <v>22552</v>
      </c>
      <c r="I14" s="370">
        <f>(G14-H14)/H14</f>
        <v>1.9953884356154663E-3</v>
      </c>
      <c r="J14" s="366" t="s">
        <v>20</v>
      </c>
      <c r="K14" s="380"/>
      <c r="L14" s="367">
        <f>SUM(L15:L21)</f>
        <v>1807175</v>
      </c>
      <c r="M14" s="368">
        <f t="shared" ref="M14:M21" si="2">L14/$L$54</f>
        <v>0.73161840018201652</v>
      </c>
      <c r="N14" s="369">
        <f>SUM(N15:N21)</f>
        <v>1710871</v>
      </c>
      <c r="O14" s="370">
        <f t="shared" ref="O14:O21" si="3">(L14-N14)/N14</f>
        <v>5.6289457241370036E-2</v>
      </c>
      <c r="P14" s="369">
        <f>SUM(P15:P21)</f>
        <v>1807175</v>
      </c>
      <c r="Q14" s="369">
        <f>SUM(Q15:Q21)</f>
        <v>1710871</v>
      </c>
      <c r="R14" s="370">
        <f t="shared" ref="R14:R21" si="4">(P14-Q14)/Q14</f>
        <v>5.6289457241370036E-2</v>
      </c>
      <c r="T14" s="459"/>
      <c r="V14" s="11"/>
      <c r="W14" s="11"/>
    </row>
    <row r="15" spans="1:23" ht="14.1" customHeight="1" x14ac:dyDescent="0.2">
      <c r="A15" s="55"/>
      <c r="B15" s="375" t="s">
        <v>20</v>
      </c>
      <c r="C15" s="371">
        <f>[2]Delta!$DJ$19</f>
        <v>8979</v>
      </c>
      <c r="D15" s="41">
        <f t="shared" si="0"/>
        <v>0.29578995915140333</v>
      </c>
      <c r="E15" s="9">
        <f>[2]Delta!$CV$19</f>
        <v>8666</v>
      </c>
      <c r="F15" s="89">
        <f t="shared" si="1"/>
        <v>3.6118162935610432E-2</v>
      </c>
      <c r="G15" s="9">
        <f>SUM([2]Delta!$DJ$19:$DJ$19)</f>
        <v>8979</v>
      </c>
      <c r="H15" s="9">
        <f>SUM([2]Delta!$CV$19:$CV$19)</f>
        <v>8666</v>
      </c>
      <c r="I15" s="89">
        <f t="shared" ref="I15:I21" si="5">(G15-H15)/H15</f>
        <v>3.6118162935610432E-2</v>
      </c>
      <c r="J15" s="55"/>
      <c r="K15" s="375" t="s">
        <v>20</v>
      </c>
      <c r="L15" s="371">
        <f>[2]Delta!$DJ$41</f>
        <v>1183117</v>
      </c>
      <c r="M15" s="41">
        <f t="shared" si="2"/>
        <v>0.4789741816747945</v>
      </c>
      <c r="N15" s="9">
        <f>[2]Delta!$CV$41</f>
        <v>1100415</v>
      </c>
      <c r="O15" s="89">
        <f t="shared" si="3"/>
        <v>7.5155282325304551E-2</v>
      </c>
      <c r="P15" s="9">
        <f>SUM([2]Delta!$DJ$41:$DJ$41)</f>
        <v>1183117</v>
      </c>
      <c r="Q15" s="9">
        <f>SUM([2]Delta!$CV$41:$CV$41)</f>
        <v>1100415</v>
      </c>
      <c r="R15" s="89">
        <f t="shared" si="4"/>
        <v>7.5155282325304551E-2</v>
      </c>
      <c r="T15" s="21"/>
      <c r="U15" s="9"/>
      <c r="V15" s="11"/>
      <c r="W15" s="11"/>
    </row>
    <row r="16" spans="1:23" ht="14.1" customHeight="1" x14ac:dyDescent="0.2">
      <c r="A16" s="55"/>
      <c r="B16" s="377" t="s">
        <v>132</v>
      </c>
      <c r="C16" s="371">
        <f>[2]Compass!$DJ$19</f>
        <v>2689</v>
      </c>
      <c r="D16" s="41">
        <f t="shared" si="0"/>
        <v>8.8582158387139287E-2</v>
      </c>
      <c r="E16" s="9">
        <f>[2]Compass!$CV$19</f>
        <v>3496</v>
      </c>
      <c r="F16" s="89">
        <f t="shared" si="1"/>
        <v>-0.23083524027459953</v>
      </c>
      <c r="G16" s="9">
        <f>SUM([2]Compass!$DJ$19:$DJ$19)</f>
        <v>2689</v>
      </c>
      <c r="H16" s="9">
        <f>SUM([2]Compass!$CV$19:$CV$19)</f>
        <v>3496</v>
      </c>
      <c r="I16" s="89">
        <f t="shared" si="5"/>
        <v>-0.23083524027459953</v>
      </c>
      <c r="J16" s="55"/>
      <c r="K16" s="377" t="s">
        <v>132</v>
      </c>
      <c r="L16" s="371">
        <f>[2]Compass!$DJ$41</f>
        <v>154021</v>
      </c>
      <c r="M16" s="41">
        <f t="shared" si="2"/>
        <v>6.2354004241113536E-2</v>
      </c>
      <c r="N16" s="9">
        <f>[2]Compass!$CV$41</f>
        <v>188321</v>
      </c>
      <c r="O16" s="89">
        <f t="shared" si="3"/>
        <v>-0.18213582128387168</v>
      </c>
      <c r="P16" s="9">
        <f>SUM([2]Compass!$DJ$41:$DJ$41)</f>
        <v>154021</v>
      </c>
      <c r="Q16" s="9">
        <f>SUM([2]Compass!$CV$41:$CV$41)</f>
        <v>188321</v>
      </c>
      <c r="R16" s="89">
        <f t="shared" si="4"/>
        <v>-0.18213582128387168</v>
      </c>
      <c r="T16" s="9"/>
      <c r="U16" s="9"/>
      <c r="V16" s="11"/>
      <c r="W16" s="11"/>
    </row>
    <row r="17" spans="1:21" ht="14.1" customHeight="1" x14ac:dyDescent="0.2">
      <c r="A17" s="55"/>
      <c r="B17" s="376" t="s">
        <v>204</v>
      </c>
      <c r="C17" s="371">
        <f>[2]Pinnacle!$DJ$19</f>
        <v>6914</v>
      </c>
      <c r="D17" s="41">
        <f t="shared" si="0"/>
        <v>0.22776386875741203</v>
      </c>
      <c r="E17" s="9">
        <f>[2]Pinnacle!$CV$19</f>
        <v>4794</v>
      </c>
      <c r="F17" s="89">
        <f t="shared" si="1"/>
        <v>0.44221944096787652</v>
      </c>
      <c r="G17" s="9">
        <f>SUM([2]Pinnacle!$DJ$19:$DJ$19)</f>
        <v>6914</v>
      </c>
      <c r="H17" s="9">
        <f>SUM([2]Pinnacle!$CV$19:$CV$19)</f>
        <v>4794</v>
      </c>
      <c r="I17" s="89">
        <f t="shared" si="5"/>
        <v>0.44221944096787652</v>
      </c>
      <c r="J17" s="55"/>
      <c r="K17" s="376" t="s">
        <v>204</v>
      </c>
      <c r="L17" s="371">
        <f>[2]Pinnacle!$DJ$41</f>
        <v>308208</v>
      </c>
      <c r="M17" s="41">
        <f t="shared" si="2"/>
        <v>0.124775212075919</v>
      </c>
      <c r="N17" s="9">
        <f>[2]Pinnacle!$CV$41</f>
        <v>196795</v>
      </c>
      <c r="O17" s="89">
        <f t="shared" si="3"/>
        <v>0.5661373510505856</v>
      </c>
      <c r="P17" s="9">
        <f>SUM([2]Pinnacle!$DJ$41:$DJ$41)</f>
        <v>308208</v>
      </c>
      <c r="Q17" s="9">
        <f>SUM([2]Pinnacle!$CV$41:$CV$41)</f>
        <v>196795</v>
      </c>
      <c r="R17" s="89">
        <f t="shared" si="4"/>
        <v>0.5661373510505856</v>
      </c>
      <c r="T17" s="21"/>
      <c r="U17" s="11"/>
    </row>
    <row r="18" spans="1:21" ht="14.1" customHeight="1" x14ac:dyDescent="0.2">
      <c r="A18" s="55"/>
      <c r="B18" s="375" t="s">
        <v>180</v>
      </c>
      <c r="C18" s="371">
        <f>'[2]Go Jet'!$DJ$19</f>
        <v>0</v>
      </c>
      <c r="D18" s="41">
        <f t="shared" si="0"/>
        <v>0</v>
      </c>
      <c r="E18" s="9">
        <f>'[2]Go Jet'!$CV$19</f>
        <v>0</v>
      </c>
      <c r="F18" s="89" t="e">
        <f>(C18-E18)/E18</f>
        <v>#DIV/0!</v>
      </c>
      <c r="G18" s="9">
        <f>SUM('[2]Go Jet'!$DJ$19:$DJ$19)</f>
        <v>0</v>
      </c>
      <c r="H18" s="9">
        <f>SUM('[2]Go Jet'!$CV$19:$CV$19)</f>
        <v>0</v>
      </c>
      <c r="I18" s="89" t="e">
        <f>(G18-H18)/H18</f>
        <v>#DIV/0!</v>
      </c>
      <c r="J18" s="55"/>
      <c r="K18" s="375" t="s">
        <v>180</v>
      </c>
      <c r="L18" s="371">
        <f>'[2]Go Jet'!$DJ$41</f>
        <v>0</v>
      </c>
      <c r="M18" s="41">
        <f t="shared" si="2"/>
        <v>0</v>
      </c>
      <c r="N18" s="9">
        <f>'[2]Go Jet'!$CV$41</f>
        <v>0</v>
      </c>
      <c r="O18" s="89" t="e">
        <f>(L18-N18)/N18</f>
        <v>#DIV/0!</v>
      </c>
      <c r="P18" s="9">
        <f>SUM('[2]Go Jet'!$DJ$41:$DJ$41)</f>
        <v>0</v>
      </c>
      <c r="Q18" s="9">
        <f>SUM('[2]Go Jet'!$CV$41:$CV$41)</f>
        <v>0</v>
      </c>
      <c r="R18" s="89" t="e">
        <f>(P18-Q18)/Q18</f>
        <v>#DIV/0!</v>
      </c>
      <c r="T18" s="343"/>
      <c r="U18" s="340"/>
    </row>
    <row r="19" spans="1:21" ht="14.1" customHeight="1" x14ac:dyDescent="0.2">
      <c r="A19" s="55"/>
      <c r="B19" s="376" t="s">
        <v>110</v>
      </c>
      <c r="C19" s="371">
        <f>'[2]Sky West'!$DJ$19</f>
        <v>3013</v>
      </c>
      <c r="D19" s="41">
        <f t="shared" si="0"/>
        <v>9.9255501383581496E-2</v>
      </c>
      <c r="E19" s="9">
        <f>'[2]Sky West'!$CV$19</f>
        <v>4500</v>
      </c>
      <c r="F19" s="89">
        <f t="shared" si="1"/>
        <v>-0.33044444444444443</v>
      </c>
      <c r="G19" s="9">
        <f>SUM('[2]Sky West'!$DJ$19:$DJ$19)</f>
        <v>3013</v>
      </c>
      <c r="H19" s="9">
        <f>SUM('[2]Sky West'!$CV$19:$CV$19)</f>
        <v>4500</v>
      </c>
      <c r="I19" s="89">
        <f t="shared" si="5"/>
        <v>-0.33044444444444443</v>
      </c>
      <c r="J19" s="55"/>
      <c r="K19" s="376" t="s">
        <v>110</v>
      </c>
      <c r="L19" s="371">
        <f>'[2]Sky West'!$DJ$41</f>
        <v>111993</v>
      </c>
      <c r="M19" s="41">
        <f t="shared" si="2"/>
        <v>4.5339349809279443E-2</v>
      </c>
      <c r="N19" s="9">
        <f>'[2]Sky West'!$CV$41</f>
        <v>173681</v>
      </c>
      <c r="O19" s="89">
        <f t="shared" si="3"/>
        <v>-0.35517989877994716</v>
      </c>
      <c r="P19" s="9">
        <f>SUM('[2]Sky West'!$DJ$41:$DJ$41)</f>
        <v>111993</v>
      </c>
      <c r="Q19" s="9">
        <f>SUM('[2]Sky West'!$CV$41:$CV$41)</f>
        <v>173681</v>
      </c>
      <c r="R19" s="89">
        <f t="shared" si="4"/>
        <v>-0.35517989877994716</v>
      </c>
      <c r="T19" s="21"/>
    </row>
    <row r="20" spans="1:21" ht="14.1" customHeight="1" x14ac:dyDescent="0.2">
      <c r="A20" s="55"/>
      <c r="B20" s="376" t="s">
        <v>148</v>
      </c>
      <c r="C20" s="371">
        <f>'[2]Shuttle America_Delta'!$DJ$19</f>
        <v>204</v>
      </c>
      <c r="D20" s="41">
        <f t="shared" si="0"/>
        <v>6.7202529977599158E-3</v>
      </c>
      <c r="E20" s="9">
        <f>'[2]Shuttle America_Delta'!$CV$19</f>
        <v>177</v>
      </c>
      <c r="F20" s="89">
        <f t="shared" si="1"/>
        <v>0.15254237288135594</v>
      </c>
      <c r="G20" s="9">
        <f>SUM('[2]Shuttle America_Delta'!$DJ$19:$DJ$19)</f>
        <v>204</v>
      </c>
      <c r="H20" s="9">
        <f>SUM('[2]Shuttle America_Delta'!$CV$19:$CV$19)</f>
        <v>177</v>
      </c>
      <c r="I20" s="89">
        <f t="shared" si="5"/>
        <v>0.15254237288135594</v>
      </c>
      <c r="J20" s="55"/>
      <c r="K20" s="376" t="s">
        <v>148</v>
      </c>
      <c r="L20" s="371">
        <f>'[2]Shuttle America_Delta'!$DJ$41</f>
        <v>10659</v>
      </c>
      <c r="M20" s="41">
        <f t="shared" si="2"/>
        <v>4.3151994286884853E-3</v>
      </c>
      <c r="N20" s="9">
        <f>'[2]Shuttle America_Delta'!$CV$41</f>
        <v>9147</v>
      </c>
      <c r="O20" s="89">
        <f t="shared" si="3"/>
        <v>0.16530009839291571</v>
      </c>
      <c r="P20" s="9">
        <f>SUM('[2]Shuttle America_Delta'!$DJ$41:$DJ$41)</f>
        <v>10659</v>
      </c>
      <c r="Q20" s="9">
        <f>SUM('[2]Shuttle America_Delta'!$CV$41:$CV$41)</f>
        <v>9147</v>
      </c>
      <c r="R20" s="89">
        <f t="shared" si="4"/>
        <v>0.16530009839291571</v>
      </c>
      <c r="T20" s="21"/>
    </row>
    <row r="21" spans="1:21" ht="14.1" customHeight="1" x14ac:dyDescent="0.2">
      <c r="A21" s="55"/>
      <c r="B21" s="381" t="s">
        <v>55</v>
      </c>
      <c r="C21" s="371">
        <f>'[2]Atlantic Southeast'!$DJ$19</f>
        <v>798</v>
      </c>
      <c r="D21" s="41">
        <f t="shared" si="0"/>
        <v>2.6288048491237316E-2</v>
      </c>
      <c r="E21" s="9">
        <f>'[2]Atlantic Southeast'!$CV$19</f>
        <v>919</v>
      </c>
      <c r="F21" s="89">
        <f t="shared" si="1"/>
        <v>-0.13166485310119697</v>
      </c>
      <c r="G21" s="9">
        <f>SUM('[2]Atlantic Southeast'!$DJ$19:$DJ$19)</f>
        <v>798</v>
      </c>
      <c r="H21" s="9">
        <f>SUM('[2]Atlantic Southeast'!$CV$19:$CV$19)</f>
        <v>919</v>
      </c>
      <c r="I21" s="89">
        <f t="shared" si="5"/>
        <v>-0.13166485310119697</v>
      </c>
      <c r="J21" s="55"/>
      <c r="K21" s="381" t="s">
        <v>55</v>
      </c>
      <c r="L21" s="371">
        <f>'[2]Atlantic Southeast'!$DJ$41</f>
        <v>39177</v>
      </c>
      <c r="M21" s="41">
        <f t="shared" si="2"/>
        <v>1.5860452952221483E-2</v>
      </c>
      <c r="N21" s="9">
        <f>'[2]Atlantic Southeast'!$CV$41</f>
        <v>42512</v>
      </c>
      <c r="O21" s="89">
        <f t="shared" si="3"/>
        <v>-7.8448438088069256E-2</v>
      </c>
      <c r="P21" s="9">
        <f>SUM('[2]Atlantic Southeast'!$DJ$41:$DJ$41)</f>
        <v>39177</v>
      </c>
      <c r="Q21" s="9">
        <f>SUM('[2]Atlantic Southeast'!$CV$41:$CV$41)</f>
        <v>42512</v>
      </c>
      <c r="R21" s="89">
        <f t="shared" si="4"/>
        <v>-7.8448438088069256E-2</v>
      </c>
      <c r="T21" s="339"/>
    </row>
    <row r="22" spans="1:21" ht="14.1" customHeight="1" x14ac:dyDescent="0.2">
      <c r="A22" s="55"/>
      <c r="B22" s="381"/>
      <c r="C22" s="371"/>
      <c r="D22" s="41"/>
      <c r="E22" s="5"/>
      <c r="F22" s="89"/>
      <c r="G22" s="9"/>
      <c r="H22" s="9"/>
      <c r="I22" s="89"/>
      <c r="J22" s="55"/>
      <c r="K22" s="381"/>
      <c r="L22" s="371"/>
      <c r="M22" s="41"/>
      <c r="N22" s="9"/>
      <c r="O22" s="89"/>
      <c r="P22" s="9"/>
      <c r="Q22" s="9"/>
      <c r="R22" s="89"/>
      <c r="T22" s="339"/>
    </row>
    <row r="23" spans="1:21" s="7" customFormat="1" ht="14.1" customHeight="1" x14ac:dyDescent="0.2">
      <c r="A23" s="366" t="s">
        <v>51</v>
      </c>
      <c r="B23" s="382"/>
      <c r="C23" s="367">
        <f>[2]Frontier!$DJ$19</f>
        <v>192</v>
      </c>
      <c r="D23" s="368">
        <f>C23/$C$54</f>
        <v>6.3249439978916855E-3</v>
      </c>
      <c r="E23" s="369">
        <f>[2]Frontier!$CV$19</f>
        <v>178</v>
      </c>
      <c r="F23" s="370">
        <f>(C23-E23)/E23</f>
        <v>7.8651685393258425E-2</v>
      </c>
      <c r="G23" s="369">
        <f>SUM([2]Frontier!$DJ$19:$DJ$19)</f>
        <v>192</v>
      </c>
      <c r="H23" s="369">
        <f>SUM([2]Frontier!$CV$19:$CV$19)</f>
        <v>178</v>
      </c>
      <c r="I23" s="370">
        <f>(G23-H23)/H23</f>
        <v>7.8651685393258425E-2</v>
      </c>
      <c r="J23" s="366" t="s">
        <v>51</v>
      </c>
      <c r="K23" s="382"/>
      <c r="L23" s="367">
        <f>[2]Frontier!$DJ$41</f>
        <v>26918</v>
      </c>
      <c r="M23" s="368">
        <f>L23/$L$54</f>
        <v>1.0897508042164992E-2</v>
      </c>
      <c r="N23" s="369">
        <f>[2]Frontier!$CV$41</f>
        <v>25011</v>
      </c>
      <c r="O23" s="370">
        <f>(L23-N23)/N23</f>
        <v>7.6246451561313017E-2</v>
      </c>
      <c r="P23" s="369">
        <f>SUM([2]Frontier!$DJ$41:$DJ$41)</f>
        <v>26918</v>
      </c>
      <c r="Q23" s="369">
        <f>SUM([2]Frontier!$CV$41:$CV$41)</f>
        <v>25011</v>
      </c>
      <c r="R23" s="370">
        <f>(P23-Q23)/Q23</f>
        <v>7.6246451561313017E-2</v>
      </c>
      <c r="T23" s="341"/>
      <c r="U23"/>
    </row>
    <row r="24" spans="1:21" s="7" customFormat="1" ht="14.1" customHeight="1" x14ac:dyDescent="0.2">
      <c r="A24" s="366"/>
      <c r="B24" s="382"/>
      <c r="C24" s="367"/>
      <c r="D24" s="368"/>
      <c r="E24" s="182"/>
      <c r="F24" s="370"/>
      <c r="G24" s="369"/>
      <c r="H24" s="369"/>
      <c r="I24" s="370"/>
      <c r="J24" s="366"/>
      <c r="K24" s="382"/>
      <c r="L24" s="371"/>
      <c r="M24" s="41"/>
      <c r="N24" s="9"/>
      <c r="O24" s="89"/>
      <c r="P24" s="9"/>
      <c r="Q24" s="9"/>
      <c r="R24" s="89"/>
      <c r="T24" s="341"/>
    </row>
    <row r="25" spans="1:21" s="7" customFormat="1" ht="14.1" customHeight="1" x14ac:dyDescent="0.2">
      <c r="A25" s="366" t="s">
        <v>179</v>
      </c>
      <c r="B25" s="382"/>
      <c r="C25" s="367">
        <f>'[2]Great Lakes'!$DJ$19</f>
        <v>510</v>
      </c>
      <c r="D25" s="368">
        <f>C25/$C$54</f>
        <v>1.6800632494399788E-2</v>
      </c>
      <c r="E25" s="369">
        <f>'[2]Great Lakes'!$CV$19</f>
        <v>1132</v>
      </c>
      <c r="F25" s="370">
        <f>(C25-E25)/E25</f>
        <v>-0.54946996466431097</v>
      </c>
      <c r="G25" s="369">
        <f>SUM('[2]Great Lakes'!$DJ$19:$DJ$19)</f>
        <v>510</v>
      </c>
      <c r="H25" s="369">
        <f>SUM('[2]Great Lakes'!$CV$19:$CV$19)</f>
        <v>1132</v>
      </c>
      <c r="I25" s="370">
        <f>(G25-H25)/H25</f>
        <v>-0.54946996466431097</v>
      </c>
      <c r="J25" s="366" t="s">
        <v>179</v>
      </c>
      <c r="K25" s="382"/>
      <c r="L25" s="367">
        <f>'[2]Great Lakes'!$DJ$41</f>
        <v>2766</v>
      </c>
      <c r="M25" s="368">
        <f>L25/$L$54</f>
        <v>1.1197900009149405E-3</v>
      </c>
      <c r="N25" s="369">
        <f>'[2]Great Lakes'!$CV$41</f>
        <v>3718</v>
      </c>
      <c r="O25" s="370">
        <f>(L25-N25)/N25</f>
        <v>-0.25605164066702529</v>
      </c>
      <c r="P25" s="369">
        <f>SUM('[2]Great Lakes'!$DJ$41:$DJ$41)</f>
        <v>2766</v>
      </c>
      <c r="Q25" s="369">
        <f>SUM('[2]Great Lakes'!$CV$41:$CV$41)</f>
        <v>3718</v>
      </c>
      <c r="R25" s="370">
        <f>(P25-Q25)/Q25</f>
        <v>-0.25605164066702529</v>
      </c>
      <c r="T25" s="341"/>
    </row>
    <row r="26" spans="1:21" s="7" customFormat="1" ht="14.1" customHeight="1" x14ac:dyDescent="0.2">
      <c r="A26" s="366"/>
      <c r="B26" s="382"/>
      <c r="C26" s="367"/>
      <c r="D26" s="368"/>
      <c r="E26" s="182"/>
      <c r="F26" s="370"/>
      <c r="G26" s="369"/>
      <c r="H26" s="369"/>
      <c r="I26" s="370"/>
      <c r="J26" s="366"/>
      <c r="K26" s="382"/>
      <c r="L26" s="371"/>
      <c r="M26" s="41"/>
      <c r="N26" s="9"/>
      <c r="O26" s="89"/>
      <c r="P26" s="9"/>
      <c r="Q26" s="9"/>
      <c r="R26" s="89"/>
      <c r="T26" s="341"/>
    </row>
    <row r="27" spans="1:21" s="7" customFormat="1" ht="14.1" customHeight="1" x14ac:dyDescent="0.2">
      <c r="A27" s="366" t="s">
        <v>52</v>
      </c>
      <c r="B27" s="382"/>
      <c r="C27" s="367">
        <f>[2]Icelandair!$DJ$19</f>
        <v>0</v>
      </c>
      <c r="D27" s="368">
        <f>C27/$C$54</f>
        <v>0</v>
      </c>
      <c r="E27" s="369">
        <f>[2]Icelandair!$CV$19</f>
        <v>0</v>
      </c>
      <c r="F27" s="370" t="e">
        <f>(C27-E27)/E27</f>
        <v>#DIV/0!</v>
      </c>
      <c r="G27" s="369">
        <f>SUM([2]Icelandair!$DJ$19:$DJ$19)</f>
        <v>0</v>
      </c>
      <c r="H27" s="369">
        <f>SUM([2]Icelandair!$CV$19:$CV$19)</f>
        <v>0</v>
      </c>
      <c r="I27" s="370" t="e">
        <f>(G27-H27)/H27</f>
        <v>#DIV/0!</v>
      </c>
      <c r="J27" s="366" t="s">
        <v>52</v>
      </c>
      <c r="K27" s="382"/>
      <c r="L27" s="367">
        <f>[2]Icelandair!$DJ$41</f>
        <v>0</v>
      </c>
      <c r="M27" s="368">
        <f>L27/$L$54</f>
        <v>0</v>
      </c>
      <c r="N27" s="369">
        <f>[2]Icelandair!$CV$41</f>
        <v>0</v>
      </c>
      <c r="O27" s="370" t="e">
        <f>(L27-N27)/N27</f>
        <v>#DIV/0!</v>
      </c>
      <c r="P27" s="369">
        <f>SUM([2]Icelandair!$DJ$41:$DJ$41)</f>
        <v>0</v>
      </c>
      <c r="Q27" s="369">
        <f>SUM([2]Icelandair!$CV$41:$CV$41)</f>
        <v>0</v>
      </c>
      <c r="R27" s="370" t="e">
        <f>(P27-Q27)/Q27</f>
        <v>#DIV/0!</v>
      </c>
      <c r="T27" s="21"/>
    </row>
    <row r="28" spans="1:21" s="7" customFormat="1" ht="14.1" customHeight="1" x14ac:dyDescent="0.2">
      <c r="A28" s="366"/>
      <c r="B28" s="382"/>
      <c r="C28" s="367"/>
      <c r="D28" s="368"/>
      <c r="E28" s="182"/>
      <c r="F28" s="370"/>
      <c r="G28" s="369"/>
      <c r="H28" s="369"/>
      <c r="I28" s="370"/>
      <c r="J28" s="366"/>
      <c r="K28" s="382"/>
      <c r="L28" s="371"/>
      <c r="M28" s="41"/>
      <c r="N28" s="9"/>
      <c r="O28" s="89"/>
      <c r="P28" s="9"/>
      <c r="Q28" s="9"/>
      <c r="R28" s="89"/>
      <c r="T28" s="21"/>
    </row>
    <row r="29" spans="1:21" ht="14.1" customHeight="1" x14ac:dyDescent="0.2">
      <c r="A29" s="378" t="s">
        <v>145</v>
      </c>
      <c r="B29" s="58"/>
      <c r="C29" s="367">
        <f>SUM(C30:C31)</f>
        <v>1360</v>
      </c>
      <c r="D29" s="368">
        <f>C29/$C$54</f>
        <v>4.4801686651732772E-2</v>
      </c>
      <c r="E29" s="369">
        <f>SUM(E30:E31)</f>
        <v>1360</v>
      </c>
      <c r="F29" s="370">
        <f>(C29-E29)/E29</f>
        <v>0</v>
      </c>
      <c r="G29" s="367">
        <f>SUM(G30:G31)</f>
        <v>1360</v>
      </c>
      <c r="H29" s="369">
        <f>SUM(H30:H31)</f>
        <v>1360</v>
      </c>
      <c r="I29" s="370">
        <f>(G29-H29)/H29</f>
        <v>0</v>
      </c>
      <c r="J29" s="366" t="s">
        <v>145</v>
      </c>
      <c r="K29" s="58"/>
      <c r="L29" s="367">
        <f>SUM(L30:L31)</f>
        <v>127620</v>
      </c>
      <c r="M29" s="368">
        <f>L29/$L$54</f>
        <v>5.1665798957615583E-2</v>
      </c>
      <c r="N29" s="369">
        <f>SUM(N30:N31)</f>
        <v>119107</v>
      </c>
      <c r="O29" s="370">
        <f>(L29-N29)/N29</f>
        <v>7.1473548993761918E-2</v>
      </c>
      <c r="P29" s="367">
        <f>SUM(P30:P31)</f>
        <v>127620</v>
      </c>
      <c r="Q29" s="369">
        <f>SUM(Q30:Q31)</f>
        <v>119107</v>
      </c>
      <c r="R29" s="370">
        <f>(P29-Q29)/Q29</f>
        <v>7.1473548993761918E-2</v>
      </c>
      <c r="T29" s="21"/>
    </row>
    <row r="30" spans="1:21" ht="14.1" customHeight="1" x14ac:dyDescent="0.2">
      <c r="A30" s="378"/>
      <c r="B30" s="58" t="s">
        <v>145</v>
      </c>
      <c r="C30" s="471">
        <f>[2]Southwest!$DJ$19</f>
        <v>1136</v>
      </c>
      <c r="D30" s="472">
        <f>C30/$C$54</f>
        <v>3.7422585320859139E-2</v>
      </c>
      <c r="E30" s="307">
        <f>[2]Southwest!$CV$19</f>
        <v>1112</v>
      </c>
      <c r="F30" s="473">
        <f>(C30-E30)/E30</f>
        <v>2.1582733812949641E-2</v>
      </c>
      <c r="G30" s="307">
        <f>SUM([2]Southwest!$DJ$19:$DJ$19)</f>
        <v>1136</v>
      </c>
      <c r="H30" s="307">
        <f>SUM([2]Southwest!$CV$19:$CV$19)</f>
        <v>1112</v>
      </c>
      <c r="I30" s="473">
        <f>(G30-H30)/H30</f>
        <v>2.1582733812949641E-2</v>
      </c>
      <c r="J30" s="366"/>
      <c r="K30" s="58" t="s">
        <v>145</v>
      </c>
      <c r="L30" s="471">
        <f>[2]Southwest!$DJ$41</f>
        <v>106323</v>
      </c>
      <c r="M30" s="472">
        <f>L30/$L$54</f>
        <v>4.304390175968157E-2</v>
      </c>
      <c r="N30" s="307">
        <f>[2]Southwest!$CV$41</f>
        <v>96054</v>
      </c>
      <c r="O30" s="473">
        <f>(L30-N30)/N30</f>
        <v>0.10690861390467862</v>
      </c>
      <c r="P30" s="307">
        <f>SUM([2]Southwest!$DJ$41:$DJ$41)</f>
        <v>106323</v>
      </c>
      <c r="Q30" s="307">
        <f>SUM([2]Southwest!$CV$41:$CV$41)</f>
        <v>96054</v>
      </c>
      <c r="R30" s="473">
        <f>(P30-Q30)/Q30</f>
        <v>0.10690861390467862</v>
      </c>
      <c r="T30" s="21"/>
    </row>
    <row r="31" spans="1:21" ht="14.1" customHeight="1" x14ac:dyDescent="0.2">
      <c r="A31" s="378"/>
      <c r="B31" s="58" t="s">
        <v>205</v>
      </c>
      <c r="C31" s="471">
        <f>[2]AirTran!$DJ$19</f>
        <v>224</v>
      </c>
      <c r="D31" s="472">
        <f>C31/$C$54</f>
        <v>7.3791013308736331E-3</v>
      </c>
      <c r="E31" s="307">
        <f>[2]AirTran!$CV$19</f>
        <v>248</v>
      </c>
      <c r="F31" s="473">
        <f>(C31-E31)/E31</f>
        <v>-9.6774193548387094E-2</v>
      </c>
      <c r="G31" s="307">
        <f>SUM([2]AirTran!$DJ$19:$DJ$19)</f>
        <v>224</v>
      </c>
      <c r="H31" s="307">
        <f>SUM([2]AirTran!$CV$19:$CV$19)</f>
        <v>248</v>
      </c>
      <c r="I31" s="473">
        <f>(G31-H31)/H31</f>
        <v>-9.6774193548387094E-2</v>
      </c>
      <c r="J31" s="366"/>
      <c r="K31" s="58" t="s">
        <v>205</v>
      </c>
      <c r="L31" s="471">
        <f>[2]AirTran!$DJ$41</f>
        <v>21297</v>
      </c>
      <c r="M31" s="472">
        <f>L31/$L$54</f>
        <v>8.6218971979340163E-3</v>
      </c>
      <c r="N31" s="307">
        <f>[2]AirTran!$CV$41</f>
        <v>23053</v>
      </c>
      <c r="O31" s="473">
        <f>(L31-N31)/N31</f>
        <v>-7.6172298616232162E-2</v>
      </c>
      <c r="P31" s="307">
        <f>SUM([2]AirTran!$DJ$41:$DJ$41)</f>
        <v>21297</v>
      </c>
      <c r="Q31" s="307">
        <f>SUM([2]AirTran!$CV$41:$CV$41)</f>
        <v>23053</v>
      </c>
      <c r="R31" s="473">
        <f>(P31-Q31)/Q31</f>
        <v>-7.6172298616232162E-2</v>
      </c>
      <c r="T31" s="21"/>
    </row>
    <row r="32" spans="1:21" ht="14.1" customHeight="1" x14ac:dyDescent="0.2">
      <c r="A32" s="366"/>
      <c r="B32" s="58"/>
      <c r="C32" s="367"/>
      <c r="D32" s="368"/>
      <c r="E32" s="182"/>
      <c r="F32" s="370"/>
      <c r="G32" s="369"/>
      <c r="H32" s="369"/>
      <c r="I32" s="370"/>
      <c r="J32" s="366"/>
      <c r="K32" s="58"/>
      <c r="L32" s="371"/>
      <c r="M32" s="41"/>
      <c r="N32" s="9"/>
      <c r="O32" s="89"/>
      <c r="P32" s="9"/>
      <c r="Q32" s="9"/>
      <c r="R32" s="89"/>
      <c r="T32" s="21"/>
      <c r="U32" s="7"/>
    </row>
    <row r="33" spans="1:21" ht="14.1" customHeight="1" x14ac:dyDescent="0.2">
      <c r="A33" s="366" t="s">
        <v>181</v>
      </c>
      <c r="B33" s="58"/>
      <c r="C33" s="367">
        <f>[2]Spirit!$DJ$19</f>
        <v>681</v>
      </c>
      <c r="D33" s="368">
        <f>C33/$C$54</f>
        <v>2.2433785742522073E-2</v>
      </c>
      <c r="E33" s="369">
        <f>[2]Spirit!$CV$19</f>
        <v>310</v>
      </c>
      <c r="F33" s="370">
        <f>(C33-E33)/E33</f>
        <v>1.1967741935483871</v>
      </c>
      <c r="G33" s="369">
        <f>SUM([2]Spirit!$DJ$19:$DJ$19)</f>
        <v>681</v>
      </c>
      <c r="H33" s="369">
        <f>SUM([2]Spirit!$CV$19:$CV$19)</f>
        <v>310</v>
      </c>
      <c r="I33" s="370">
        <f>(G33-H33)/H33</f>
        <v>1.1967741935483871</v>
      </c>
      <c r="J33" s="366" t="s">
        <v>181</v>
      </c>
      <c r="K33" s="58"/>
      <c r="L33" s="367">
        <f>[2]Spirit!$DJ$41</f>
        <v>87200</v>
      </c>
      <c r="M33" s="368">
        <f>L33/$L$54</f>
        <v>3.5302128734556328E-2</v>
      </c>
      <c r="N33" s="369">
        <f>[2]Spirit!$CV$41</f>
        <v>39201</v>
      </c>
      <c r="O33" s="370">
        <f>(L33-N33)/N33</f>
        <v>1.2244330501772913</v>
      </c>
      <c r="P33" s="369">
        <f>SUM([2]Spirit!$DJ$41:$DJ$41)</f>
        <v>87200</v>
      </c>
      <c r="Q33" s="369">
        <f>SUM([2]Spirit!$CV$41:$CV$41)</f>
        <v>39201</v>
      </c>
      <c r="R33" s="370">
        <f>(P33-Q33)/Q33</f>
        <v>1.2244330501772913</v>
      </c>
      <c r="T33" s="21"/>
      <c r="U33" s="7"/>
    </row>
    <row r="34" spans="1:21" ht="14.1" customHeight="1" x14ac:dyDescent="0.2">
      <c r="A34" s="366"/>
      <c r="B34" s="58"/>
      <c r="C34" s="367"/>
      <c r="D34" s="368"/>
      <c r="E34" s="182"/>
      <c r="F34" s="370"/>
      <c r="G34" s="369"/>
      <c r="H34" s="369"/>
      <c r="I34" s="370"/>
      <c r="J34" s="366"/>
      <c r="K34" s="58"/>
      <c r="L34" s="371"/>
      <c r="M34" s="41"/>
      <c r="N34" s="9"/>
      <c r="O34" s="89"/>
      <c r="P34" s="9"/>
      <c r="Q34" s="9"/>
      <c r="R34" s="89"/>
      <c r="T34" s="21"/>
      <c r="U34" s="7"/>
    </row>
    <row r="35" spans="1:21" s="7" customFormat="1" ht="14.1" customHeight="1" x14ac:dyDescent="0.2">
      <c r="A35" s="366" t="s">
        <v>53</v>
      </c>
      <c r="B35" s="382"/>
      <c r="C35" s="367">
        <f>'[2]Sun Country'!$DJ$19</f>
        <v>1549</v>
      </c>
      <c r="D35" s="368">
        <f>C35/$C$54</f>
        <v>5.1027803399657401E-2</v>
      </c>
      <c r="E35" s="369">
        <f>'[2]Sun Country'!$CV$19</f>
        <v>963</v>
      </c>
      <c r="F35" s="370">
        <f>(C35-E35)/E35</f>
        <v>0.60851505711318798</v>
      </c>
      <c r="G35" s="369">
        <f>SUM('[2]Sun Country'!$DJ$19:$DJ$19)</f>
        <v>1549</v>
      </c>
      <c r="H35" s="369">
        <f>SUM('[2]Sun Country'!$CV$19:$CV$19)</f>
        <v>963</v>
      </c>
      <c r="I35" s="370">
        <f>(G35-H35)/H35</f>
        <v>0.60851505711318798</v>
      </c>
      <c r="J35" s="366" t="s">
        <v>53</v>
      </c>
      <c r="K35" s="382"/>
      <c r="L35" s="367">
        <f>'[2]Sun Country'!$DJ$41</f>
        <v>145640</v>
      </c>
      <c r="M35" s="368">
        <f>L35/$L$54</f>
        <v>5.8961032441522752E-2</v>
      </c>
      <c r="N35" s="369">
        <f>'[2]Sun Country'!$CV$41</f>
        <v>120906</v>
      </c>
      <c r="O35" s="370">
        <f>(L35-N35)/N35</f>
        <v>0.20457214695714027</v>
      </c>
      <c r="P35" s="369">
        <f>SUM('[2]Sun Country'!$DJ$41:$DJ$41)</f>
        <v>145640</v>
      </c>
      <c r="Q35" s="369">
        <f>SUM('[2]Sun Country'!$CV$41:$CV$41)</f>
        <v>120906</v>
      </c>
      <c r="R35" s="370">
        <f>(P35-Q35)/Q35</f>
        <v>0.20457214695714027</v>
      </c>
      <c r="T35" s="21"/>
    </row>
    <row r="36" spans="1:21" s="7" customFormat="1" ht="14.1" customHeight="1" x14ac:dyDescent="0.2">
      <c r="A36" s="366"/>
      <c r="B36" s="382"/>
      <c r="C36" s="367"/>
      <c r="D36" s="368"/>
      <c r="E36" s="182"/>
      <c r="F36" s="370"/>
      <c r="G36" s="369"/>
      <c r="H36" s="369"/>
      <c r="I36" s="370"/>
      <c r="J36" s="366"/>
      <c r="K36" s="382"/>
      <c r="L36" s="371"/>
      <c r="M36" s="41"/>
      <c r="N36" s="9"/>
      <c r="O36" s="89"/>
      <c r="P36" s="9"/>
      <c r="Q36" s="9"/>
      <c r="R36" s="89"/>
      <c r="T36" s="21"/>
    </row>
    <row r="37" spans="1:21" s="7" customFormat="1" ht="14.1" customHeight="1" x14ac:dyDescent="0.2">
      <c r="A37" s="366" t="s">
        <v>21</v>
      </c>
      <c r="B37" s="374"/>
      <c r="C37" s="367">
        <f>SUM(C38:C44)</f>
        <v>1372</v>
      </c>
      <c r="D37" s="368">
        <f>C37/$C$54</f>
        <v>4.5196995651600999E-2</v>
      </c>
      <c r="E37" s="182">
        <f>SUM(E38:E44)</f>
        <v>1671</v>
      </c>
      <c r="F37" s="370">
        <f t="shared" ref="F37:F44" si="6">(C37-E37)/E37</f>
        <v>-0.17893476959904248</v>
      </c>
      <c r="G37" s="369">
        <f>SUM(G38:G44)</f>
        <v>1372</v>
      </c>
      <c r="H37" s="369">
        <f>SUM(H38:H44)</f>
        <v>1671</v>
      </c>
      <c r="I37" s="370">
        <f t="shared" ref="I37:I44" si="7">(G37-H37)/H37</f>
        <v>-0.17893476959904248</v>
      </c>
      <c r="J37" s="366" t="s">
        <v>21</v>
      </c>
      <c r="K37" s="374"/>
      <c r="L37" s="367">
        <f>SUM(L38:L44)</f>
        <v>77829</v>
      </c>
      <c r="M37" s="368">
        <f>L37/$L$54</f>
        <v>3.1508364418369093E-2</v>
      </c>
      <c r="N37" s="369">
        <f>SUM(N38:N44)</f>
        <v>102589</v>
      </c>
      <c r="O37" s="370">
        <f t="shared" ref="O37:O44" si="8">(L37-N37)/N37</f>
        <v>-0.2413514119447504</v>
      </c>
      <c r="P37" s="369">
        <f>SUM(P38:P44)</f>
        <v>77829</v>
      </c>
      <c r="Q37" s="369">
        <f>SUM(Q38:Q44)</f>
        <v>107375</v>
      </c>
      <c r="R37" s="370">
        <f t="shared" ref="R37:R44" si="9">(P37-Q37)/Q37</f>
        <v>-0.27516647264260768</v>
      </c>
      <c r="T37" s="21"/>
      <c r="U37"/>
    </row>
    <row r="38" spans="1:21" s="7" customFormat="1" ht="14.1" customHeight="1" x14ac:dyDescent="0.2">
      <c r="A38" s="383"/>
      <c r="B38" s="375" t="s">
        <v>191</v>
      </c>
      <c r="C38" s="371">
        <f>[2]United!$DJ$19</f>
        <v>342</v>
      </c>
      <c r="D38" s="41">
        <f>C38/$C$54</f>
        <v>1.1266306496244565E-2</v>
      </c>
      <c r="E38" s="9">
        <f>[2]United!$CV$19+[2]Continental!$CV$19</f>
        <v>512</v>
      </c>
      <c r="F38" s="89">
        <f t="shared" si="6"/>
        <v>-0.33203125</v>
      </c>
      <c r="G38" s="9">
        <f>SUM([2]United!$DJ$19:$DJ$19)</f>
        <v>342</v>
      </c>
      <c r="H38" s="9">
        <f>SUM([2]United!$CV$19:$CV$19)+SUM([2]Continental!$CV$19:$CV$19)</f>
        <v>512</v>
      </c>
      <c r="I38" s="89">
        <f t="shared" si="7"/>
        <v>-0.33203125</v>
      </c>
      <c r="J38" s="383"/>
      <c r="K38" s="375" t="s">
        <v>191</v>
      </c>
      <c r="L38" s="371">
        <f>[2]United!$DJ$41</f>
        <v>31165</v>
      </c>
      <c r="M38" s="41">
        <f>L38/$L$54</f>
        <v>1.2616867454271194E-2</v>
      </c>
      <c r="N38" s="9">
        <f>[2]United!$CV$41+[2]Continental!$CV$41</f>
        <v>50828</v>
      </c>
      <c r="O38" s="89">
        <f t="shared" si="8"/>
        <v>-0.38685370268356023</v>
      </c>
      <c r="P38" s="9">
        <f>SUM([2]United!$DJ$41:$DJ$41)</f>
        <v>31165</v>
      </c>
      <c r="Q38" s="9">
        <f>SUM([2]United!$CV$41:$CV$41)+SUM([2]Continental!$CV$41:$CV$41)</f>
        <v>50828</v>
      </c>
      <c r="R38" s="89">
        <f t="shared" si="9"/>
        <v>-0.38685370268356023</v>
      </c>
      <c r="T38" s="21"/>
    </row>
    <row r="39" spans="1:21" s="7" customFormat="1" ht="14.1" customHeight="1" x14ac:dyDescent="0.2">
      <c r="A39" s="383"/>
      <c r="B39" s="375" t="s">
        <v>190</v>
      </c>
      <c r="C39" s="371">
        <f>[2]Chautaqua_Continental!$DJ$19</f>
        <v>36</v>
      </c>
      <c r="D39" s="41">
        <f>C39/$C$54</f>
        <v>1.185926999604691E-3</v>
      </c>
      <c r="E39" s="9">
        <f>[2]Chautaqua_Continental!$CV$19</f>
        <v>53</v>
      </c>
      <c r="F39" s="89">
        <f t="shared" si="6"/>
        <v>-0.32075471698113206</v>
      </c>
      <c r="G39" s="9">
        <f>SUM([2]Chautaqua_Continental!$DJ$19:$DJ$19)</f>
        <v>36</v>
      </c>
      <c r="H39" s="9">
        <f>SUM([2]Chautaqua_Continental!$CV$19:$CV$19)</f>
        <v>53</v>
      </c>
      <c r="I39" s="89">
        <f t="shared" si="7"/>
        <v>-0.32075471698113206</v>
      </c>
      <c r="J39" s="55"/>
      <c r="K39" s="376" t="s">
        <v>131</v>
      </c>
      <c r="L39" s="371">
        <f>[2]Chautaqua_Continental!$DJ$41</f>
        <v>1257</v>
      </c>
      <c r="M39" s="41">
        <f>L39/$L$54</f>
        <v>5.0888504379973981E-4</v>
      </c>
      <c r="N39" s="9">
        <f>[2]Chautaqua_Continental!$CV$41</f>
        <v>2003</v>
      </c>
      <c r="O39" s="89">
        <f t="shared" si="8"/>
        <v>-0.37244133799301049</v>
      </c>
      <c r="P39" s="9">
        <f>SUM([2]Chautaqua_Continental!$DJ$41:$DJ$41)</f>
        <v>1257</v>
      </c>
      <c r="Q39" s="9">
        <f>SUM([2]Chautaqua_Continental!$CV$41:$CV$41)</f>
        <v>2003</v>
      </c>
      <c r="R39" s="89">
        <f t="shared" si="9"/>
        <v>-0.37244133799301049</v>
      </c>
      <c r="T39" s="21"/>
    </row>
    <row r="40" spans="1:21" s="7" customFormat="1" ht="14.1" customHeight="1" x14ac:dyDescent="0.2">
      <c r="A40" s="383"/>
      <c r="B40" s="375" t="s">
        <v>209</v>
      </c>
      <c r="C40" s="371">
        <f>'[2]Continental Express'!$DJ$19</f>
        <v>422</v>
      </c>
      <c r="D40" s="41">
        <f>C40/$C$53</f>
        <v>2.7411497239363428E-2</v>
      </c>
      <c r="E40" s="9">
        <f>'[2]Continental Express'!$CV$19</f>
        <v>418</v>
      </c>
      <c r="F40" s="89">
        <f t="shared" si="6"/>
        <v>9.5693779904306216E-3</v>
      </c>
      <c r="G40" s="9">
        <f>SUM('[2]Continental Express'!$DJ$19:$DJ$19)</f>
        <v>422</v>
      </c>
      <c r="H40" s="9">
        <f>SUM('[2]Continental Express'!$CV$19:$CV$19)</f>
        <v>418</v>
      </c>
      <c r="I40" s="89">
        <f t="shared" si="7"/>
        <v>9.5693779904306216E-3</v>
      </c>
      <c r="J40" s="55"/>
      <c r="K40" s="375" t="s">
        <v>209</v>
      </c>
      <c r="L40" s="371">
        <f>'[2]Continental Express'!$DJ$41</f>
        <v>14930</v>
      </c>
      <c r="M40" s="41">
        <f>L40/$L$53</f>
        <v>2.1175592895326195E-2</v>
      </c>
      <c r="N40" s="9">
        <f>'[2]Continental Express'!$CV$41</f>
        <v>15027</v>
      </c>
      <c r="O40" s="89">
        <f t="shared" si="8"/>
        <v>-6.4550475810208289E-3</v>
      </c>
      <c r="P40" s="9">
        <f>SUM('[2]Continental Express'!$DJ$41:$DJ$41)</f>
        <v>14930</v>
      </c>
      <c r="Q40" s="9">
        <f>SUM('[2]Continental Express'!$BT$41)</f>
        <v>19813</v>
      </c>
      <c r="R40" s="89">
        <f t="shared" si="9"/>
        <v>-0.24645434815525161</v>
      </c>
      <c r="T40" s="21"/>
    </row>
    <row r="41" spans="1:21" s="7" customFormat="1" ht="14.1" customHeight="1" x14ac:dyDescent="0.2">
      <c r="A41" s="383"/>
      <c r="B41" s="375" t="s">
        <v>180</v>
      </c>
      <c r="C41" s="371">
        <f>'[2]Go Jet_UA'!$DJ$19</f>
        <v>296</v>
      </c>
      <c r="D41" s="41">
        <f>C41/$C$54</f>
        <v>9.7509553300830151E-3</v>
      </c>
      <c r="E41" s="9">
        <f>'[2]Go Jet_UA'!$CV$19</f>
        <v>0</v>
      </c>
      <c r="F41" s="89" t="e">
        <f t="shared" si="6"/>
        <v>#DIV/0!</v>
      </c>
      <c r="G41" s="9">
        <f>SUM('[2]Go Jet_UA'!$DJ$19:$DJ$19)</f>
        <v>296</v>
      </c>
      <c r="H41" s="9">
        <f>SUM('[2]Go Jet_UA'!$CV$19:$CV$19)</f>
        <v>0</v>
      </c>
      <c r="I41" s="89" t="e">
        <f t="shared" si="7"/>
        <v>#DIV/0!</v>
      </c>
      <c r="J41" s="383"/>
      <c r="K41" s="376" t="s">
        <v>180</v>
      </c>
      <c r="L41" s="371">
        <f>'[2]Go Jet_UA'!$DJ$41</f>
        <v>16078</v>
      </c>
      <c r="M41" s="41">
        <f>L41/$L$54</f>
        <v>6.5090324058967508E-3</v>
      </c>
      <c r="N41" s="9">
        <f>'[2]Go Jet_UA'!$CV$41</f>
        <v>0</v>
      </c>
      <c r="O41" s="89" t="e">
        <f t="shared" si="8"/>
        <v>#DIV/0!</v>
      </c>
      <c r="P41" s="9">
        <f>SUM('[2]Go Jet_UA'!$DJ$41:$DJ$41)</f>
        <v>16078</v>
      </c>
      <c r="Q41" s="9">
        <f>SUM('[2]Go Jet_UA'!$CV$41:$CV$41)</f>
        <v>0</v>
      </c>
      <c r="R41" s="89" t="e">
        <f t="shared" si="9"/>
        <v>#DIV/0!</v>
      </c>
      <c r="T41" s="21"/>
    </row>
    <row r="42" spans="1:21" s="7" customFormat="1" ht="14.1" customHeight="1" x14ac:dyDescent="0.2">
      <c r="A42" s="383"/>
      <c r="B42" s="375" t="s">
        <v>57</v>
      </c>
      <c r="C42" s="371">
        <f>[2]MESA_UA!$DJ$19</f>
        <v>50</v>
      </c>
      <c r="D42" s="41">
        <f>C42/$C$54</f>
        <v>1.6471208327842931E-3</v>
      </c>
      <c r="E42" s="9">
        <f>[2]MESA_UA!$CV$19</f>
        <v>0</v>
      </c>
      <c r="F42" s="89" t="e">
        <f>(C42-E42)/E42</f>
        <v>#DIV/0!</v>
      </c>
      <c r="G42" s="9">
        <f>SUM([2]MESA_UA!$DJ$19:$DJ$19)</f>
        <v>50</v>
      </c>
      <c r="H42" s="9">
        <f>SUM([2]MESA_UA!$CV$19:$CV$19)</f>
        <v>0</v>
      </c>
      <c r="I42" s="89" t="e">
        <f>(G42-H42)/H42</f>
        <v>#DIV/0!</v>
      </c>
      <c r="J42" s="383"/>
      <c r="K42" s="376" t="s">
        <v>57</v>
      </c>
      <c r="L42" s="371">
        <f>[2]MESA_UA!$DJ$41</f>
        <v>2641</v>
      </c>
      <c r="M42" s="41">
        <f>L42/$L$54</f>
        <v>1.069184885183065E-3</v>
      </c>
      <c r="N42" s="9">
        <f>[2]MESA_UA!$CV$41</f>
        <v>0</v>
      </c>
      <c r="O42" s="89" t="e">
        <f>(L42-N42)/N42</f>
        <v>#DIV/0!</v>
      </c>
      <c r="P42" s="9">
        <f>SUM([2]MESA_UA!$DJ$41:$DJ$41)</f>
        <v>2641</v>
      </c>
      <c r="Q42" s="9">
        <f>SUM([2]MESA_UA!$CV$41:$CV$41)</f>
        <v>0</v>
      </c>
      <c r="R42" s="89" t="e">
        <f t="shared" si="9"/>
        <v>#DIV/0!</v>
      </c>
      <c r="T42" s="21"/>
    </row>
    <row r="43" spans="1:21" s="7" customFormat="1" ht="14.1" customHeight="1" x14ac:dyDescent="0.2">
      <c r="A43" s="383"/>
      <c r="B43" s="375" t="s">
        <v>110</v>
      </c>
      <c r="C43" s="371">
        <f>'[2]Sky West_UA'!$DJ$19</f>
        <v>60</v>
      </c>
      <c r="D43" s="41">
        <f>C43/$C$54</f>
        <v>1.9765449993411517E-3</v>
      </c>
      <c r="E43" s="9">
        <f>'[2]Sky West_UA'!$CV$19+'[2]Sky West_CO'!$CV$19</f>
        <v>188</v>
      </c>
      <c r="F43" s="89">
        <f t="shared" si="6"/>
        <v>-0.68085106382978722</v>
      </c>
      <c r="G43" s="9">
        <f>SUM('[2]Sky West_UA'!$DJ$19:$DJ$19)</f>
        <v>60</v>
      </c>
      <c r="H43" s="9">
        <f>SUM('[2]Sky West_UA'!$CV$19:$CV$19)+SUM('[2]Sky West_CO'!$CV$19:$CV$19)</f>
        <v>188</v>
      </c>
      <c r="I43" s="89">
        <f t="shared" si="7"/>
        <v>-0.68085106382978722</v>
      </c>
      <c r="J43" s="383"/>
      <c r="K43" s="375" t="s">
        <v>110</v>
      </c>
      <c r="L43" s="371">
        <f>'[2]Sky West_UA'!$DJ$41</f>
        <v>2970</v>
      </c>
      <c r="M43" s="41">
        <f>L43/$L$54</f>
        <v>1.2023775497893613E-3</v>
      </c>
      <c r="N43" s="9">
        <f>'[2]Sky West_UA'!$CV$41+'[2]Sky West_CO'!$CV$41</f>
        <v>10668</v>
      </c>
      <c r="O43" s="89">
        <f t="shared" si="8"/>
        <v>-0.72159730033745784</v>
      </c>
      <c r="P43" s="9">
        <f>SUM('[2]Sky West_UA'!$DJ$41:$DJ$41)</f>
        <v>2970</v>
      </c>
      <c r="Q43" s="9">
        <f>SUM('[2]Sky West_UA'!$CV$41:$CV$41)+SUM('[2]Sky West_CO'!$CV$41:$CV$41)</f>
        <v>10668</v>
      </c>
      <c r="R43" s="89">
        <f t="shared" si="9"/>
        <v>-0.72159730033745784</v>
      </c>
      <c r="T43" s="21"/>
    </row>
    <row r="44" spans="1:21" s="7" customFormat="1" ht="14.1" customHeight="1" x14ac:dyDescent="0.2">
      <c r="A44" s="383"/>
      <c r="B44" s="377" t="s">
        <v>148</v>
      </c>
      <c r="C44" s="371">
        <f>'[2]Shuttle America'!$DJ$19</f>
        <v>166</v>
      </c>
      <c r="D44" s="41">
        <f>C44/$C$54</f>
        <v>5.4684411648438531E-3</v>
      </c>
      <c r="E44" s="9">
        <f>'[2]Shuttle America'!$CV$19</f>
        <v>500</v>
      </c>
      <c r="F44" s="89">
        <f t="shared" si="6"/>
        <v>-0.66800000000000004</v>
      </c>
      <c r="G44" s="9">
        <f>SUM('[2]Shuttle America'!$DJ$19:$DJ$19)</f>
        <v>166</v>
      </c>
      <c r="H44" s="9">
        <f>SUM('[2]Shuttle America'!$CV$19:$CV$19)</f>
        <v>500</v>
      </c>
      <c r="I44" s="89">
        <f t="shared" si="7"/>
        <v>-0.66800000000000004</v>
      </c>
      <c r="J44" s="383"/>
      <c r="K44" s="377" t="s">
        <v>148</v>
      </c>
      <c r="L44" s="371">
        <f>'[2]Shuttle America'!$DJ$41</f>
        <v>8788</v>
      </c>
      <c r="M44" s="41">
        <f>L44/$L$54</f>
        <v>3.5577420564137734E-3</v>
      </c>
      <c r="N44" s="9">
        <f>'[2]Shuttle America'!$CV$41</f>
        <v>24063</v>
      </c>
      <c r="O44" s="89">
        <f t="shared" si="8"/>
        <v>-0.63479200432198812</v>
      </c>
      <c r="P44" s="9">
        <f>SUM('[2]Shuttle America'!$DJ$41:$DJ$41)</f>
        <v>8788</v>
      </c>
      <c r="Q44" s="9">
        <f>SUM('[2]Shuttle America'!$CV$41:$CV$41)</f>
        <v>24063</v>
      </c>
      <c r="R44" s="89">
        <f t="shared" si="9"/>
        <v>-0.63479200432198812</v>
      </c>
      <c r="T44" s="21"/>
    </row>
    <row r="45" spans="1:21" s="7" customFormat="1" ht="14.1" customHeight="1" x14ac:dyDescent="0.2">
      <c r="A45" s="383"/>
      <c r="B45" s="377"/>
      <c r="C45" s="371"/>
      <c r="D45" s="41"/>
      <c r="E45" s="5"/>
      <c r="F45" s="89"/>
      <c r="G45" s="9"/>
      <c r="H45" s="9"/>
      <c r="I45" s="89"/>
      <c r="J45" s="383"/>
      <c r="K45" s="377"/>
      <c r="L45" s="371"/>
      <c r="M45" s="41"/>
      <c r="N45" s="9"/>
      <c r="O45" s="89"/>
      <c r="P45" s="9"/>
      <c r="Q45" s="9"/>
      <c r="R45" s="89"/>
      <c r="T45" s="21"/>
    </row>
    <row r="46" spans="1:21" s="7" customFormat="1" ht="14.1" customHeight="1" x14ac:dyDescent="0.2">
      <c r="A46" s="378" t="s">
        <v>22</v>
      </c>
      <c r="B46" s="379"/>
      <c r="C46" s="367">
        <f>SUM(C47:C50)</f>
        <v>840</v>
      </c>
      <c r="D46" s="368">
        <f>C46/$C$54</f>
        <v>2.7671629990776124E-2</v>
      </c>
      <c r="E46" s="369">
        <f>SUM(E47:E50)</f>
        <v>895</v>
      </c>
      <c r="F46" s="370">
        <f>(C46-E46)/E46</f>
        <v>-6.1452513966480445E-2</v>
      </c>
      <c r="G46" s="369">
        <f>SUM(G47:G50)</f>
        <v>840</v>
      </c>
      <c r="H46" s="369">
        <f>SUM(H47:H50)</f>
        <v>895</v>
      </c>
      <c r="I46" s="370">
        <f>(G46-H46)/H46</f>
        <v>-6.1452513966480445E-2</v>
      </c>
      <c r="J46" s="378" t="s">
        <v>22</v>
      </c>
      <c r="K46" s="379"/>
      <c r="L46" s="367">
        <f>SUM(L47:L50)</f>
        <v>100954</v>
      </c>
      <c r="M46" s="368">
        <f>L46/$L$54</f>
        <v>4.0870310828766056E-2</v>
      </c>
      <c r="N46" s="369">
        <f>SUM(N47:N50)</f>
        <v>98671</v>
      </c>
      <c r="O46" s="370">
        <f>(L46-N46)/N46</f>
        <v>2.3137497339643869E-2</v>
      </c>
      <c r="P46" s="369">
        <f>SUM(P47:P50)</f>
        <v>100954</v>
      </c>
      <c r="Q46" s="369">
        <f>SUM(Q47:Q50)</f>
        <v>98671</v>
      </c>
      <c r="R46" s="370">
        <f>(P46-Q46)/Q46</f>
        <v>2.3137497339643869E-2</v>
      </c>
      <c r="T46" s="21"/>
      <c r="U46"/>
    </row>
    <row r="47" spans="1:21" s="7" customFormat="1" ht="14.1" customHeight="1" x14ac:dyDescent="0.2">
      <c r="A47" s="383"/>
      <c r="B47" s="375" t="s">
        <v>22</v>
      </c>
      <c r="C47" s="371">
        <f>'[2]US Airways'!$DJ$19</f>
        <v>656</v>
      </c>
      <c r="D47" s="41">
        <f>C47/$C$54</f>
        <v>2.1610225326129925E-2</v>
      </c>
      <c r="E47" s="9">
        <f>'[2]US Airways'!$CV$19</f>
        <v>674</v>
      </c>
      <c r="F47" s="89">
        <f>(C47-E47)/E47</f>
        <v>-2.6706231454005934E-2</v>
      </c>
      <c r="G47" s="9">
        <f>SUM('[2]US Airways'!$DJ$19:$DJ$19)</f>
        <v>656</v>
      </c>
      <c r="H47" s="9">
        <f>SUM('[2]US Airways'!$CV$19:$CV$19)</f>
        <v>674</v>
      </c>
      <c r="I47" s="89">
        <f>(G47-H47)/H47</f>
        <v>-2.6706231454005934E-2</v>
      </c>
      <c r="J47" s="383"/>
      <c r="K47" s="375" t="s">
        <v>22</v>
      </c>
      <c r="L47" s="371">
        <f>'[2]US Airways'!$DJ$41</f>
        <v>89894</v>
      </c>
      <c r="M47" s="41">
        <f>L47/$L$54</f>
        <v>3.6392770188809709E-2</v>
      </c>
      <c r="N47" s="9">
        <f>'[2]US Airways'!$CV$41</f>
        <v>87311</v>
      </c>
      <c r="O47" s="89">
        <f>(L47-N47)/N47</f>
        <v>2.9583901226649563E-2</v>
      </c>
      <c r="P47" s="9">
        <f>SUM('[2]US Airways'!$DJ$41:$DJ$41)</f>
        <v>89894</v>
      </c>
      <c r="Q47" s="9">
        <f>SUM('[2]US Airways'!$CV$41:$CV$41)</f>
        <v>87311</v>
      </c>
      <c r="R47" s="89">
        <f>(P47-Q47)/Q47</f>
        <v>2.9583901226649563E-2</v>
      </c>
      <c r="T47" s="342"/>
    </row>
    <row r="48" spans="1:21" s="7" customFormat="1" ht="14.1" customHeight="1" x14ac:dyDescent="0.2">
      <c r="A48" s="383"/>
      <c r="B48" s="377" t="s">
        <v>58</v>
      </c>
      <c r="C48" s="371">
        <f>[2]Republic!$DJ$19</f>
        <v>181</v>
      </c>
      <c r="D48" s="41">
        <f>C48/$C$54</f>
        <v>5.962577414679141E-3</v>
      </c>
      <c r="E48" s="9">
        <f>[2]Republic!$CV$19</f>
        <v>221</v>
      </c>
      <c r="F48" s="89">
        <f>(C48-E48)/E48</f>
        <v>-0.18099547511312217</v>
      </c>
      <c r="G48" s="9">
        <f>SUM([2]Republic!$DJ$19:$DJ$19)</f>
        <v>181</v>
      </c>
      <c r="H48" s="9">
        <f>SUM([2]Republic!$CV$19:$CV$19)</f>
        <v>221</v>
      </c>
      <c r="I48" s="89">
        <f>(G48-H48)/H48</f>
        <v>-0.18099547511312217</v>
      </c>
      <c r="J48" s="383"/>
      <c r="K48" s="377" t="s">
        <v>58</v>
      </c>
      <c r="L48" s="371">
        <f>[2]Republic!$DJ$41</f>
        <v>10815</v>
      </c>
      <c r="M48" s="41">
        <f>L48/$L$54</f>
        <v>4.3783546131218659E-3</v>
      </c>
      <c r="N48" s="9">
        <f>[2]Republic!$CV$41</f>
        <v>11360</v>
      </c>
      <c r="O48" s="89">
        <f>(L48-N48)/N48</f>
        <v>-4.7975352112676055E-2</v>
      </c>
      <c r="P48" s="9">
        <f>SUM([2]Republic!$DJ$41:$DJ$41)</f>
        <v>10815</v>
      </c>
      <c r="Q48" s="9">
        <f>SUM([2]Republic!$CV$41:$CV$41)</f>
        <v>11360</v>
      </c>
      <c r="R48" s="89">
        <f>(P48-Q48)/Q48</f>
        <v>-4.7975352112676055E-2</v>
      </c>
      <c r="T48" s="339"/>
    </row>
    <row r="49" spans="1:21" s="7" customFormat="1" ht="14.1" customHeight="1" x14ac:dyDescent="0.2">
      <c r="A49" s="383"/>
      <c r="B49" s="376" t="s">
        <v>109</v>
      </c>
      <c r="C49" s="371">
        <f>[2]MESA!$DJ$19</f>
        <v>0</v>
      </c>
      <c r="D49" s="41">
        <f>C49/$C$54</f>
        <v>0</v>
      </c>
      <c r="E49" s="9">
        <f>[2]MESA!$CV$19</f>
        <v>0</v>
      </c>
      <c r="F49" s="89" t="e">
        <f>(C49-E49)/E49</f>
        <v>#DIV/0!</v>
      </c>
      <c r="G49" s="9">
        <f>SUM([2]MESA!$DJ$19:$DJ$19)</f>
        <v>0</v>
      </c>
      <c r="H49" s="9">
        <f>SUM([2]MESA!$CV$19:$CV$19)</f>
        <v>0</v>
      </c>
      <c r="I49" s="89" t="e">
        <f>(G49-H49)/H49</f>
        <v>#DIV/0!</v>
      </c>
      <c r="J49" s="383"/>
      <c r="K49" s="376" t="s">
        <v>109</v>
      </c>
      <c r="L49" s="371">
        <f>[2]MESA!$DJ$41</f>
        <v>0</v>
      </c>
      <c r="M49" s="41">
        <f>L49/$L$54</f>
        <v>0</v>
      </c>
      <c r="N49" s="9">
        <f>[2]MESA!$CV$41</f>
        <v>0</v>
      </c>
      <c r="O49" s="89" t="e">
        <f>(L49-N49)/N49</f>
        <v>#DIV/0!</v>
      </c>
      <c r="P49" s="9">
        <f>SUM([2]MESA!$DJ$41:$DJ$41)</f>
        <v>0</v>
      </c>
      <c r="Q49" s="9">
        <f>SUM([2]MESA!$CV$41:$CV$41)</f>
        <v>0</v>
      </c>
      <c r="R49" s="89" t="e">
        <f>(P49-Q49)/Q49</f>
        <v>#DIV/0!</v>
      </c>
      <c r="T49" s="339"/>
      <c r="U49"/>
    </row>
    <row r="50" spans="1:21" ht="14.1" customHeight="1" thickBot="1" x14ac:dyDescent="0.25">
      <c r="A50" s="384"/>
      <c r="B50" s="385" t="s">
        <v>54</v>
      </c>
      <c r="C50" s="386">
        <f>'[2]Air Wisconsin'!$DJ$19</f>
        <v>3</v>
      </c>
      <c r="D50" s="387">
        <f>C50/$C$54</f>
        <v>9.8827249967057586E-5</v>
      </c>
      <c r="E50" s="388">
        <f>'[2]Air Wisconsin'!$CV$19</f>
        <v>0</v>
      </c>
      <c r="F50" s="389" t="e">
        <f>(C50-E50)/E50</f>
        <v>#DIV/0!</v>
      </c>
      <c r="G50" s="390">
        <f>SUM('[2]Air Wisconsin'!$DJ$19:$DJ$19)</f>
        <v>3</v>
      </c>
      <c r="H50" s="390">
        <f>SUM('[2]Air Wisconsin'!$CV$19:$CV$19)</f>
        <v>0</v>
      </c>
      <c r="I50" s="414" t="e">
        <f>(G50-H50)/H50</f>
        <v>#DIV/0!</v>
      </c>
      <c r="J50" s="384"/>
      <c r="K50" s="385" t="s">
        <v>54</v>
      </c>
      <c r="L50" s="386">
        <f>'[2]Air Wisconsin'!$DJ$41</f>
        <v>245</v>
      </c>
      <c r="M50" s="387">
        <f>L50/$L$54</f>
        <v>9.9186026834475934E-5</v>
      </c>
      <c r="N50" s="390">
        <f>'[2]Air Wisconsin'!$CV$41</f>
        <v>0</v>
      </c>
      <c r="O50" s="389" t="e">
        <f>(L50-N50)/N50</f>
        <v>#DIV/0!</v>
      </c>
      <c r="P50" s="390">
        <f>SUM('[2]Air Wisconsin'!$DJ$41:$DJ$41)</f>
        <v>245</v>
      </c>
      <c r="Q50" s="390">
        <f>SUM('[2]Air Wisconsin'!$CV$41:$CV$41)</f>
        <v>0</v>
      </c>
      <c r="R50" s="389" t="e">
        <f>(P50-Q50)/Q50</f>
        <v>#DIV/0!</v>
      </c>
      <c r="T50" s="21"/>
      <c r="U50" s="230"/>
    </row>
    <row r="51" spans="1:21" s="233" customFormat="1" ht="14.1" customHeight="1" x14ac:dyDescent="0.2">
      <c r="B51" s="268"/>
      <c r="C51" s="391"/>
      <c r="D51" s="368"/>
      <c r="E51" s="369"/>
      <c r="F51" s="368"/>
      <c r="G51" s="392"/>
      <c r="H51" s="369"/>
      <c r="I51" s="393"/>
      <c r="J51" s="394"/>
      <c r="K51" s="268"/>
      <c r="L51" s="395"/>
      <c r="M51" s="394"/>
      <c r="N51" s="396"/>
      <c r="O51" s="394"/>
      <c r="P51" s="234"/>
      <c r="Q51" s="234"/>
      <c r="R51" s="234"/>
      <c r="T51" s="232"/>
      <c r="U51"/>
    </row>
    <row r="52" spans="1:21" ht="14.1" customHeight="1" x14ac:dyDescent="0.2">
      <c r="B52" s="397" t="s">
        <v>150</v>
      </c>
      <c r="C52" s="398">
        <f>+C54-C53</f>
        <v>14961</v>
      </c>
      <c r="D52" s="468">
        <f>C52/$C$54</f>
        <v>0.49285149558571617</v>
      </c>
      <c r="E52" s="398">
        <f>+E54-E53</f>
        <v>14435</v>
      </c>
      <c r="F52" s="400">
        <f>(C52-E52)/E52</f>
        <v>3.6439210252857637E-2</v>
      </c>
      <c r="G52" s="398">
        <f>+G54-G53</f>
        <v>14961</v>
      </c>
      <c r="H52" s="398">
        <f>+H54-H53</f>
        <v>14435</v>
      </c>
      <c r="I52" s="401">
        <f>(G52-H52)/H52</f>
        <v>3.6439210252857637E-2</v>
      </c>
      <c r="K52" s="397" t="s">
        <v>150</v>
      </c>
      <c r="L52" s="398">
        <f>+L54-L53</f>
        <v>1765049</v>
      </c>
      <c r="M52" s="399">
        <f>+L52/L54</f>
        <v>0.71456407133944855</v>
      </c>
      <c r="N52" s="398">
        <f>+N54-N53</f>
        <v>1613821</v>
      </c>
      <c r="O52" s="400">
        <f>(L52-N52)/N52</f>
        <v>9.37080382520738E-2</v>
      </c>
      <c r="P52" s="398">
        <f>+P54-P53</f>
        <v>1765049</v>
      </c>
      <c r="Q52" s="398">
        <f>+Q54-Q53</f>
        <v>1613821</v>
      </c>
      <c r="R52" s="401">
        <f>(P52-Q52)/Q52</f>
        <v>9.37080382520738E-2</v>
      </c>
    </row>
    <row r="53" spans="1:21" ht="14.1" customHeight="1" x14ac:dyDescent="0.2">
      <c r="B53" s="340" t="s">
        <v>151</v>
      </c>
      <c r="C53" s="402">
        <f>+C50+C49+C48+C44+C21+C19+C17+C16+C4+C20+C12+C43+C41+C18+C40+C39+C42</f>
        <v>15395</v>
      </c>
      <c r="D53" s="469">
        <f>C53/$C$54</f>
        <v>0.50714850441428383</v>
      </c>
      <c r="E53" s="402">
        <f>+E50+E49+E48+E44+E21+E19+E17+E16+E4+E20+E12+E43+E41+E18+E40+E39+E42</f>
        <v>16042</v>
      </c>
      <c r="F53" s="404">
        <f>(C53-E53)/E53</f>
        <v>-4.0331629472634335E-2</v>
      </c>
      <c r="G53" s="402">
        <f>+G50+G49+G48+G44+G21+G19+G17+G16+G4+G20+G12+G43+G41+G18+G40+G39+G42</f>
        <v>15395</v>
      </c>
      <c r="H53" s="402">
        <f>+H50+H49+H48+H44+H21+H19+H17+H16+H4+H20+H12+H43+H41+H18+H40+H39+H42</f>
        <v>16042</v>
      </c>
      <c r="I53" s="405">
        <f>(G53-H53)/H53</f>
        <v>-4.0331629472634335E-2</v>
      </c>
      <c r="K53" s="340" t="s">
        <v>151</v>
      </c>
      <c r="L53" s="402">
        <f>+L50+L49+L48+L44+L21+L19+L17+L16+L4+L20+L12+L43+L41+L18+L40+L39+L42</f>
        <v>705057</v>
      </c>
      <c r="M53" s="403">
        <f>+L53/L54</f>
        <v>0.2854359286605514</v>
      </c>
      <c r="N53" s="402">
        <f>+N50+N49+N48+N44+N21+N19+N17+N16+N4+N20+N12+N43+N41+N18+N40+N39+N42</f>
        <v>703357</v>
      </c>
      <c r="O53" s="404">
        <f>(L53-N53)/N53</f>
        <v>2.4169802817061606E-3</v>
      </c>
      <c r="P53" s="402">
        <f>+P50+P49+P48+P44+P21+P19+P17+P16+P4+P20+P12+P43+P41+P18+P40+P39+P42</f>
        <v>705057</v>
      </c>
      <c r="Q53" s="402">
        <f>+Q50+Q49+Q48+Q44+Q21+Q19+Q17+Q16+Q4+Q20+Q12+Q43+Q41+Q18+Q40+Q39+Q42</f>
        <v>708143</v>
      </c>
      <c r="R53" s="405">
        <f>(P53-Q53)/Q53</f>
        <v>-4.3578768695023461E-3</v>
      </c>
    </row>
    <row r="54" spans="1:21" ht="14.1" customHeight="1" x14ac:dyDescent="0.2">
      <c r="B54" s="340" t="s">
        <v>152</v>
      </c>
      <c r="C54" s="406">
        <f>+C46+C37+C35+C29+C27+C23+C14+C10+C8+C4+C25+C33</f>
        <v>30356</v>
      </c>
      <c r="D54" s="470">
        <f>+C54/C54</f>
        <v>1</v>
      </c>
      <c r="E54" s="406">
        <f>+E46+E37+E35+E29+E27+E23+E14+E10+E8+E4+E25+E33</f>
        <v>30477</v>
      </c>
      <c r="F54" s="408">
        <f>(C54-E54)/E54</f>
        <v>-3.9702070413754637E-3</v>
      </c>
      <c r="G54" s="406">
        <f>+G46+G37+G35+G29+G27+G23+G14+G10+G8+G4+G25+G33</f>
        <v>30356</v>
      </c>
      <c r="H54" s="406">
        <f>+H46+H37+H35+H29+H27+H23+H14+H10+H8+H4+H25+H33</f>
        <v>30477</v>
      </c>
      <c r="I54" s="409">
        <f>(G54-H54)/H54</f>
        <v>-3.9702070413754637E-3</v>
      </c>
      <c r="K54" s="340" t="s">
        <v>152</v>
      </c>
      <c r="L54" s="406">
        <f>+L46+L37+L35+L29+L27+L23+L14+L10+L8+L4+L25+L33</f>
        <v>2470106</v>
      </c>
      <c r="M54" s="407">
        <f>+L54/L54</f>
        <v>1</v>
      </c>
      <c r="N54" s="406">
        <f>+N46+N37+N35+N29+N27+N23+N14+N10+N8+N4+N25+N33</f>
        <v>2317178</v>
      </c>
      <c r="O54" s="408">
        <f>(L54-N54)/N54</f>
        <v>6.5997519396438248E-2</v>
      </c>
      <c r="P54" s="406">
        <f>+P46+P37+P35+P29+P27+P23+P14+P10+P8+P4+P25+P33+P6</f>
        <v>2470106</v>
      </c>
      <c r="Q54" s="406">
        <f>+Q46+Q37+Q35+Q29+Q27+Q23+Q14+Q10+Q8+Q4+Q25+Q33</f>
        <v>2321964</v>
      </c>
      <c r="R54" s="409">
        <f>(P54-Q54)/Q54</f>
        <v>6.3800300090785217E-2</v>
      </c>
    </row>
    <row r="55" spans="1:21" x14ac:dyDescent="0.2">
      <c r="B55" s="340"/>
      <c r="F55" s="39"/>
      <c r="G55" s="235"/>
      <c r="H55" s="5"/>
      <c r="I55" s="39"/>
      <c r="K55" s="11"/>
      <c r="L55" s="4"/>
      <c r="M55" s="231"/>
      <c r="N55" s="4"/>
      <c r="O55" s="231"/>
      <c r="P55" s="4"/>
      <c r="Q55" s="7"/>
      <c r="R55" s="7"/>
    </row>
    <row r="56" spans="1:21" x14ac:dyDescent="0.2">
      <c r="B56" s="268"/>
      <c r="D56" s="4"/>
      <c r="E56" s="231"/>
      <c r="F56" s="231"/>
      <c r="G56" s="7"/>
      <c r="H56" s="7"/>
      <c r="I56"/>
      <c r="J56"/>
      <c r="K56"/>
      <c r="M56"/>
      <c r="O56"/>
      <c r="P56" s="2"/>
      <c r="Q56" s="2"/>
    </row>
    <row r="57" spans="1:21" x14ac:dyDescent="0.2">
      <c r="B57" s="340"/>
      <c r="D57" s="4"/>
      <c r="E57" s="458"/>
      <c r="F57" s="231"/>
      <c r="G57" s="4"/>
      <c r="H57" s="4"/>
      <c r="I57"/>
      <c r="J57"/>
      <c r="K57"/>
      <c r="M57"/>
      <c r="O57"/>
      <c r="P57" s="2"/>
      <c r="Q57" s="2"/>
    </row>
    <row r="58" spans="1:21" x14ac:dyDescent="0.2">
      <c r="B58" s="268"/>
      <c r="D58" s="4"/>
      <c r="E58" s="458"/>
      <c r="F58" s="231"/>
      <c r="G58" s="4"/>
      <c r="H58" s="4"/>
      <c r="I58"/>
      <c r="J58"/>
      <c r="K58"/>
      <c r="L58"/>
      <c r="M58"/>
      <c r="O58"/>
      <c r="P58" s="453"/>
    </row>
    <row r="59" spans="1:21" x14ac:dyDescent="0.2">
      <c r="D59" s="4"/>
      <c r="E59" s="231"/>
      <c r="F59" s="231"/>
      <c r="G59" s="4"/>
      <c r="H59" s="7"/>
      <c r="I59"/>
      <c r="J59"/>
      <c r="K59"/>
      <c r="L59"/>
      <c r="M59"/>
      <c r="N59"/>
      <c r="O59"/>
      <c r="P59" s="134"/>
    </row>
    <row r="60" spans="1:21" x14ac:dyDescent="0.2">
      <c r="D60" s="4"/>
      <c r="E60" s="231"/>
      <c r="F60" s="231"/>
      <c r="G60" s="4"/>
      <c r="H60" s="7"/>
      <c r="I60"/>
      <c r="J60"/>
      <c r="K60"/>
      <c r="M60"/>
      <c r="N60"/>
      <c r="O60"/>
    </row>
    <row r="61" spans="1:21" x14ac:dyDescent="0.2">
      <c r="D61" s="4"/>
      <c r="E61" s="3"/>
      <c r="G61" s="4"/>
      <c r="H61"/>
      <c r="I61"/>
      <c r="J61"/>
      <c r="K61"/>
      <c r="L61"/>
      <c r="M61"/>
      <c r="N61"/>
      <c r="O61"/>
    </row>
    <row r="62" spans="1:21" x14ac:dyDescent="0.2">
      <c r="D62" s="2"/>
      <c r="E62" s="3"/>
      <c r="G62"/>
      <c r="H62"/>
      <c r="I62"/>
      <c r="J62"/>
      <c r="K62"/>
      <c r="L62"/>
      <c r="M62"/>
      <c r="N62"/>
      <c r="O62"/>
    </row>
    <row r="63" spans="1:21" x14ac:dyDescent="0.2">
      <c r="D63" s="2"/>
      <c r="E63" s="3"/>
      <c r="G63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F131" s="39"/>
      <c r="G131" s="235"/>
      <c r="H131" s="5"/>
      <c r="I131" s="39"/>
      <c r="K131" s="11"/>
    </row>
    <row r="132" spans="4:15" x14ac:dyDescent="0.2">
      <c r="F132" s="39"/>
      <c r="G132" s="235"/>
      <c r="H132" s="5"/>
      <c r="I132" s="39"/>
      <c r="K132" s="11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G1184" s="235"/>
      <c r="H1184" s="5"/>
      <c r="I1184" s="39"/>
      <c r="K1184" s="11"/>
    </row>
    <row r="1185" spans="7:11" x14ac:dyDescent="0.2">
      <c r="G1185" s="235"/>
      <c r="H1185" s="5"/>
      <c r="I1185" s="39"/>
      <c r="K1185" s="11"/>
    </row>
    <row r="1186" spans="7:11" x14ac:dyDescent="0.2">
      <c r="G1186" s="235"/>
      <c r="H1186" s="5"/>
      <c r="I1186" s="39"/>
      <c r="K1186" s="11"/>
    </row>
    <row r="1187" spans="7:11" x14ac:dyDescent="0.2">
      <c r="G1187" s="235"/>
      <c r="H1187" s="5"/>
      <c r="I1187" s="39"/>
      <c r="K1187" s="11"/>
    </row>
    <row r="1188" spans="7:11" x14ac:dyDescent="0.2">
      <c r="G1188" s="235"/>
      <c r="H1188" s="5"/>
      <c r="I1188" s="39"/>
      <c r="K1188" s="11"/>
    </row>
    <row r="1189" spans="7:11" x14ac:dyDescent="0.2">
      <c r="G1189" s="235"/>
      <c r="H1189" s="5"/>
      <c r="I1189" s="39"/>
      <c r="K1189" s="11"/>
    </row>
    <row r="1190" spans="7:11" x14ac:dyDescent="0.2">
      <c r="G1190" s="235"/>
      <c r="H1190" s="5"/>
      <c r="I1190" s="39"/>
      <c r="K1190" s="11"/>
    </row>
    <row r="1191" spans="7:11" x14ac:dyDescent="0.2">
      <c r="G1191" s="235"/>
      <c r="H1191" s="5"/>
      <c r="I1191" s="39"/>
      <c r="K1191" s="11"/>
    </row>
    <row r="1192" spans="7:11" x14ac:dyDescent="0.2">
      <c r="G1192" s="235"/>
      <c r="H1192" s="5"/>
      <c r="I1192" s="39"/>
      <c r="K1192" s="11"/>
    </row>
    <row r="1193" spans="7:11" x14ac:dyDescent="0.2">
      <c r="G1193" s="235"/>
      <c r="H1193" s="5"/>
      <c r="I1193" s="39"/>
      <c r="K1193" s="11"/>
    </row>
    <row r="1194" spans="7:11" x14ac:dyDescent="0.2">
      <c r="G1194" s="235"/>
      <c r="H1194" s="5"/>
      <c r="I1194" s="39"/>
      <c r="K1194" s="11"/>
    </row>
    <row r="1195" spans="7:11" x14ac:dyDescent="0.2">
      <c r="G1195" s="235"/>
      <c r="H1195" s="5"/>
      <c r="I1195" s="39"/>
      <c r="K1195" s="11"/>
    </row>
    <row r="1196" spans="7:11" x14ac:dyDescent="0.2">
      <c r="G1196" s="235"/>
      <c r="H1196" s="5"/>
      <c r="I1196" s="39"/>
      <c r="K1196" s="11"/>
    </row>
    <row r="1197" spans="7:11" x14ac:dyDescent="0.2">
      <c r="G1197" s="235"/>
      <c r="H1197" s="5"/>
      <c r="I1197" s="39"/>
      <c r="K1197" s="11"/>
    </row>
    <row r="1198" spans="7:11" x14ac:dyDescent="0.2">
      <c r="G1198" s="235"/>
      <c r="H1198" s="5"/>
      <c r="I1198" s="39"/>
      <c r="K1198" s="11"/>
    </row>
    <row r="1199" spans="7:11" x14ac:dyDescent="0.2">
      <c r="G1199" s="235"/>
      <c r="H1199" s="5"/>
      <c r="I1199" s="39"/>
      <c r="K1199" s="11"/>
    </row>
    <row r="1200" spans="7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January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16" zoomScaleNormal="100" zoomScaleSheetLayoutView="100" workbookViewId="0">
      <selection activeCell="G50" sqref="G50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6" width="12.140625" customWidth="1"/>
    <col min="7" max="7" width="13.28515625" bestFit="1" customWidth="1"/>
    <col min="8" max="8" width="12.42578125" customWidth="1"/>
  </cols>
  <sheetData>
    <row r="1" spans="1:17" ht="26.25" thickBot="1" x14ac:dyDescent="0.25">
      <c r="A1" s="415">
        <v>41640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181</v>
      </c>
      <c r="G1" s="12" t="s">
        <v>23</v>
      </c>
      <c r="H1" s="282" t="s">
        <v>24</v>
      </c>
    </row>
    <row r="2" spans="1:17" ht="15" x14ac:dyDescent="0.25">
      <c r="A2" s="67" t="s">
        <v>3</v>
      </c>
      <c r="B2" s="61"/>
      <c r="C2" s="61"/>
      <c r="D2" s="61"/>
      <c r="E2" s="61"/>
      <c r="F2" s="61"/>
      <c r="G2" s="61"/>
      <c r="H2" s="290"/>
    </row>
    <row r="3" spans="1:17" x14ac:dyDescent="0.2">
      <c r="A3" s="65" t="s">
        <v>32</v>
      </c>
      <c r="B3" s="11"/>
      <c r="C3" s="11"/>
      <c r="D3" s="11"/>
      <c r="E3" s="11"/>
      <c r="F3" s="11"/>
      <c r="G3" s="11"/>
      <c r="H3" s="58"/>
    </row>
    <row r="4" spans="1:17" x14ac:dyDescent="0.2">
      <c r="A4" s="65" t="s">
        <v>33</v>
      </c>
      <c r="B4" s="22">
        <f>[2]American!$DJ$22</f>
        <v>27579</v>
      </c>
      <c r="C4" s="22">
        <f>[2]Delta!$DJ$22+[2]Delta!$DJ$32</f>
        <v>585514</v>
      </c>
      <c r="D4" s="22">
        <f>[2]United!$DJ$22</f>
        <v>16146</v>
      </c>
      <c r="E4" s="22">
        <f>'[2]US Airways'!$DJ$22</f>
        <v>46996</v>
      </c>
      <c r="F4" s="22">
        <f>[2]Spirit!$DJ$22</f>
        <v>42312</v>
      </c>
      <c r="G4" s="22">
        <f>'Other Major Airline Stats'!I5</f>
        <v>152820</v>
      </c>
      <c r="H4" s="291">
        <f>SUM(B4:G4)</f>
        <v>871367</v>
      </c>
    </row>
    <row r="5" spans="1:17" x14ac:dyDescent="0.2">
      <c r="A5" s="65" t="s">
        <v>34</v>
      </c>
      <c r="B5" s="14">
        <f>[2]American!$DJ$23</f>
        <v>28901</v>
      </c>
      <c r="C5" s="14">
        <f>[2]Delta!$DJ$23+[2]Delta!$DJ$33</f>
        <v>597603</v>
      </c>
      <c r="D5" s="14">
        <f>[2]United!$DJ$23</f>
        <v>15019</v>
      </c>
      <c r="E5" s="14">
        <f>'[2]US Airways'!$DJ$23</f>
        <v>42898</v>
      </c>
      <c r="F5" s="14">
        <f>[2]Spirit!$DJ$23</f>
        <v>44888</v>
      </c>
      <c r="G5" s="14">
        <f>'Other Major Airline Stats'!I6</f>
        <v>164373</v>
      </c>
      <c r="H5" s="292">
        <f>SUM(B5:G5)</f>
        <v>893682</v>
      </c>
      <c r="J5" s="320"/>
      <c r="K5" s="320"/>
      <c r="L5" s="320"/>
      <c r="M5" s="320"/>
      <c r="N5" s="320"/>
      <c r="O5" s="320"/>
      <c r="P5" s="320"/>
      <c r="Q5" s="320"/>
    </row>
    <row r="6" spans="1:17" ht="15" x14ac:dyDescent="0.25">
      <c r="A6" s="63" t="s">
        <v>7</v>
      </c>
      <c r="B6" s="36">
        <f t="shared" ref="B6:G6" si="0">SUM(B4:B5)</f>
        <v>56480</v>
      </c>
      <c r="C6" s="36">
        <f t="shared" si="0"/>
        <v>1183117</v>
      </c>
      <c r="D6" s="36">
        <f t="shared" si="0"/>
        <v>31165</v>
      </c>
      <c r="E6" s="36">
        <f t="shared" si="0"/>
        <v>89894</v>
      </c>
      <c r="F6" s="36">
        <f t="shared" si="0"/>
        <v>87200</v>
      </c>
      <c r="G6" s="36">
        <f t="shared" si="0"/>
        <v>317193</v>
      </c>
      <c r="H6" s="293">
        <f>SUM(B6:G6)</f>
        <v>1765049</v>
      </c>
    </row>
    <row r="7" spans="1:17" x14ac:dyDescent="0.2">
      <c r="A7" s="65"/>
      <c r="B7" s="22"/>
      <c r="C7" s="22"/>
      <c r="D7" s="22"/>
      <c r="E7" s="22"/>
      <c r="F7" s="22"/>
      <c r="G7" s="22"/>
      <c r="H7" s="291"/>
    </row>
    <row r="8" spans="1:17" x14ac:dyDescent="0.2">
      <c r="A8" s="65" t="s">
        <v>35</v>
      </c>
      <c r="B8" s="22"/>
      <c r="C8" s="22"/>
      <c r="D8" s="22"/>
      <c r="E8" s="22"/>
      <c r="F8" s="22"/>
      <c r="G8" s="22"/>
      <c r="H8" s="291">
        <f>SUM(B8:G8)</f>
        <v>0</v>
      </c>
    </row>
    <row r="9" spans="1:17" x14ac:dyDescent="0.2">
      <c r="A9" s="65" t="s">
        <v>33</v>
      </c>
      <c r="B9" s="22">
        <f>[2]American!$DJ$27</f>
        <v>1517</v>
      </c>
      <c r="C9" s="22">
        <f>[2]Delta!$DJ$27+[2]Delta!$DJ$37</f>
        <v>23875</v>
      </c>
      <c r="D9" s="22">
        <f>[2]United!$DJ$27</f>
        <v>980</v>
      </c>
      <c r="E9" s="22">
        <f>'[2]US Airways'!$DJ$27</f>
        <v>1005</v>
      </c>
      <c r="F9" s="22">
        <f>[2]Spirit!$DJ$27</f>
        <v>264</v>
      </c>
      <c r="G9" s="22">
        <f>'Other Major Airline Stats'!I10</f>
        <v>3461</v>
      </c>
      <c r="H9" s="291">
        <f>SUM(B9:G9)</f>
        <v>31102</v>
      </c>
    </row>
    <row r="10" spans="1:17" x14ac:dyDescent="0.2">
      <c r="A10" s="65" t="s">
        <v>36</v>
      </c>
      <c r="B10" s="14">
        <f>[2]American!$DJ$28</f>
        <v>1712</v>
      </c>
      <c r="C10" s="14">
        <f>[2]Delta!$DJ$28+[2]Delta!$DJ$38</f>
        <v>23531</v>
      </c>
      <c r="D10" s="14">
        <f>[2]United!$DJ$28</f>
        <v>947</v>
      </c>
      <c r="E10" s="14">
        <f>'[2]US Airways'!$DJ$28</f>
        <v>1010</v>
      </c>
      <c r="F10" s="14">
        <f>[2]Spirit!$DJ$28</f>
        <v>282</v>
      </c>
      <c r="G10" s="14">
        <f>'Other Major Airline Stats'!I11</f>
        <v>3548</v>
      </c>
      <c r="H10" s="292">
        <f>SUM(B10:G10)</f>
        <v>31030</v>
      </c>
    </row>
    <row r="11" spans="1:17" ht="15.75" thickBot="1" x14ac:dyDescent="0.3">
      <c r="A11" s="66" t="s">
        <v>37</v>
      </c>
      <c r="B11" s="294">
        <f t="shared" ref="B11:G11" si="1">SUM(B9:B10)</f>
        <v>3229</v>
      </c>
      <c r="C11" s="294">
        <f t="shared" si="1"/>
        <v>47406</v>
      </c>
      <c r="D11" s="294">
        <f t="shared" si="1"/>
        <v>1927</v>
      </c>
      <c r="E11" s="294">
        <f t="shared" si="1"/>
        <v>2015</v>
      </c>
      <c r="F11" s="294">
        <f t="shared" si="1"/>
        <v>546</v>
      </c>
      <c r="G11" s="294">
        <f t="shared" si="1"/>
        <v>7009</v>
      </c>
      <c r="H11" s="295">
        <f>SUM(B11:G11)</f>
        <v>62132</v>
      </c>
    </row>
    <row r="13" spans="1:17" ht="13.5" thickBot="1" x14ac:dyDescent="0.25"/>
    <row r="14" spans="1:17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8"/>
    </row>
    <row r="15" spans="1:17" x14ac:dyDescent="0.2">
      <c r="A15" s="65" t="s">
        <v>25</v>
      </c>
      <c r="B15" s="22">
        <f>[2]American!$DJ$4</f>
        <v>284</v>
      </c>
      <c r="C15" s="22">
        <f>[2]Delta!$DJ$4+[2]Delta!$DJ$15</f>
        <v>4484</v>
      </c>
      <c r="D15" s="22">
        <f>[2]United!$DJ$4</f>
        <v>171</v>
      </c>
      <c r="E15" s="22">
        <f>'[2]US Airways'!$DJ$4</f>
        <v>330</v>
      </c>
      <c r="F15" s="22">
        <f>[2]Spirit!$DJ$4</f>
        <v>341</v>
      </c>
      <c r="G15" s="22">
        <f>'Other Major Airline Stats'!I16</f>
        <v>1833</v>
      </c>
      <c r="H15" s="29">
        <f>SUM(B15:G15)</f>
        <v>7443</v>
      </c>
    </row>
    <row r="16" spans="1:17" x14ac:dyDescent="0.2">
      <c r="A16" s="65" t="s">
        <v>26</v>
      </c>
      <c r="B16" s="14">
        <f>[2]American!$DJ$5</f>
        <v>284</v>
      </c>
      <c r="C16" s="14">
        <f>[2]Delta!$DJ$5+[2]Delta!$DJ$16</f>
        <v>4483</v>
      </c>
      <c r="D16" s="14">
        <f>[2]United!$DJ$5</f>
        <v>171</v>
      </c>
      <c r="E16" s="14">
        <f>'[2]US Airways'!$DJ$5</f>
        <v>326</v>
      </c>
      <c r="F16" s="14">
        <f>[2]Spirit!$DJ$5</f>
        <v>340</v>
      </c>
      <c r="G16" s="14">
        <f>'Other Major Airline Stats'!I17</f>
        <v>1835</v>
      </c>
      <c r="H16" s="35">
        <f>SUM(B16:G16)</f>
        <v>7439</v>
      </c>
    </row>
    <row r="17" spans="1:8" x14ac:dyDescent="0.2">
      <c r="A17" s="65" t="s">
        <v>27</v>
      </c>
      <c r="B17" s="298">
        <f t="shared" ref="B17:G17" si="2">SUM(B15:B16)</f>
        <v>568</v>
      </c>
      <c r="C17" s="296">
        <f t="shared" si="2"/>
        <v>8967</v>
      </c>
      <c r="D17" s="296">
        <f t="shared" si="2"/>
        <v>342</v>
      </c>
      <c r="E17" s="296">
        <f t="shared" si="2"/>
        <v>656</v>
      </c>
      <c r="F17" s="296">
        <f t="shared" si="2"/>
        <v>681</v>
      </c>
      <c r="G17" s="296">
        <f t="shared" si="2"/>
        <v>3668</v>
      </c>
      <c r="H17" s="297">
        <f>SUM(B17:G17)</f>
        <v>14882</v>
      </c>
    </row>
    <row r="18" spans="1:8" x14ac:dyDescent="0.2">
      <c r="A18" s="65"/>
      <c r="B18" s="22"/>
      <c r="C18" s="22"/>
      <c r="D18" s="22"/>
      <c r="E18" s="22"/>
      <c r="F18" s="22"/>
      <c r="G18" s="22"/>
      <c r="H18" s="29"/>
    </row>
    <row r="19" spans="1:8" x14ac:dyDescent="0.2">
      <c r="A19" s="65" t="s">
        <v>28</v>
      </c>
      <c r="B19" s="22">
        <f>[2]American!$DJ$8</f>
        <v>0</v>
      </c>
      <c r="C19" s="22">
        <f>[2]Delta!$DJ$8</f>
        <v>3</v>
      </c>
      <c r="D19" s="22">
        <f>[2]United!$DJ$8</f>
        <v>0</v>
      </c>
      <c r="E19" s="22">
        <f>'[2]US Airways'!$DJ$8</f>
        <v>0</v>
      </c>
      <c r="F19" s="22">
        <f>[2]Spirit!$DJ$8</f>
        <v>0</v>
      </c>
      <c r="G19" s="22">
        <f>'Other Major Airline Stats'!I20</f>
        <v>34</v>
      </c>
      <c r="H19" s="29">
        <f>SUM(B19:G19)</f>
        <v>37</v>
      </c>
    </row>
    <row r="20" spans="1:8" x14ac:dyDescent="0.2">
      <c r="A20" s="65" t="s">
        <v>29</v>
      </c>
      <c r="B20" s="14">
        <f>[2]American!$DJ$9</f>
        <v>0</v>
      </c>
      <c r="C20" s="14">
        <f>[2]Delta!$DJ$9</f>
        <v>9</v>
      </c>
      <c r="D20" s="14">
        <f>[2]United!$DJ$9</f>
        <v>0</v>
      </c>
      <c r="E20" s="14">
        <f>'[2]US Airways'!$DJ$9</f>
        <v>0</v>
      </c>
      <c r="F20" s="14">
        <f>[2]Spirit!$DJ$9</f>
        <v>0</v>
      </c>
      <c r="G20" s="14">
        <f>'Other Major Airline Stats'!I21</f>
        <v>33</v>
      </c>
      <c r="H20" s="35">
        <f>SUM(B20:G20)</f>
        <v>42</v>
      </c>
    </row>
    <row r="21" spans="1:8" x14ac:dyDescent="0.2">
      <c r="A21" s="65" t="s">
        <v>30</v>
      </c>
      <c r="B21" s="298">
        <f t="shared" ref="B21:G21" si="3">SUM(B19:B20)</f>
        <v>0</v>
      </c>
      <c r="C21" s="296">
        <f t="shared" si="3"/>
        <v>12</v>
      </c>
      <c r="D21" s="296">
        <f t="shared" si="3"/>
        <v>0</v>
      </c>
      <c r="E21" s="296">
        <f t="shared" si="3"/>
        <v>0</v>
      </c>
      <c r="F21" s="296">
        <f t="shared" si="3"/>
        <v>0</v>
      </c>
      <c r="G21" s="296">
        <f t="shared" si="3"/>
        <v>67</v>
      </c>
      <c r="H21" s="180">
        <f>SUM(B21:G21)</f>
        <v>79</v>
      </c>
    </row>
    <row r="22" spans="1:8" x14ac:dyDescent="0.2">
      <c r="A22" s="65"/>
      <c r="B22" s="22"/>
      <c r="C22" s="22"/>
      <c r="D22" s="22"/>
      <c r="E22" s="22"/>
      <c r="F22" s="22"/>
      <c r="G22" s="22"/>
      <c r="H22" s="29"/>
    </row>
    <row r="23" spans="1:8" ht="15.75" thickBot="1" x14ac:dyDescent="0.3">
      <c r="A23" s="66" t="s">
        <v>31</v>
      </c>
      <c r="B23" s="30">
        <f t="shared" ref="B23:G23" si="4">B17+B21</f>
        <v>568</v>
      </c>
      <c r="C23" s="30">
        <f t="shared" si="4"/>
        <v>8979</v>
      </c>
      <c r="D23" s="30">
        <f t="shared" si="4"/>
        <v>342</v>
      </c>
      <c r="E23" s="30">
        <f t="shared" si="4"/>
        <v>656</v>
      </c>
      <c r="F23" s="30">
        <f>F17+F21</f>
        <v>681</v>
      </c>
      <c r="G23" s="30">
        <f t="shared" si="4"/>
        <v>3735</v>
      </c>
      <c r="H23" s="31">
        <f>SUM(B23:G23)</f>
        <v>14961</v>
      </c>
    </row>
    <row r="25" spans="1:8" ht="13.5" thickBot="1" x14ac:dyDescent="0.25">
      <c r="B25" s="457"/>
      <c r="C25" s="457"/>
      <c r="D25" s="457"/>
      <c r="E25" s="457"/>
      <c r="F25" s="457"/>
      <c r="G25" s="457"/>
    </row>
    <row r="26" spans="1:8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65" t="s">
        <v>39</v>
      </c>
      <c r="B27" s="1"/>
      <c r="C27" s="1"/>
      <c r="D27" s="1"/>
      <c r="E27" s="1"/>
      <c r="F27" s="1"/>
      <c r="G27" s="1"/>
      <c r="H27" s="32"/>
    </row>
    <row r="28" spans="1:8" x14ac:dyDescent="0.2">
      <c r="A28" s="65" t="s">
        <v>40</v>
      </c>
      <c r="B28" s="22">
        <f>[2]American!$DJ$47</f>
        <v>13649</v>
      </c>
      <c r="C28" s="22">
        <f>[2]Delta!$DJ$47</f>
        <v>3691253</v>
      </c>
      <c r="D28" s="22">
        <f>[2]United!$DJ$47</f>
        <v>6216</v>
      </c>
      <c r="E28" s="22">
        <f>'[2]US Airways'!$DJ$47</f>
        <v>23032</v>
      </c>
      <c r="F28" s="22">
        <f>[2]Spirit!$DJ$47</f>
        <v>0</v>
      </c>
      <c r="G28" s="22">
        <f>'Other Major Airline Stats'!I28</f>
        <v>203761</v>
      </c>
      <c r="H28" s="29">
        <f>SUM(B28:G28)</f>
        <v>3937911</v>
      </c>
    </row>
    <row r="29" spans="1:8" x14ac:dyDescent="0.2">
      <c r="A29" s="65" t="s">
        <v>41</v>
      </c>
      <c r="B29" s="14">
        <f>[2]American!$DJ$48</f>
        <v>0</v>
      </c>
      <c r="C29" s="14">
        <f>[2]Delta!$DJ$48</f>
        <v>1311528</v>
      </c>
      <c r="D29" s="14">
        <f>[2]United!$DJ$48</f>
        <v>135910</v>
      </c>
      <c r="E29" s="14">
        <f>'[2]US Airways'!$DJ$48</f>
        <v>43244</v>
      </c>
      <c r="F29" s="14">
        <f>[2]Spirit!$DJ$48</f>
        <v>0</v>
      </c>
      <c r="G29" s="14">
        <f>'Other Major Airline Stats'!I29</f>
        <v>50740</v>
      </c>
      <c r="H29" s="35">
        <f>SUM(B29:G29)</f>
        <v>1541422</v>
      </c>
    </row>
    <row r="30" spans="1:8" x14ac:dyDescent="0.2">
      <c r="A30" s="69" t="s">
        <v>42</v>
      </c>
      <c r="B30" s="298">
        <f t="shared" ref="B30:G30" si="5">SUM(B28:B29)</f>
        <v>13649</v>
      </c>
      <c r="C30" s="298">
        <f t="shared" si="5"/>
        <v>5002781</v>
      </c>
      <c r="D30" s="298">
        <f t="shared" si="5"/>
        <v>142126</v>
      </c>
      <c r="E30" s="298">
        <f t="shared" si="5"/>
        <v>66276</v>
      </c>
      <c r="F30" s="298">
        <f t="shared" si="5"/>
        <v>0</v>
      </c>
      <c r="G30" s="298">
        <f t="shared" si="5"/>
        <v>254501</v>
      </c>
      <c r="H30" s="29">
        <f>SUM(B30:G30)</f>
        <v>5479333</v>
      </c>
    </row>
    <row r="31" spans="1:8" x14ac:dyDescent="0.2">
      <c r="A31" s="65"/>
      <c r="B31" s="22"/>
      <c r="C31" s="22"/>
      <c r="D31" s="22"/>
      <c r="E31" s="22"/>
      <c r="F31" s="22"/>
      <c r="G31" s="22"/>
      <c r="H31" s="29"/>
    </row>
    <row r="32" spans="1:8" x14ac:dyDescent="0.2">
      <c r="A32" s="65" t="s">
        <v>43</v>
      </c>
      <c r="B32" s="22"/>
      <c r="C32" s="22"/>
      <c r="D32" s="22"/>
      <c r="E32" s="22"/>
      <c r="F32" s="22"/>
      <c r="G32" s="22"/>
      <c r="H32" s="29">
        <f t="shared" ref="H32:H40" si="6">SUM(B32:G32)</f>
        <v>0</v>
      </c>
    </row>
    <row r="33" spans="1:8" x14ac:dyDescent="0.2">
      <c r="A33" s="65" t="s">
        <v>40</v>
      </c>
      <c r="B33" s="22">
        <f>[2]American!$DJ$52</f>
        <v>9527</v>
      </c>
      <c r="C33" s="22">
        <f>[2]Delta!$DJ$52</f>
        <v>4376737</v>
      </c>
      <c r="D33" s="22">
        <f>[2]United!$DJ$52</f>
        <v>10395</v>
      </c>
      <c r="E33" s="22">
        <f>'[2]US Airways'!$DJ$52</f>
        <v>21339</v>
      </c>
      <c r="F33" s="22">
        <f>[2]Spirit!$DJ$52</f>
        <v>0</v>
      </c>
      <c r="G33" s="22">
        <f>'Other Major Airline Stats'!I33</f>
        <v>52954</v>
      </c>
      <c r="H33" s="29">
        <f t="shared" si="6"/>
        <v>4470952</v>
      </c>
    </row>
    <row r="34" spans="1:8" x14ac:dyDescent="0.2">
      <c r="A34" s="65" t="s">
        <v>41</v>
      </c>
      <c r="B34" s="14">
        <f>[2]American!$DJ$53</f>
        <v>0</v>
      </c>
      <c r="C34" s="14">
        <f>[2]Delta!$DJ$53</f>
        <v>96600</v>
      </c>
      <c r="D34" s="14">
        <f>[2]United!$DJ$53</f>
        <v>107654</v>
      </c>
      <c r="E34" s="14">
        <f>'[2]US Airways'!$DJ$53</f>
        <v>192220</v>
      </c>
      <c r="F34" s="14">
        <f>[2]Spirit!$DJ$53</f>
        <v>0</v>
      </c>
      <c r="G34" s="14">
        <f>'Other Major Airline Stats'!I34</f>
        <v>371482</v>
      </c>
      <c r="H34" s="35">
        <f t="shared" si="6"/>
        <v>767956</v>
      </c>
    </row>
    <row r="35" spans="1:8" x14ac:dyDescent="0.2">
      <c r="A35" s="69" t="s">
        <v>44</v>
      </c>
      <c r="B35" s="298">
        <f t="shared" ref="B35:G35" si="7">SUM(B33:B34)</f>
        <v>9527</v>
      </c>
      <c r="C35" s="298">
        <f t="shared" si="7"/>
        <v>4473337</v>
      </c>
      <c r="D35" s="298">
        <f t="shared" si="7"/>
        <v>118049</v>
      </c>
      <c r="E35" s="298">
        <f t="shared" si="7"/>
        <v>213559</v>
      </c>
      <c r="F35" s="298">
        <f t="shared" si="7"/>
        <v>0</v>
      </c>
      <c r="G35" s="298">
        <f t="shared" si="7"/>
        <v>424436</v>
      </c>
      <c r="H35" s="29">
        <f t="shared" si="6"/>
        <v>5238908</v>
      </c>
    </row>
    <row r="36" spans="1:8" hidden="1" x14ac:dyDescent="0.2">
      <c r="A36" s="65"/>
      <c r="B36" s="22"/>
      <c r="C36" s="22"/>
      <c r="D36" s="22"/>
      <c r="E36" s="22"/>
      <c r="F36" s="22"/>
      <c r="G36" s="22"/>
      <c r="H36" s="29">
        <f t="shared" si="6"/>
        <v>0</v>
      </c>
    </row>
    <row r="37" spans="1:8" hidden="1" x14ac:dyDescent="0.2">
      <c r="A37" s="65" t="s">
        <v>45</v>
      </c>
      <c r="B37" s="22"/>
      <c r="C37" s="22"/>
      <c r="D37" s="22"/>
      <c r="E37" s="22"/>
      <c r="F37" s="22"/>
      <c r="G37" s="22"/>
      <c r="H37" s="29">
        <f t="shared" si="6"/>
        <v>0</v>
      </c>
    </row>
    <row r="38" spans="1:8" hidden="1" x14ac:dyDescent="0.2">
      <c r="A38" s="65" t="s">
        <v>40</v>
      </c>
      <c r="B38" s="22">
        <f>[2]American!$DJ$57</f>
        <v>0</v>
      </c>
      <c r="C38" s="22">
        <f>[2]Delta!$DJ$57</f>
        <v>0</v>
      </c>
      <c r="D38" s="22">
        <f>[2]United!$DJ$57</f>
        <v>0</v>
      </c>
      <c r="E38" s="22">
        <f>'[2]US Airways'!$DJ$57</f>
        <v>0</v>
      </c>
      <c r="F38" s="22">
        <f>[2]Spirit!$DJ$57</f>
        <v>0</v>
      </c>
      <c r="G38" s="22">
        <f>'Other Major Airline Stats'!I38</f>
        <v>0</v>
      </c>
      <c r="H38" s="29">
        <f t="shared" si="6"/>
        <v>0</v>
      </c>
    </row>
    <row r="39" spans="1:8" hidden="1" x14ac:dyDescent="0.2">
      <c r="A39" s="65" t="s">
        <v>41</v>
      </c>
      <c r="B39" s="14">
        <f>[2]American!$DJ$58</f>
        <v>0</v>
      </c>
      <c r="C39" s="14">
        <f>[2]Delta!$DJ$58</f>
        <v>0</v>
      </c>
      <c r="D39" s="14">
        <f>[2]United!$DJ$58</f>
        <v>0</v>
      </c>
      <c r="E39" s="14">
        <f>'[2]US Airways'!$DJ$58</f>
        <v>0</v>
      </c>
      <c r="F39" s="14">
        <f>[2]Spirit!$DJ$58</f>
        <v>0</v>
      </c>
      <c r="G39" s="14">
        <f>'Other Major Airline Stats'!I39</f>
        <v>0</v>
      </c>
      <c r="H39" s="35">
        <f t="shared" si="6"/>
        <v>0</v>
      </c>
    </row>
    <row r="40" spans="1:8" hidden="1" x14ac:dyDescent="0.2">
      <c r="A40" s="69" t="s">
        <v>46</v>
      </c>
      <c r="B40" s="298">
        <f t="shared" ref="B40:G40" si="8">SUM(B38:B39)</f>
        <v>0</v>
      </c>
      <c r="C40" s="298">
        <f t="shared" si="8"/>
        <v>0</v>
      </c>
      <c r="D40" s="298">
        <f t="shared" si="8"/>
        <v>0</v>
      </c>
      <c r="E40" s="298">
        <f t="shared" si="8"/>
        <v>0</v>
      </c>
      <c r="F40" s="298">
        <f t="shared" si="8"/>
        <v>0</v>
      </c>
      <c r="G40" s="298">
        <f t="shared" si="8"/>
        <v>0</v>
      </c>
      <c r="H40" s="29">
        <f t="shared" si="6"/>
        <v>0</v>
      </c>
    </row>
    <row r="41" spans="1:8" x14ac:dyDescent="0.2">
      <c r="A41" s="65"/>
      <c r="B41" s="22"/>
      <c r="C41" s="22"/>
      <c r="D41" s="22"/>
      <c r="E41" s="22"/>
      <c r="F41" s="22"/>
      <c r="G41" s="22"/>
      <c r="H41" s="29"/>
    </row>
    <row r="42" spans="1:8" x14ac:dyDescent="0.2">
      <c r="A42" s="65" t="s">
        <v>47</v>
      </c>
      <c r="B42" s="22"/>
      <c r="C42" s="22"/>
      <c r="D42" s="22"/>
      <c r="E42" s="22"/>
      <c r="F42" s="22"/>
      <c r="G42" s="22"/>
      <c r="H42" s="29">
        <f>SUM(B42:G42)</f>
        <v>0</v>
      </c>
    </row>
    <row r="43" spans="1:8" x14ac:dyDescent="0.2">
      <c r="A43" s="65" t="s">
        <v>48</v>
      </c>
      <c r="B43" s="22">
        <f t="shared" ref="B43:G44" si="9">B28+B33+B38</f>
        <v>23176</v>
      </c>
      <c r="C43" s="22">
        <f t="shared" si="9"/>
        <v>8067990</v>
      </c>
      <c r="D43" s="22">
        <f t="shared" si="9"/>
        <v>16611</v>
      </c>
      <c r="E43" s="22">
        <f t="shared" si="9"/>
        <v>44371</v>
      </c>
      <c r="F43" s="22">
        <f>F28+F33+F38</f>
        <v>0</v>
      </c>
      <c r="G43" s="22">
        <f t="shared" si="9"/>
        <v>256715</v>
      </c>
      <c r="H43" s="29">
        <f>SUM(B43:G43)</f>
        <v>8408863</v>
      </c>
    </row>
    <row r="44" spans="1:8" x14ac:dyDescent="0.2">
      <c r="A44" s="65" t="s">
        <v>41</v>
      </c>
      <c r="B44" s="14">
        <f t="shared" si="9"/>
        <v>0</v>
      </c>
      <c r="C44" s="14">
        <f t="shared" si="9"/>
        <v>1408128</v>
      </c>
      <c r="D44" s="14">
        <f t="shared" si="9"/>
        <v>243564</v>
      </c>
      <c r="E44" s="14">
        <f t="shared" si="9"/>
        <v>235464</v>
      </c>
      <c r="F44" s="14">
        <f>F29+F34+F39</f>
        <v>0</v>
      </c>
      <c r="G44" s="14">
        <f t="shared" si="9"/>
        <v>422222</v>
      </c>
      <c r="H44" s="29">
        <f>SUM(B44:G44)</f>
        <v>2309378</v>
      </c>
    </row>
    <row r="45" spans="1:8" ht="15.75" thickBot="1" x14ac:dyDescent="0.3">
      <c r="A45" s="66" t="s">
        <v>49</v>
      </c>
      <c r="B45" s="299">
        <f t="shared" ref="B45:G45" si="10">SUM(B43:B44)</f>
        <v>23176</v>
      </c>
      <c r="C45" s="299">
        <f t="shared" si="10"/>
        <v>9476118</v>
      </c>
      <c r="D45" s="299">
        <f t="shared" si="10"/>
        <v>260175</v>
      </c>
      <c r="E45" s="299">
        <f t="shared" si="10"/>
        <v>279835</v>
      </c>
      <c r="F45" s="299">
        <f t="shared" si="10"/>
        <v>0</v>
      </c>
      <c r="G45" s="299">
        <f t="shared" si="10"/>
        <v>678937</v>
      </c>
      <c r="H45" s="300">
        <f>SUM(B45:G45)</f>
        <v>10718241</v>
      </c>
    </row>
    <row r="46" spans="1:8" x14ac:dyDescent="0.2">
      <c r="B46" s="13"/>
      <c r="C46" s="13"/>
      <c r="D46" s="13"/>
      <c r="E46" s="13"/>
      <c r="F46" s="13"/>
      <c r="G46" s="13"/>
    </row>
    <row r="47" spans="1:8" hidden="1" x14ac:dyDescent="0.2">
      <c r="A47" s="410" t="s">
        <v>136</v>
      </c>
      <c r="C47" s="330">
        <f>[2]Delta!$DJ$70+[2]Delta!$DJ$73</f>
        <v>302985</v>
      </c>
      <c r="D47" s="317"/>
      <c r="E47" s="317"/>
      <c r="F47" s="317"/>
      <c r="G47" s="317"/>
      <c r="H47" s="318">
        <f>SUM(B47:G47)</f>
        <v>302985</v>
      </c>
    </row>
    <row r="48" spans="1:8" hidden="1" x14ac:dyDescent="0.2">
      <c r="A48" s="411" t="s">
        <v>137</v>
      </c>
      <c r="C48" s="330">
        <f>[2]Delta!$DJ$71+[2]Delta!$DJ$74</f>
        <v>294618</v>
      </c>
      <c r="D48" s="317"/>
      <c r="E48" s="317"/>
      <c r="F48" s="317"/>
      <c r="G48" s="317"/>
      <c r="H48" s="318">
        <f>SUM(B48:G48)</f>
        <v>294618</v>
      </c>
    </row>
    <row r="49" spans="1:8" hidden="1" x14ac:dyDescent="0.2">
      <c r="A49" s="412" t="s">
        <v>138</v>
      </c>
      <c r="C49" s="331">
        <f>SUM(C47:C48)</f>
        <v>597603</v>
      </c>
      <c r="H49" s="318">
        <f>SUM(B49:G49)</f>
        <v>597603</v>
      </c>
    </row>
    <row r="50" spans="1:8" x14ac:dyDescent="0.2">
      <c r="A50" s="410" t="s">
        <v>136</v>
      </c>
      <c r="B50" s="424"/>
      <c r="C50" s="333">
        <f>[2]Delta!$DJ$70+[2]Delta!$DJ$73</f>
        <v>302985</v>
      </c>
      <c r="D50" s="424"/>
      <c r="E50" s="424"/>
      <c r="F50" s="424"/>
      <c r="G50" s="332">
        <f>'Other Major Airline Stats'!I48</f>
        <v>130913</v>
      </c>
      <c r="H50" s="321">
        <f>SUM(B50:G50)</f>
        <v>433898</v>
      </c>
    </row>
    <row r="51" spans="1:8" x14ac:dyDescent="0.2">
      <c r="A51" s="426" t="s">
        <v>137</v>
      </c>
      <c r="B51" s="424"/>
      <c r="C51" s="333">
        <f>[2]Delta!$DJ$71+[2]Delta!$DJ$74</f>
        <v>294618</v>
      </c>
      <c r="D51" s="424"/>
      <c r="E51" s="424"/>
      <c r="F51" s="424"/>
      <c r="G51" s="332">
        <f>+'Other Major Airline Stats'!I49</f>
        <v>13</v>
      </c>
      <c r="H51" s="321">
        <f>SUM(B51:G51)</f>
        <v>294631</v>
      </c>
    </row>
    <row r="52" spans="1:8" x14ac:dyDescent="0.2">
      <c r="E52" s="11"/>
      <c r="F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January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10" zoomScaleNormal="100" workbookViewId="0">
      <selection activeCell="H48" sqref="H48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415">
        <v>41640</v>
      </c>
      <c r="B2" s="24" t="s">
        <v>50</v>
      </c>
      <c r="C2" s="25" t="s">
        <v>51</v>
      </c>
      <c r="D2" s="25" t="s">
        <v>179</v>
      </c>
      <c r="E2" s="25" t="s">
        <v>52</v>
      </c>
      <c r="F2" s="24" t="s">
        <v>145</v>
      </c>
      <c r="G2" s="24" t="s">
        <v>53</v>
      </c>
      <c r="H2" s="24" t="s">
        <v>143</v>
      </c>
      <c r="I2" s="282" t="s">
        <v>67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[2]AirTran!$DJ$22</f>
        <v>10256</v>
      </c>
      <c r="C5" s="150">
        <f>[2]Frontier!$DJ$22</f>
        <v>13371</v>
      </c>
      <c r="D5" s="150">
        <f>'[2]Great Lakes'!$DJ$22</f>
        <v>1391</v>
      </c>
      <c r="E5" s="150">
        <f>[2]Icelandair!$DJ$32</f>
        <v>0</v>
      </c>
      <c r="F5" s="122">
        <f>[2]Southwest!$DJ$22</f>
        <v>51131</v>
      </c>
      <c r="G5" s="122">
        <f>'[2]Sun Country'!$DJ$22+'[2]Sun Country'!$DJ$32</f>
        <v>69906</v>
      </c>
      <c r="H5" s="122">
        <f>[2]Alaska!$DJ$22</f>
        <v>6765</v>
      </c>
      <c r="I5" s="151">
        <f>SUM(B5:H5)</f>
        <v>152820</v>
      </c>
      <c r="L5" s="134"/>
    </row>
    <row r="6" spans="1:12" x14ac:dyDescent="0.2">
      <c r="A6" s="65" t="s">
        <v>34</v>
      </c>
      <c r="B6" s="302">
        <f>[2]AirTran!$DJ$23</f>
        <v>11041</v>
      </c>
      <c r="C6" s="150">
        <f>[2]Frontier!$DJ$23</f>
        <v>13547</v>
      </c>
      <c r="D6" s="150">
        <f>'[2]Great Lakes'!$DJ$23</f>
        <v>1375</v>
      </c>
      <c r="E6" s="150">
        <f>[2]Icelandair!$DJ$33</f>
        <v>0</v>
      </c>
      <c r="F6" s="122">
        <f>[2]Southwest!$DJ$23</f>
        <v>55192</v>
      </c>
      <c r="G6" s="122">
        <f>'[2]Sun Country'!$DJ$23+'[2]Sun Country'!$DJ$33</f>
        <v>75734</v>
      </c>
      <c r="H6" s="122">
        <f>[2]Alaska!$DJ$23</f>
        <v>7484</v>
      </c>
      <c r="I6" s="151">
        <f>SUM(B6:H6)</f>
        <v>164373</v>
      </c>
    </row>
    <row r="7" spans="1:12" ht="15" x14ac:dyDescent="0.25">
      <c r="A7" s="63" t="s">
        <v>7</v>
      </c>
      <c r="B7" s="159">
        <f t="shared" ref="B7:H7" si="0">SUM(B5:B6)</f>
        <v>21297</v>
      </c>
      <c r="C7" s="159">
        <f t="shared" si="0"/>
        <v>26918</v>
      </c>
      <c r="D7" s="159">
        <f t="shared" si="0"/>
        <v>2766</v>
      </c>
      <c r="E7" s="159">
        <f t="shared" si="0"/>
        <v>0</v>
      </c>
      <c r="F7" s="159">
        <f t="shared" si="0"/>
        <v>106323</v>
      </c>
      <c r="G7" s="159">
        <f>SUM(G5:G6)</f>
        <v>145640</v>
      </c>
      <c r="H7" s="159">
        <f t="shared" si="0"/>
        <v>14249</v>
      </c>
      <c r="I7" s="160">
        <f>SUM(B7:H7)</f>
        <v>317193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[2]AirTran!$DJ$27</f>
        <v>132</v>
      </c>
      <c r="C10" s="158">
        <f>[2]Frontier!$DJ$27</f>
        <v>151</v>
      </c>
      <c r="D10" s="158">
        <f>'[2]Great Lakes'!$DJ$27</f>
        <v>90</v>
      </c>
      <c r="E10" s="158">
        <f>[2]Icelandair!$DJ$37</f>
        <v>0</v>
      </c>
      <c r="F10" s="158">
        <f>[2]Southwest!$DJ$27</f>
        <v>1286</v>
      </c>
      <c r="G10" s="158">
        <f>'[2]Sun Country'!$DJ$27+'[2]Sun Country'!$DJ$37</f>
        <v>1478</v>
      </c>
      <c r="H10" s="158">
        <f>[2]Alaska!$DJ$27</f>
        <v>324</v>
      </c>
      <c r="I10" s="151">
        <f>SUM(B10:H10)</f>
        <v>3461</v>
      </c>
    </row>
    <row r="11" spans="1:12" x14ac:dyDescent="0.2">
      <c r="A11" s="65" t="s">
        <v>36</v>
      </c>
      <c r="B11" s="14">
        <f>[2]AirTran!$DJ$28</f>
        <v>164</v>
      </c>
      <c r="C11" s="161">
        <f>[2]Frontier!$DJ$28</f>
        <v>173</v>
      </c>
      <c r="D11" s="161">
        <f>'[2]Great Lakes'!$DJ$28</f>
        <v>76</v>
      </c>
      <c r="E11" s="161">
        <f>[2]Icelandair!$DJ$38</f>
        <v>0</v>
      </c>
      <c r="F11" s="161">
        <f>[2]Southwest!$DJ$28</f>
        <v>1194</v>
      </c>
      <c r="G11" s="161">
        <f>'[2]Sun Country'!$DJ$28+'[2]Sun Country'!$DJ$38</f>
        <v>1632</v>
      </c>
      <c r="H11" s="161">
        <f>[2]Alaska!$DJ$28</f>
        <v>309</v>
      </c>
      <c r="I11" s="151">
        <f>SUM(B11:H11)</f>
        <v>3548</v>
      </c>
    </row>
    <row r="12" spans="1:12" ht="15.75" thickBot="1" x14ac:dyDescent="0.3">
      <c r="A12" s="66" t="s">
        <v>37</v>
      </c>
      <c r="B12" s="154">
        <f t="shared" ref="B12:H12" si="1">SUM(B10:B11)</f>
        <v>296</v>
      </c>
      <c r="C12" s="154">
        <f t="shared" si="1"/>
        <v>324</v>
      </c>
      <c r="D12" s="154">
        <f t="shared" si="1"/>
        <v>166</v>
      </c>
      <c r="E12" s="154">
        <f t="shared" si="1"/>
        <v>0</v>
      </c>
      <c r="F12" s="154">
        <f t="shared" si="1"/>
        <v>2480</v>
      </c>
      <c r="G12" s="154">
        <f>SUM(G10:G11)</f>
        <v>3110</v>
      </c>
      <c r="H12" s="154">
        <f t="shared" si="1"/>
        <v>633</v>
      </c>
      <c r="I12" s="162">
        <f>SUM(B12:H12)</f>
        <v>7009</v>
      </c>
      <c r="L12" s="134"/>
    </row>
    <row r="13" spans="1:12" ht="15" x14ac:dyDescent="0.25">
      <c r="A13" s="62"/>
      <c r="B13" s="303"/>
      <c r="C13" s="303"/>
      <c r="D13" s="303"/>
      <c r="E13" s="303"/>
      <c r="F13" s="303"/>
      <c r="G13" s="303"/>
      <c r="H13" s="303"/>
      <c r="I13" s="304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[2]AirTran!$DJ$4</f>
        <v>112</v>
      </c>
      <c r="C16" s="150">
        <f>[2]Frontier!$DJ$4</f>
        <v>96</v>
      </c>
      <c r="D16" s="150">
        <f>'[2]Great Lakes'!$DJ$4</f>
        <v>255</v>
      </c>
      <c r="E16" s="150">
        <f>[2]Icelandair!$DJ$15</f>
        <v>0</v>
      </c>
      <c r="F16" s="109">
        <f>[2]Southwest!$DJ$4</f>
        <v>568</v>
      </c>
      <c r="G16" s="122">
        <f>'[2]Sun Country'!$DJ$4+'[2]Sun Country'!$DJ$15</f>
        <v>740</v>
      </c>
      <c r="H16" s="122">
        <f>[2]Alaska!$DJ$4</f>
        <v>62</v>
      </c>
      <c r="I16" s="151">
        <f>SUM(B16:H16)</f>
        <v>1833</v>
      </c>
    </row>
    <row r="17" spans="1:256" x14ac:dyDescent="0.2">
      <c r="A17" s="65" t="s">
        <v>26</v>
      </c>
      <c r="B17" s="14">
        <f>[2]AirTran!$DJ$5</f>
        <v>112</v>
      </c>
      <c r="C17" s="150">
        <f>[2]Frontier!$DJ$5</f>
        <v>96</v>
      </c>
      <c r="D17" s="150">
        <f>'[2]Great Lakes'!$DJ$5</f>
        <v>255</v>
      </c>
      <c r="E17" s="150">
        <f>[2]Icelandair!$DJ$16</f>
        <v>0</v>
      </c>
      <c r="F17" s="109">
        <f>[2]Southwest!$DJ$5</f>
        <v>568</v>
      </c>
      <c r="G17" s="122">
        <f>'[2]Sun Country'!$DJ$5+'[2]Sun Country'!$DJ$16</f>
        <v>742</v>
      </c>
      <c r="H17" s="122">
        <f>[2]Alaska!$DJ$5</f>
        <v>62</v>
      </c>
      <c r="I17" s="151">
        <f>SUM(B17:H17)</f>
        <v>1835</v>
      </c>
    </row>
    <row r="18" spans="1:256" x14ac:dyDescent="0.2">
      <c r="A18" s="69" t="s">
        <v>27</v>
      </c>
      <c r="B18" s="152">
        <f t="shared" ref="B18:H18" si="2">SUM(B16:B17)</f>
        <v>224</v>
      </c>
      <c r="C18" s="152">
        <f t="shared" si="2"/>
        <v>192</v>
      </c>
      <c r="D18" s="152">
        <f t="shared" si="2"/>
        <v>510</v>
      </c>
      <c r="E18" s="152">
        <f t="shared" si="2"/>
        <v>0</v>
      </c>
      <c r="F18" s="152">
        <f t="shared" si="2"/>
        <v>1136</v>
      </c>
      <c r="G18" s="152">
        <f t="shared" si="2"/>
        <v>1482</v>
      </c>
      <c r="H18" s="152">
        <f t="shared" si="2"/>
        <v>124</v>
      </c>
      <c r="I18" s="153">
        <f>SUM(B18:H18)</f>
        <v>3668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[2]AirTran!$DJ$8</f>
        <v>0</v>
      </c>
      <c r="C20" s="150">
        <f>[2]Frontier!$DJ$8</f>
        <v>0</v>
      </c>
      <c r="D20" s="150">
        <f>'[2]Great Lakes'!$DJ$8</f>
        <v>0</v>
      </c>
      <c r="E20" s="150">
        <f>[2]Icelandair!$DJ$8</f>
        <v>0</v>
      </c>
      <c r="F20" s="122">
        <f>[2]Southwest!$DJ$8</f>
        <v>0</v>
      </c>
      <c r="G20" s="122">
        <f>'[2]Sun Country'!$DJ$8</f>
        <v>34</v>
      </c>
      <c r="H20" s="122">
        <f>[2]Alaska!$DJ$8</f>
        <v>0</v>
      </c>
      <c r="I20" s="151">
        <f>SUM(B20:H20)</f>
        <v>34</v>
      </c>
    </row>
    <row r="21" spans="1:256" x14ac:dyDescent="0.2">
      <c r="A21" s="65" t="s">
        <v>29</v>
      </c>
      <c r="B21" s="14">
        <f>[2]AirTran!$DJ$9</f>
        <v>0</v>
      </c>
      <c r="C21" s="150">
        <f>[2]Frontier!$DJ$9</f>
        <v>0</v>
      </c>
      <c r="D21" s="150">
        <f>'[2]Great Lakes'!$DJ$9</f>
        <v>0</v>
      </c>
      <c r="E21" s="150">
        <f>[2]Icelandair!$DJ$9</f>
        <v>0</v>
      </c>
      <c r="F21" s="122">
        <f>[2]Southwest!$DJ$9</f>
        <v>0</v>
      </c>
      <c r="G21" s="122">
        <f>'[2]Sun Country'!$DJ$9</f>
        <v>33</v>
      </c>
      <c r="H21" s="122">
        <f>[2]Alaska!$DJ$9</f>
        <v>0</v>
      </c>
      <c r="I21" s="151">
        <f>SUM(B21:H21)</f>
        <v>33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67</v>
      </c>
      <c r="H22" s="152">
        <f t="shared" si="3"/>
        <v>0</v>
      </c>
      <c r="I22" s="153">
        <f>SUM(B22:H22)</f>
        <v>67</v>
      </c>
    </row>
    <row r="23" spans="1:256" ht="15.75" thickBot="1" x14ac:dyDescent="0.3">
      <c r="A23" s="66" t="s">
        <v>31</v>
      </c>
      <c r="B23" s="154">
        <f t="shared" ref="B23:H23" si="4">B22+B18</f>
        <v>224</v>
      </c>
      <c r="C23" s="154">
        <f t="shared" si="4"/>
        <v>192</v>
      </c>
      <c r="D23" s="154">
        <f t="shared" si="4"/>
        <v>510</v>
      </c>
      <c r="E23" s="154">
        <f t="shared" si="4"/>
        <v>0</v>
      </c>
      <c r="F23" s="154">
        <f t="shared" si="4"/>
        <v>1136</v>
      </c>
      <c r="G23" s="154">
        <f t="shared" si="4"/>
        <v>1549</v>
      </c>
      <c r="H23" s="154">
        <f t="shared" si="4"/>
        <v>124</v>
      </c>
      <c r="I23" s="155">
        <f>SUM(B23:H23)</f>
        <v>3735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57"/>
      <c r="C25" s="457"/>
      <c r="D25" s="457"/>
      <c r="E25" s="457"/>
      <c r="F25" s="457"/>
      <c r="G25" s="457"/>
      <c r="H25" s="457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[2]AirTran!$DJ$47</f>
        <v>0</v>
      </c>
      <c r="C28" s="150">
        <f>[2]Frontier!$DJ$47</f>
        <v>0</v>
      </c>
      <c r="D28" s="150">
        <f>'[2]Great Lakes'!$DJ$47</f>
        <v>166</v>
      </c>
      <c r="E28" s="150">
        <f>[2]Icelandair!$DJ$47</f>
        <v>0</v>
      </c>
      <c r="F28" s="122">
        <f>[2]Southwest!$DJ$47</f>
        <v>157577</v>
      </c>
      <c r="G28" s="122">
        <f>'[2]Sun Country'!$DJ$47</f>
        <v>31130</v>
      </c>
      <c r="H28" s="122">
        <f>[2]Alaska!$DJ$47</f>
        <v>14888</v>
      </c>
      <c r="I28" s="151">
        <f>SUM(B28:H28)</f>
        <v>203761</v>
      </c>
    </row>
    <row r="29" spans="1:256" x14ac:dyDescent="0.2">
      <c r="A29" s="65" t="s">
        <v>41</v>
      </c>
      <c r="B29" s="14">
        <f>[2]AirTran!$DJ$48</f>
        <v>0</v>
      </c>
      <c r="C29" s="150">
        <f>[2]Frontier!$DJ$48</f>
        <v>0</v>
      </c>
      <c r="D29" s="150">
        <f>'[2]Great Lakes'!$DJ$48</f>
        <v>0</v>
      </c>
      <c r="E29" s="150">
        <f>[2]Icelandair!$DJ$48</f>
        <v>0</v>
      </c>
      <c r="F29" s="122">
        <f>[2]Southwest!$DJ$48</f>
        <v>0</v>
      </c>
      <c r="G29" s="122">
        <f>'[2]Sun Country'!$DJ$48</f>
        <v>50740</v>
      </c>
      <c r="H29" s="122">
        <f>[2]Alaska!$DJ$48</f>
        <v>0</v>
      </c>
      <c r="I29" s="151">
        <f>SUM(B29:H29)</f>
        <v>50740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166</v>
      </c>
      <c r="E30" s="166">
        <f t="shared" si="5"/>
        <v>0</v>
      </c>
      <c r="F30" s="166">
        <f t="shared" si="5"/>
        <v>157577</v>
      </c>
      <c r="G30" s="166">
        <f t="shared" si="5"/>
        <v>81870</v>
      </c>
      <c r="H30" s="166">
        <f t="shared" si="5"/>
        <v>14888</v>
      </c>
      <c r="I30" s="169">
        <f>SUM(B30:H30)</f>
        <v>254501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[2]AirTran!$DJ$52</f>
        <v>0</v>
      </c>
      <c r="C33" s="150">
        <f>[2]Frontier!$DJ$52</f>
        <v>0</v>
      </c>
      <c r="D33" s="150">
        <f>'[2]Great Lakes'!$DJ$52</f>
        <v>0</v>
      </c>
      <c r="E33" s="150">
        <f>[2]Icelandair!$DJ$52</f>
        <v>0</v>
      </c>
      <c r="F33" s="122">
        <f>[2]Southwest!$DJ$52</f>
        <v>45622</v>
      </c>
      <c r="G33" s="122">
        <f>'[2]Sun Country'!$DJ$52</f>
        <v>0</v>
      </c>
      <c r="H33" s="122">
        <f>[2]Alaska!$DJ$52</f>
        <v>7332</v>
      </c>
      <c r="I33" s="151">
        <f>SUM(B33:H33)</f>
        <v>52954</v>
      </c>
    </row>
    <row r="34" spans="1:9" x14ac:dyDescent="0.2">
      <c r="A34" s="65" t="s">
        <v>41</v>
      </c>
      <c r="B34" s="14">
        <f>[2]AirTran!$DJ$53</f>
        <v>0</v>
      </c>
      <c r="C34" s="150">
        <f>[2]Frontier!$DJ$53</f>
        <v>0</v>
      </c>
      <c r="D34" s="150">
        <f>'[2]Great Lakes'!$DJ$53</f>
        <v>0</v>
      </c>
      <c r="E34" s="150">
        <f>[2]Icelandair!$DJ$53</f>
        <v>0</v>
      </c>
      <c r="F34" s="122">
        <f>[2]Southwest!$DJ$53</f>
        <v>0</v>
      </c>
      <c r="G34" s="122">
        <f>'[2]Sun Country'!$DJ$53</f>
        <v>371482</v>
      </c>
      <c r="H34" s="122">
        <f>[2]Alaska!$DJ$53</f>
        <v>0</v>
      </c>
      <c r="I34" s="167">
        <f>SUM(B34:H34)</f>
        <v>371482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0</v>
      </c>
      <c r="F35" s="168">
        <f t="shared" si="6"/>
        <v>45622</v>
      </c>
      <c r="G35" s="168">
        <f t="shared" si="6"/>
        <v>371482</v>
      </c>
      <c r="H35" s="168">
        <f t="shared" si="6"/>
        <v>7332</v>
      </c>
      <c r="I35" s="169">
        <f>SUM(B35:H35)</f>
        <v>424436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[2]AirTran!$DJ$57</f>
        <v>0</v>
      </c>
      <c r="C38" s="158">
        <f>[2]Frontier!$DJ$57</f>
        <v>0</v>
      </c>
      <c r="D38" s="158">
        <f>'[2]Great Lakes'!$DJ$57</f>
        <v>0</v>
      </c>
      <c r="E38" s="158">
        <f>[2]Icelandair!$DJ$57</f>
        <v>0</v>
      </c>
      <c r="F38" s="158">
        <f>[2]Southwest!$DJ$57</f>
        <v>0</v>
      </c>
      <c r="G38" s="158">
        <f>'[2]Sun Country'!$DJ$57</f>
        <v>0</v>
      </c>
      <c r="H38" s="158">
        <f>[2]Alaska!$DJ$57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[2]AirTran!$DJ$58</f>
        <v>0</v>
      </c>
      <c r="C39" s="161">
        <f>[2]Frontier!$DJ$58</f>
        <v>0</v>
      </c>
      <c r="D39" s="161">
        <f>'[2]Great Lakes'!$DJ$58</f>
        <v>0</v>
      </c>
      <c r="E39" s="161">
        <f>[2]Icelandair!$DJ$58</f>
        <v>0</v>
      </c>
      <c r="F39" s="161">
        <f>[2]Southwest!$DJ$58</f>
        <v>0</v>
      </c>
      <c r="G39" s="161">
        <f>'[2]Sun Country'!$DJ$58</f>
        <v>0</v>
      </c>
      <c r="H39" s="161">
        <f>[2]Alaska!$DJ$58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166</v>
      </c>
      <c r="E43" s="158">
        <f t="shared" si="8"/>
        <v>0</v>
      </c>
      <c r="F43" s="158">
        <f t="shared" si="8"/>
        <v>203199</v>
      </c>
      <c r="G43" s="158">
        <f t="shared" si="8"/>
        <v>31130</v>
      </c>
      <c r="H43" s="158">
        <f t="shared" si="8"/>
        <v>22220</v>
      </c>
      <c r="I43" s="151">
        <f>SUM(B43:H43)</f>
        <v>256715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422222</v>
      </c>
      <c r="H44" s="161">
        <f t="shared" si="9"/>
        <v>0</v>
      </c>
      <c r="I44" s="151">
        <f>SUM(B44:H44)</f>
        <v>422222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166</v>
      </c>
      <c r="E45" s="171">
        <f t="shared" si="10"/>
        <v>0</v>
      </c>
      <c r="F45" s="171">
        <f t="shared" si="10"/>
        <v>203199</v>
      </c>
      <c r="G45" s="171">
        <f t="shared" si="10"/>
        <v>453352</v>
      </c>
      <c r="H45" s="171">
        <f t="shared" si="10"/>
        <v>22220</v>
      </c>
      <c r="I45" s="172">
        <f>SUM(B45:H45)</f>
        <v>678937</v>
      </c>
    </row>
    <row r="48" spans="1:9" x14ac:dyDescent="0.2">
      <c r="A48" s="410" t="s">
        <v>136</v>
      </c>
      <c r="B48" s="424"/>
      <c r="C48" s="424"/>
      <c r="D48" s="424"/>
      <c r="F48" s="333">
        <f>[2]Southwest!$DJ$70+[2]Southwest!$DJ$73</f>
        <v>55179</v>
      </c>
      <c r="G48" s="333">
        <f>'[2]Sun Country'!$DJ$70+'[2]Sun Country'!$DJ$73</f>
        <v>75734</v>
      </c>
      <c r="H48" s="424"/>
      <c r="I48" s="321">
        <f>SUM(B48:H48)</f>
        <v>130913</v>
      </c>
    </row>
    <row r="49" spans="1:9" x14ac:dyDescent="0.2">
      <c r="A49" s="426" t="s">
        <v>137</v>
      </c>
      <c r="B49" s="424"/>
      <c r="C49" s="424"/>
      <c r="D49" s="424"/>
      <c r="F49" s="333">
        <f>[2]Southwest!$DJ$71+[2]Southwest!$DJ$74</f>
        <v>13</v>
      </c>
      <c r="G49" s="333">
        <f>'[2]Sun Country'!$DJ$71+'[2]Sun Country'!$DJ$74</f>
        <v>0</v>
      </c>
      <c r="H49" s="424"/>
      <c r="I49" s="321">
        <f>SUM(B49:H49)</f>
        <v>13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January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opLeftCell="A10" workbookViewId="0">
      <pane xSplit="1" topLeftCell="B1" activePane="topRight" state="frozen"/>
      <selection activeCell="H17" sqref="H17"/>
      <selection pane="topRight" activeCell="I44" sqref="I4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7109375" customWidth="1"/>
    <col min="4" max="4" width="9.28515625" customWidth="1"/>
    <col min="5" max="5" width="10.42578125" bestFit="1" customWidth="1"/>
    <col min="6" max="6" width="9.28515625" customWidth="1"/>
    <col min="7" max="7" width="9" bestFit="1" customWidth="1"/>
    <col min="8" max="8" width="10" customWidth="1"/>
    <col min="9" max="9" width="10.42578125" bestFit="1" customWidth="1"/>
    <col min="10" max="10" width="12.140625" bestFit="1" customWidth="1"/>
  </cols>
  <sheetData>
    <row r="1" spans="1:10" s="7" customFormat="1" x14ac:dyDescent="0.2">
      <c r="A1" s="422"/>
    </row>
    <row r="2" spans="1:10" s="7" customFormat="1" ht="39" thickBot="1" x14ac:dyDescent="0.25">
      <c r="A2" s="415">
        <v>41640</v>
      </c>
      <c r="B2" s="19" t="s">
        <v>203</v>
      </c>
      <c r="C2" s="19" t="s">
        <v>208</v>
      </c>
      <c r="D2" s="19" t="s">
        <v>207</v>
      </c>
      <c r="E2" s="19" t="s">
        <v>170</v>
      </c>
      <c r="F2" s="19" t="s">
        <v>171</v>
      </c>
      <c r="G2" s="20" t="s">
        <v>58</v>
      </c>
      <c r="H2" s="19" t="s">
        <v>174</v>
      </c>
      <c r="I2" s="19" t="s">
        <v>128</v>
      </c>
      <c r="J2" s="19" t="s">
        <v>24</v>
      </c>
    </row>
    <row r="3" spans="1:10" ht="15.75" thickTop="1" x14ac:dyDescent="0.25">
      <c r="A3" s="289" t="s">
        <v>3</v>
      </c>
      <c r="B3" s="129"/>
      <c r="C3" s="130"/>
      <c r="D3" s="130"/>
      <c r="E3" s="129"/>
      <c r="F3" s="129"/>
      <c r="G3" s="129"/>
      <c r="H3" s="129"/>
      <c r="I3" s="129"/>
      <c r="J3" s="131"/>
    </row>
    <row r="4" spans="1:10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13"/>
    </row>
    <row r="5" spans="1:10" x14ac:dyDescent="0.2">
      <c r="A5" s="65" t="s">
        <v>33</v>
      </c>
      <c r="B5" s="135">
        <f>[2]Pinnacle!$DJ$22+[2]Pinnacle!$DJ$32</f>
        <v>156197</v>
      </c>
      <c r="C5" s="136">
        <f>[2]Chautaqua_Continental!$DJ$22</f>
        <v>626</v>
      </c>
      <c r="D5" s="136">
        <f>[2]MESA_UA!$DJ$22</f>
        <v>1337</v>
      </c>
      <c r="E5" s="134">
        <f>'[2]Sky West'!$DJ$22+'[2]Sky West'!$DJ$32</f>
        <v>56166</v>
      </c>
      <c r="F5" s="134">
        <f>'[2]Sky West_UA'!$DJ$22</f>
        <v>1576</v>
      </c>
      <c r="G5" s="134">
        <f>[2]Republic!$DJ$22</f>
        <v>5417</v>
      </c>
      <c r="H5" s="134">
        <f>'[2]American Eagle'!$DJ$22</f>
        <v>9637</v>
      </c>
      <c r="I5" s="134">
        <f>'Other Regional'!K5</f>
        <v>121933</v>
      </c>
      <c r="J5" s="113">
        <f>SUM(B5:I5)</f>
        <v>352889</v>
      </c>
    </row>
    <row r="6" spans="1:10" s="10" customFormat="1" x14ac:dyDescent="0.2">
      <c r="A6" s="65" t="s">
        <v>34</v>
      </c>
      <c r="B6" s="135">
        <f>[2]Pinnacle!$DJ$23+[2]Pinnacle!$DJ$33</f>
        <v>152011</v>
      </c>
      <c r="C6" s="136">
        <f>[2]Chautaqua_Continental!$DJ$23</f>
        <v>631</v>
      </c>
      <c r="D6" s="136">
        <f>[2]MESA_UA!$DJ$23</f>
        <v>1304</v>
      </c>
      <c r="E6" s="134">
        <f>'[2]Sky West'!$DJ$23+'[2]Sky West'!$DJ$33</f>
        <v>55827</v>
      </c>
      <c r="F6" s="134">
        <f>'[2]Sky West_UA'!$DJ$23</f>
        <v>1394</v>
      </c>
      <c r="G6" s="134">
        <f>[2]Republic!$DJ$23</f>
        <v>5398</v>
      </c>
      <c r="H6" s="134">
        <f>'[2]American Eagle'!$DJ$23</f>
        <v>9521</v>
      </c>
      <c r="I6" s="134">
        <f>'Other Regional'!K6</f>
        <v>126082</v>
      </c>
      <c r="J6" s="119">
        <f>SUM(B6:I6)</f>
        <v>352168</v>
      </c>
    </row>
    <row r="7" spans="1:10" ht="15" thickBot="1" x14ac:dyDescent="0.25">
      <c r="A7" s="76" t="s">
        <v>7</v>
      </c>
      <c r="B7" s="137">
        <f>SUM(B5:B6)</f>
        <v>308208</v>
      </c>
      <c r="C7" s="137">
        <f t="shared" ref="C7:I7" si="0">SUM(C5:C6)</f>
        <v>1257</v>
      </c>
      <c r="D7" s="137">
        <f t="shared" si="0"/>
        <v>2641</v>
      </c>
      <c r="E7" s="137">
        <f t="shared" si="0"/>
        <v>111993</v>
      </c>
      <c r="F7" s="137">
        <f t="shared" si="0"/>
        <v>2970</v>
      </c>
      <c r="G7" s="137">
        <f t="shared" si="0"/>
        <v>10815</v>
      </c>
      <c r="H7" s="137">
        <f t="shared" si="0"/>
        <v>19158</v>
      </c>
      <c r="I7" s="137">
        <f t="shared" si="0"/>
        <v>248015</v>
      </c>
      <c r="J7" s="138">
        <f>SUM(B7:I7)</f>
        <v>705057</v>
      </c>
    </row>
    <row r="8" spans="1:10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9"/>
    </row>
    <row r="9" spans="1:10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13"/>
    </row>
    <row r="10" spans="1:10" x14ac:dyDescent="0.2">
      <c r="A10" s="65" t="s">
        <v>33</v>
      </c>
      <c r="B10" s="135">
        <f>[2]Pinnacle!$DJ$27+[2]Pinnacle!$DJ$37</f>
        <v>5641</v>
      </c>
      <c r="C10" s="136">
        <f>[2]Chautaqua_Continental!$DJ$27</f>
        <v>0</v>
      </c>
      <c r="D10" s="136">
        <f>[2]MESA_UA!$DJ$27</f>
        <v>137</v>
      </c>
      <c r="E10" s="134">
        <f>'[2]Sky West'!$DJ$27+'[2]Sky West'!$DJ$37</f>
        <v>2338</v>
      </c>
      <c r="F10" s="134">
        <f>'[2]Sky West_UA'!$DJ$27</f>
        <v>61</v>
      </c>
      <c r="G10" s="134">
        <f>[2]Republic!$DJ$27</f>
        <v>0</v>
      </c>
      <c r="H10" s="134">
        <f>'[2]American Eagle'!$DJ$27</f>
        <v>137</v>
      </c>
      <c r="I10" s="134">
        <f>'Other Regional'!K10</f>
        <v>4508</v>
      </c>
      <c r="J10" s="113">
        <f>SUM(B10:I10)</f>
        <v>12822</v>
      </c>
    </row>
    <row r="11" spans="1:10" x14ac:dyDescent="0.2">
      <c r="A11" s="65" t="s">
        <v>36</v>
      </c>
      <c r="B11" s="135">
        <f>[2]Pinnacle!$DJ$28+[2]Pinnacle!$DJ$38</f>
        <v>5880</v>
      </c>
      <c r="C11" s="136">
        <f>[2]Chautaqua_Continental!$DJ$28</f>
        <v>0</v>
      </c>
      <c r="D11" s="136">
        <f>[2]MESA_UA!$DJ$28</f>
        <v>121</v>
      </c>
      <c r="E11" s="134">
        <f>'[2]Sky West'!$DJ$28+'[2]Sky West'!$DJ$38</f>
        <v>2310</v>
      </c>
      <c r="F11" s="134">
        <f>'[2]Sky West_UA'!$DJ$28</f>
        <v>87</v>
      </c>
      <c r="G11" s="134">
        <f>[2]Republic!$DJ$28</f>
        <v>0</v>
      </c>
      <c r="H11" s="134">
        <f>'[2]American Eagle'!$DJ$28</f>
        <v>161</v>
      </c>
      <c r="I11" s="134">
        <f>'Other Regional'!K11</f>
        <v>4364</v>
      </c>
      <c r="J11" s="119">
        <f>SUM(B11:I11)</f>
        <v>12923</v>
      </c>
    </row>
    <row r="12" spans="1:10" ht="15" thickBot="1" x14ac:dyDescent="0.25">
      <c r="A12" s="77" t="s">
        <v>37</v>
      </c>
      <c r="B12" s="140">
        <f t="shared" ref="B12:I12" si="1">SUM(B10:B11)</f>
        <v>11521</v>
      </c>
      <c r="C12" s="140">
        <f t="shared" si="1"/>
        <v>0</v>
      </c>
      <c r="D12" s="140">
        <f t="shared" si="1"/>
        <v>258</v>
      </c>
      <c r="E12" s="140">
        <f t="shared" si="1"/>
        <v>4648</v>
      </c>
      <c r="F12" s="140">
        <f t="shared" si="1"/>
        <v>148</v>
      </c>
      <c r="G12" s="140">
        <f t="shared" si="1"/>
        <v>0</v>
      </c>
      <c r="H12" s="140">
        <f t="shared" si="1"/>
        <v>298</v>
      </c>
      <c r="I12" s="140">
        <f t="shared" si="1"/>
        <v>8872</v>
      </c>
      <c r="J12" s="141">
        <f>SUM(B12:I12)</f>
        <v>25745</v>
      </c>
    </row>
    <row r="13" spans="1:10" ht="13.5" thickBot="1" x14ac:dyDescent="0.25"/>
    <row r="14" spans="1:10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8">
        <f t="shared" ref="J14:J21" si="2">SUM(B14:I14)</f>
        <v>0</v>
      </c>
    </row>
    <row r="15" spans="1:10" x14ac:dyDescent="0.2">
      <c r="A15" s="65" t="s">
        <v>59</v>
      </c>
      <c r="B15" s="22">
        <f>[2]Pinnacle!$DJ$4+[2]Pinnacle!$DJ$15</f>
        <v>3457</v>
      </c>
      <c r="C15" s="111">
        <f>[2]Chautaqua_Continental!$DJ$4</f>
        <v>18</v>
      </c>
      <c r="D15" s="111">
        <f>[2]MESA_UA!$DJ$4</f>
        <v>25</v>
      </c>
      <c r="E15" s="109">
        <f>'[2]Sky West'!$DJ$4+'[2]Sky West'!$DJ$15</f>
        <v>1505</v>
      </c>
      <c r="F15" s="109">
        <f>'[2]Sky West_UA'!$DJ$4</f>
        <v>30</v>
      </c>
      <c r="G15" s="112">
        <f>[2]Republic!$DJ$4</f>
        <v>92</v>
      </c>
      <c r="H15" s="112">
        <f>'[2]American Eagle'!$DJ$4</f>
        <v>202</v>
      </c>
      <c r="I15" s="110">
        <f>'Other Regional'!K15</f>
        <v>2371</v>
      </c>
      <c r="J15" s="113">
        <f t="shared" si="2"/>
        <v>7700</v>
      </c>
    </row>
    <row r="16" spans="1:10" x14ac:dyDescent="0.2">
      <c r="A16" s="65" t="s">
        <v>60</v>
      </c>
      <c r="B16" s="14">
        <f>[2]Pinnacle!$DJ$5+[2]Pinnacle!$DJ$16</f>
        <v>3450</v>
      </c>
      <c r="C16" s="116">
        <f>[2]Chautaqua_Continental!$DJ$5</f>
        <v>18</v>
      </c>
      <c r="D16" s="116">
        <f>[2]MESA_UA!$DJ$5</f>
        <v>25</v>
      </c>
      <c r="E16" s="114">
        <f>'[2]Sky West'!$DJ$5+'[2]Sky West'!$DJ$16</f>
        <v>1504</v>
      </c>
      <c r="F16" s="114">
        <f>'[2]Sky West_UA'!$DJ$5</f>
        <v>30</v>
      </c>
      <c r="G16" s="117">
        <f>[2]Republic!$DJ$5</f>
        <v>89</v>
      </c>
      <c r="H16" s="117">
        <f>'[2]American Eagle'!$DJ$5</f>
        <v>202</v>
      </c>
      <c r="I16" s="115">
        <f>'Other Regional'!K16</f>
        <v>2363</v>
      </c>
      <c r="J16" s="119">
        <f t="shared" si="2"/>
        <v>7681</v>
      </c>
    </row>
    <row r="17" spans="1:10" x14ac:dyDescent="0.2">
      <c r="A17" s="74" t="s">
        <v>61</v>
      </c>
      <c r="B17" s="120">
        <f t="shared" ref="B17:H17" si="3">SUM(B15:B16)</f>
        <v>6907</v>
      </c>
      <c r="C17" s="120">
        <f t="shared" si="3"/>
        <v>36</v>
      </c>
      <c r="D17" s="120">
        <f t="shared" si="3"/>
        <v>50</v>
      </c>
      <c r="E17" s="120">
        <f t="shared" si="3"/>
        <v>3009</v>
      </c>
      <c r="F17" s="120">
        <f t="shared" si="3"/>
        <v>60</v>
      </c>
      <c r="G17" s="120">
        <f t="shared" si="3"/>
        <v>181</v>
      </c>
      <c r="H17" s="120">
        <f t="shared" si="3"/>
        <v>404</v>
      </c>
      <c r="I17" s="120">
        <f>SUM(I15:I16)</f>
        <v>4734</v>
      </c>
      <c r="J17" s="121">
        <f t="shared" si="2"/>
        <v>15381</v>
      </c>
    </row>
    <row r="18" spans="1:10" x14ac:dyDescent="0.2">
      <c r="A18" s="65" t="s">
        <v>62</v>
      </c>
      <c r="B18" s="122">
        <f>[2]Pinnacle!$DJ$8</f>
        <v>0</v>
      </c>
      <c r="C18" s="123">
        <f>[2]Chautaqua_Continental!$DJ$8</f>
        <v>0</v>
      </c>
      <c r="D18" s="123">
        <f>[2]MESA_UA!$DJ$8</f>
        <v>0</v>
      </c>
      <c r="E18" s="122">
        <f>'[2]Sky West'!$DJ$8</f>
        <v>1</v>
      </c>
      <c r="F18" s="122">
        <f>'[2]Sky West_UA'!$DJ$8</f>
        <v>0</v>
      </c>
      <c r="G18" s="122">
        <f>[2]Republic!$DJ$8</f>
        <v>0</v>
      </c>
      <c r="H18" s="122">
        <f>'[2]American Eagle'!$DJ$8</f>
        <v>0</v>
      </c>
      <c r="I18" s="122">
        <f>'Other Regional'!K18</f>
        <v>2</v>
      </c>
      <c r="J18" s="113">
        <f t="shared" si="2"/>
        <v>3</v>
      </c>
    </row>
    <row r="19" spans="1:10" x14ac:dyDescent="0.2">
      <c r="A19" s="65" t="s">
        <v>63</v>
      </c>
      <c r="B19" s="124">
        <f>[2]Pinnacle!$DJ$9</f>
        <v>7</v>
      </c>
      <c r="C19" s="125">
        <f>[2]Chautaqua_Continental!$DJ$9</f>
        <v>0</v>
      </c>
      <c r="D19" s="125">
        <f>[2]MESA_UA!$DJ$9</f>
        <v>0</v>
      </c>
      <c r="E19" s="124">
        <f>'[2]Sky West'!$DJ$9</f>
        <v>3</v>
      </c>
      <c r="F19" s="124">
        <f>'[2]Sky West_UA'!$DJ$9</f>
        <v>0</v>
      </c>
      <c r="G19" s="124">
        <f>[2]Republic!$DJ$9</f>
        <v>0</v>
      </c>
      <c r="H19" s="124">
        <f>'[2]American Eagle'!$DJ$9</f>
        <v>0</v>
      </c>
      <c r="I19" s="124">
        <f>'Other Regional'!K19</f>
        <v>1</v>
      </c>
      <c r="J19" s="119">
        <f t="shared" si="2"/>
        <v>11</v>
      </c>
    </row>
    <row r="20" spans="1:10" x14ac:dyDescent="0.2">
      <c r="A20" s="74" t="s">
        <v>64</v>
      </c>
      <c r="B20" s="120">
        <f t="shared" ref="B20:I20" si="4">SUM(B18:B19)</f>
        <v>7</v>
      </c>
      <c r="C20" s="120">
        <f t="shared" si="4"/>
        <v>0</v>
      </c>
      <c r="D20" s="120">
        <f t="shared" si="4"/>
        <v>0</v>
      </c>
      <c r="E20" s="120">
        <f t="shared" si="4"/>
        <v>4</v>
      </c>
      <c r="F20" s="120">
        <f t="shared" si="4"/>
        <v>0</v>
      </c>
      <c r="G20" s="120">
        <f t="shared" si="4"/>
        <v>0</v>
      </c>
      <c r="H20" s="120">
        <f t="shared" si="4"/>
        <v>0</v>
      </c>
      <c r="I20" s="120">
        <f t="shared" si="4"/>
        <v>3</v>
      </c>
      <c r="J20" s="121">
        <f t="shared" si="2"/>
        <v>14</v>
      </c>
    </row>
    <row r="21" spans="1:10" ht="15.75" thickBot="1" x14ac:dyDescent="0.3">
      <c r="A21" s="75" t="s">
        <v>31</v>
      </c>
      <c r="B21" s="126">
        <f t="shared" ref="B21:H21" si="5">SUM(B20,B17)</f>
        <v>6914</v>
      </c>
      <c r="C21" s="126">
        <f t="shared" si="5"/>
        <v>36</v>
      </c>
      <c r="D21" s="126">
        <f t="shared" si="5"/>
        <v>50</v>
      </c>
      <c r="E21" s="126">
        <f t="shared" si="5"/>
        <v>3013</v>
      </c>
      <c r="F21" s="126">
        <f t="shared" si="5"/>
        <v>60</v>
      </c>
      <c r="G21" s="126">
        <f t="shared" si="5"/>
        <v>181</v>
      </c>
      <c r="H21" s="126">
        <f t="shared" si="5"/>
        <v>404</v>
      </c>
      <c r="I21" s="126">
        <f>SUM(I20,I17)</f>
        <v>4737</v>
      </c>
      <c r="J21" s="127">
        <f t="shared" si="2"/>
        <v>15395</v>
      </c>
    </row>
    <row r="22" spans="1:10" ht="13.5" thickBot="1" x14ac:dyDescent="0.25"/>
    <row r="23" spans="1:10" ht="15.75" thickTop="1" x14ac:dyDescent="0.25">
      <c r="A23" s="68" t="s">
        <v>127</v>
      </c>
      <c r="B23" s="142"/>
      <c r="C23" s="143"/>
      <c r="D23" s="143"/>
      <c r="E23" s="142"/>
      <c r="F23" s="142"/>
      <c r="G23" s="142"/>
      <c r="H23" s="142"/>
      <c r="I23" s="142"/>
      <c r="J23" s="144"/>
    </row>
    <row r="24" spans="1:10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13"/>
    </row>
    <row r="25" spans="1:10" x14ac:dyDescent="0.2">
      <c r="A25" s="78" t="s">
        <v>40</v>
      </c>
      <c r="B25" s="134">
        <f>[2]Pinnacle!$DJ$47</f>
        <v>0</v>
      </c>
      <c r="C25" s="136">
        <f>[2]Chautaqua_Continental!$DJ$47</f>
        <v>0</v>
      </c>
      <c r="D25" s="136">
        <f>[2]MESA_UA!$DJ$47</f>
        <v>0</v>
      </c>
      <c r="E25" s="134">
        <f>'[2]Sky West'!$DJ$47</f>
        <v>0</v>
      </c>
      <c r="F25" s="134">
        <f>'[2]Sky West_UA'!$DJ$47</f>
        <v>0</v>
      </c>
      <c r="G25" s="134">
        <f>[2]Republic!$DJ$47</f>
        <v>0</v>
      </c>
      <c r="H25" s="134">
        <f>'[2]American Eagle'!$DJ$47</f>
        <v>0</v>
      </c>
      <c r="I25" s="134">
        <f>'Other Regional'!K25</f>
        <v>0</v>
      </c>
      <c r="J25" s="113">
        <f>SUM(B25:I25)</f>
        <v>0</v>
      </c>
    </row>
    <row r="26" spans="1:10" x14ac:dyDescent="0.2">
      <c r="A26" s="78" t="s">
        <v>41</v>
      </c>
      <c r="B26" s="134">
        <f>[2]Pinnacle!$DJ$48</f>
        <v>0</v>
      </c>
      <c r="C26" s="136">
        <f>[2]Chautaqua_Continental!$DJ$48</f>
        <v>0</v>
      </c>
      <c r="D26" s="136">
        <f>[2]MESA_UA!$DJ$48</f>
        <v>0</v>
      </c>
      <c r="E26" s="134">
        <f>'[2]Sky West'!$DJ$48</f>
        <v>0</v>
      </c>
      <c r="F26" s="134">
        <f>'[2]Sky West_UA'!$DJ$48</f>
        <v>0</v>
      </c>
      <c r="G26" s="134">
        <f>[2]Republic!$DJ$48</f>
        <v>0</v>
      </c>
      <c r="H26" s="134">
        <f>'[2]American Eagle'!$DJ$48</f>
        <v>0</v>
      </c>
      <c r="I26" s="134">
        <f>'Other Regional'!K26</f>
        <v>0</v>
      </c>
      <c r="J26" s="113">
        <f>SUM(B26:I26)</f>
        <v>0</v>
      </c>
    </row>
    <row r="27" spans="1:10" ht="15" thickBot="1" x14ac:dyDescent="0.25">
      <c r="A27" s="76" t="s">
        <v>42</v>
      </c>
      <c r="B27" s="137">
        <f t="shared" ref="B27:I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8">
        <f>SUM(B27:I27)</f>
        <v>0</v>
      </c>
    </row>
    <row r="28" spans="1:10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13"/>
    </row>
    <row r="29" spans="1:10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J29" s="113"/>
    </row>
    <row r="30" spans="1:10" x14ac:dyDescent="0.2">
      <c r="A30" s="78" t="s">
        <v>65</v>
      </c>
      <c r="B30" s="134">
        <f>[2]Pinnacle!$DJ$52</f>
        <v>0</v>
      </c>
      <c r="C30" s="136">
        <f>[2]Chautaqua_Continental!$DJ$52</f>
        <v>0</v>
      </c>
      <c r="D30" s="136">
        <f>[2]MESA_UA!$DJ$52</f>
        <v>0</v>
      </c>
      <c r="E30" s="134">
        <f>'[2]Sky West'!$DJ$52</f>
        <v>0</v>
      </c>
      <c r="F30" s="134">
        <f>'[2]Sky West_UA'!$DJ$52</f>
        <v>0</v>
      </c>
      <c r="G30" s="134">
        <f>[2]Republic!$DJ$52</f>
        <v>0</v>
      </c>
      <c r="H30" s="134">
        <f>'[2]American Eagle'!$DJ$52</f>
        <v>0</v>
      </c>
      <c r="I30" s="134">
        <f>'Other Regional'!K30</f>
        <v>0</v>
      </c>
      <c r="J30" s="113">
        <f t="shared" ref="J30:J37" si="7">SUM(B30:I30)</f>
        <v>0</v>
      </c>
    </row>
    <row r="31" spans="1:10" x14ac:dyDescent="0.2">
      <c r="A31" s="78" t="s">
        <v>66</v>
      </c>
      <c r="B31" s="134">
        <f>[2]Pinnacle!$DJ$53</f>
        <v>0</v>
      </c>
      <c r="C31" s="136">
        <f>[2]Chautaqua_Continental!$DJ$53</f>
        <v>0</v>
      </c>
      <c r="D31" s="136">
        <f>[2]MESA_UA!$DJ$53</f>
        <v>0</v>
      </c>
      <c r="E31" s="134">
        <f>'[2]Sky West'!$DJ$53</f>
        <v>0</v>
      </c>
      <c r="F31" s="134">
        <f>'[2]Sky West_UA'!$DJ$53</f>
        <v>0</v>
      </c>
      <c r="G31" s="134">
        <f>[2]Republic!$DJ$53</f>
        <v>0</v>
      </c>
      <c r="H31" s="134">
        <f>'[2]American Eagle'!$DJ$53</f>
        <v>0</v>
      </c>
      <c r="I31" s="134">
        <f>'Other Regional'!K31</f>
        <v>0</v>
      </c>
      <c r="J31" s="113">
        <f t="shared" si="7"/>
        <v>0</v>
      </c>
    </row>
    <row r="32" spans="1:10" ht="15" thickBot="1" x14ac:dyDescent="0.25">
      <c r="A32" s="76" t="s">
        <v>44</v>
      </c>
      <c r="B32" s="137">
        <f t="shared" ref="B32:H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>SUM(I30:I31)</f>
        <v>0</v>
      </c>
      <c r="J32" s="138">
        <f t="shared" si="7"/>
        <v>0</v>
      </c>
    </row>
    <row r="33" spans="1:10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13">
        <f t="shared" si="7"/>
        <v>0</v>
      </c>
    </row>
    <row r="34" spans="1:10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13">
        <f t="shared" si="7"/>
        <v>0</v>
      </c>
    </row>
    <row r="35" spans="1:10" ht="13.5" hidden="1" thickTop="1" x14ac:dyDescent="0.2">
      <c r="A35" s="78" t="s">
        <v>40</v>
      </c>
      <c r="B35" s="134">
        <f>[2]Pinnacle!$DJ$57</f>
        <v>0</v>
      </c>
      <c r="C35" s="136">
        <f>[2]Chautaqua_Continental!$DJ$57</f>
        <v>0</v>
      </c>
      <c r="D35" s="136">
        <f>[2]MESA_UA!$DJ$57</f>
        <v>0</v>
      </c>
      <c r="E35" s="134">
        <f>'[2]Sky West'!$DJ$57</f>
        <v>0</v>
      </c>
      <c r="F35" s="134">
        <f>'[2]Sky West_UA'!$DJ$57</f>
        <v>0</v>
      </c>
      <c r="G35" s="134">
        <f>[2]Republic!$DJ$57</f>
        <v>0</v>
      </c>
      <c r="H35" s="134">
        <f>'[2]American Eagle'!$DJ$57</f>
        <v>0</v>
      </c>
      <c r="I35" s="134">
        <f>'Other Regional'!K35</f>
        <v>0</v>
      </c>
      <c r="J35" s="113">
        <f t="shared" si="7"/>
        <v>0</v>
      </c>
    </row>
    <row r="36" spans="1:10" ht="13.5" hidden="1" thickTop="1" x14ac:dyDescent="0.2">
      <c r="A36" s="78" t="s">
        <v>41</v>
      </c>
      <c r="B36" s="134">
        <f>[2]Pinnacle!$DJ$58</f>
        <v>0</v>
      </c>
      <c r="C36" s="136">
        <f>[2]Chautaqua_Continental!$DJ$58</f>
        <v>0</v>
      </c>
      <c r="D36" s="136">
        <f>[2]MESA_UA!$DJ$58</f>
        <v>0</v>
      </c>
      <c r="E36" s="134">
        <f>'[2]Sky West'!$DJ$58</f>
        <v>0</v>
      </c>
      <c r="F36" s="134">
        <f>'[2]Sky West_UA'!$DJ$58</f>
        <v>0</v>
      </c>
      <c r="G36" s="134">
        <f>[2]Republic!$DJ$58</f>
        <v>0</v>
      </c>
      <c r="H36" s="134">
        <f>'[2]American Eagle'!$DJ$58</f>
        <v>0</v>
      </c>
      <c r="I36" s="134">
        <f>'Other Regional'!K36</f>
        <v>0</v>
      </c>
      <c r="J36" s="113">
        <f t="shared" si="7"/>
        <v>0</v>
      </c>
    </row>
    <row r="37" spans="1:10" ht="13.5" hidden="1" thickTop="1" x14ac:dyDescent="0.2">
      <c r="A37" s="79" t="s">
        <v>46</v>
      </c>
      <c r="B37" s="145">
        <f t="shared" ref="B37:H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>SUM(I35:I36)</f>
        <v>0</v>
      </c>
      <c r="J37" s="147">
        <f t="shared" si="7"/>
        <v>0</v>
      </c>
    </row>
    <row r="38" spans="1:10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13"/>
    </row>
    <row r="39" spans="1:10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13"/>
    </row>
    <row r="40" spans="1:10" x14ac:dyDescent="0.2">
      <c r="A40" s="78" t="s">
        <v>48</v>
      </c>
      <c r="B40" s="134">
        <f t="shared" ref="B40:G42" si="10">SUM(B35,B30,B25)</f>
        <v>0</v>
      </c>
      <c r="C40" s="134">
        <f t="shared" si="10"/>
        <v>0</v>
      </c>
      <c r="D40" s="134">
        <f>SUM(D35,D30,D25)</f>
        <v>0</v>
      </c>
      <c r="E40" s="134">
        <f t="shared" si="10"/>
        <v>0</v>
      </c>
      <c r="F40" s="134">
        <f>SUM(F35,F30,F25)</f>
        <v>0</v>
      </c>
      <c r="G40" s="134">
        <f t="shared" si="10"/>
        <v>0</v>
      </c>
      <c r="H40" s="134">
        <f>SUM(H35,H30,H25)</f>
        <v>0</v>
      </c>
      <c r="I40" s="134">
        <f>I35+I30+I25</f>
        <v>0</v>
      </c>
      <c r="J40" s="113">
        <f>SUM(B40:I40)</f>
        <v>0</v>
      </c>
    </row>
    <row r="41" spans="1:10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>SUM(D36,D31,D26)</f>
        <v>0</v>
      </c>
      <c r="E41" s="134">
        <f t="shared" si="10"/>
        <v>0</v>
      </c>
      <c r="F41" s="134">
        <f>SUM(F36,F31,F26)</f>
        <v>0</v>
      </c>
      <c r="G41" s="134">
        <f t="shared" si="10"/>
        <v>0</v>
      </c>
      <c r="H41" s="134">
        <f>SUM(H36,H31,H26)</f>
        <v>0</v>
      </c>
      <c r="I41" s="134">
        <f>I36+I31+I26</f>
        <v>0</v>
      </c>
      <c r="J41" s="113">
        <f>SUM(B41:I41)</f>
        <v>0</v>
      </c>
    </row>
    <row r="42" spans="1:10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>SUM(D37,D32,D27)</f>
        <v>0</v>
      </c>
      <c r="E42" s="140">
        <f t="shared" si="10"/>
        <v>0</v>
      </c>
      <c r="F42" s="140">
        <f>SUM(F37,F32,F27)</f>
        <v>0</v>
      </c>
      <c r="G42" s="140">
        <f t="shared" si="10"/>
        <v>0</v>
      </c>
      <c r="H42" s="140">
        <f>SUM(H37,H32,H27)</f>
        <v>0</v>
      </c>
      <c r="I42" s="140">
        <f>SUM(I37,I32,I27)</f>
        <v>0</v>
      </c>
      <c r="J42" s="141">
        <f>SUM(B42:I42)</f>
        <v>0</v>
      </c>
    </row>
    <row r="44" spans="1:10" x14ac:dyDescent="0.2">
      <c r="A44" s="410" t="s">
        <v>136</v>
      </c>
      <c r="B44" s="332">
        <f>[2]Pinnacle!$DJ$70+[2]Pinnacle!$DJ$73</f>
        <v>49477</v>
      </c>
      <c r="E44" s="333">
        <f>'[2]Sky West'!$DJ$70+'[2]Sky West'!$DJ$73</f>
        <v>13901</v>
      </c>
      <c r="F44" s="333">
        <f>'[2]Sky West_UA'!$DJ$70+'[2]Sky West_UA'!$DJ$73</f>
        <v>0</v>
      </c>
      <c r="I44" s="5">
        <f>+'Other Regional'!K46</f>
        <v>39779</v>
      </c>
      <c r="J44" s="321">
        <f>SUM(B44:I44)</f>
        <v>103157</v>
      </c>
    </row>
    <row r="45" spans="1:10" x14ac:dyDescent="0.2">
      <c r="A45" s="426" t="s">
        <v>137</v>
      </c>
      <c r="B45" s="332">
        <f>[2]Pinnacle!$DJ$71+[2]Pinnacle!$DJ$74</f>
        <v>102534</v>
      </c>
      <c r="E45" s="333">
        <f>'[2]Sky West'!$DJ$71+'[2]Sky West'!$DJ$74</f>
        <v>41926</v>
      </c>
      <c r="F45" s="333">
        <f>'[2]Sky West_UA'!$DJ$71+'[2]Sky West_UA'!$DJ$74</f>
        <v>0</v>
      </c>
      <c r="I45" s="5">
        <f>+'Other Regional'!K47</f>
        <v>64561</v>
      </c>
      <c r="J45" s="321">
        <f>SUM(B45:I45)</f>
        <v>209021</v>
      </c>
    </row>
    <row r="46" spans="1:10" x14ac:dyDescent="0.2">
      <c r="A46" s="323" t="s">
        <v>138</v>
      </c>
      <c r="B46" s="324">
        <f>SUM(B44:B45)</f>
        <v>152011</v>
      </c>
      <c r="I46" s="2"/>
      <c r="J46" s="322"/>
    </row>
    <row r="47" spans="1:10" x14ac:dyDescent="0.2">
      <c r="A47" s="325"/>
      <c r="B47" s="326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January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opLeftCell="A7" zoomScaleNormal="100" zoomScaleSheetLayoutView="100" workbookViewId="0">
      <selection activeCell="K47" sqref="K4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8" width="11.42578125" customWidth="1"/>
    <col min="9" max="9" width="10.42578125" customWidth="1"/>
    <col min="10" max="10" width="6.42578125" bestFit="1" customWidth="1"/>
    <col min="11" max="11" width="12.140625" customWidth="1"/>
  </cols>
  <sheetData>
    <row r="1" spans="1:11" s="7" customFormat="1" ht="6" customHeight="1" x14ac:dyDescent="0.2">
      <c r="A1" s="422"/>
    </row>
    <row r="2" spans="1:11" s="7" customFormat="1" ht="55.5" customHeight="1" thickBot="1" x14ac:dyDescent="0.25">
      <c r="A2" s="415">
        <v>41640</v>
      </c>
      <c r="B2" s="19" t="s">
        <v>144</v>
      </c>
      <c r="C2" s="19" t="s">
        <v>169</v>
      </c>
      <c r="D2" s="19" t="s">
        <v>168</v>
      </c>
      <c r="E2" s="19" t="s">
        <v>147</v>
      </c>
      <c r="F2" s="19" t="s">
        <v>55</v>
      </c>
      <c r="G2" s="19" t="s">
        <v>209</v>
      </c>
      <c r="H2" s="19" t="s">
        <v>206</v>
      </c>
      <c r="I2" s="19" t="s">
        <v>129</v>
      </c>
      <c r="J2" s="19" t="s">
        <v>210</v>
      </c>
      <c r="K2" s="301" t="s">
        <v>24</v>
      </c>
    </row>
    <row r="3" spans="1:11" ht="15.75" thickTop="1" x14ac:dyDescent="0.25">
      <c r="A3" s="289" t="s">
        <v>3</v>
      </c>
      <c r="B3" s="438"/>
      <c r="C3" s="438"/>
      <c r="D3" s="438"/>
      <c r="E3" s="438"/>
      <c r="F3" s="439"/>
      <c r="G3" s="439"/>
      <c r="H3" s="439"/>
      <c r="I3" s="439"/>
      <c r="J3" s="438"/>
      <c r="K3" s="131"/>
    </row>
    <row r="4" spans="1:11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6"/>
      <c r="J4" s="134"/>
      <c r="K4" s="113"/>
    </row>
    <row r="5" spans="1:11" x14ac:dyDescent="0.2">
      <c r="A5" s="65" t="s">
        <v>33</v>
      </c>
      <c r="B5" s="135">
        <f>'[2]Shuttle America'!$DJ$22</f>
        <v>4736</v>
      </c>
      <c r="C5" s="135">
        <f>'[2]Shuttle America_Delta'!$DJ$22</f>
        <v>4940</v>
      </c>
      <c r="D5" s="135">
        <f>[2]AirCanada!$DJ$32</f>
        <v>2209</v>
      </c>
      <c r="E5" s="22">
        <f>[2]Compass!$DJ$22+[2]Compass!$DJ$32</f>
        <v>75711</v>
      </c>
      <c r="F5" s="135">
        <f>'[2]Atlantic Southeast'!$DJ$22+'[2]Atlantic Southeast'!$DJ$32</f>
        <v>18866</v>
      </c>
      <c r="G5" s="135">
        <f>'[2]Continental Express'!$DJ$22</f>
        <v>7300</v>
      </c>
      <c r="H5" s="134">
        <f>'[2]Go Jet_UA'!$DJ$22</f>
        <v>8037</v>
      </c>
      <c r="I5" s="136">
        <f>'[2]Air Wisconsin'!$DJ$22</f>
        <v>134</v>
      </c>
      <c r="J5" s="134">
        <f>[2]MESA!$DJ$22</f>
        <v>0</v>
      </c>
      <c r="K5" s="113">
        <f>SUM(B5:J5)</f>
        <v>121933</v>
      </c>
    </row>
    <row r="6" spans="1:11" s="10" customFormat="1" x14ac:dyDescent="0.2">
      <c r="A6" s="65" t="s">
        <v>34</v>
      </c>
      <c r="B6" s="135">
        <f>'[2]Shuttle America'!$DJ$23</f>
        <v>4052</v>
      </c>
      <c r="C6" s="135">
        <f>'[2]Shuttle America_Delta'!$DJ$23</f>
        <v>5719</v>
      </c>
      <c r="D6" s="135">
        <f>[2]AirCanada!$DJ$33</f>
        <v>1908</v>
      </c>
      <c r="E6" s="14">
        <f>[2]Compass!$DJ$23+[2]Compass!$DJ$33</f>
        <v>78310</v>
      </c>
      <c r="F6" s="135">
        <f>'[2]Atlantic Southeast'!$DJ$23+'[2]Atlantic Southeast'!$DJ$33</f>
        <v>20311</v>
      </c>
      <c r="G6" s="135">
        <f>'[2]Continental Express'!$DJ$23</f>
        <v>7630</v>
      </c>
      <c r="H6" s="134">
        <f>'[2]Go Jet_UA'!$DJ$23</f>
        <v>8041</v>
      </c>
      <c r="I6" s="136">
        <f>'[2]Air Wisconsin'!$DJ$23</f>
        <v>111</v>
      </c>
      <c r="J6" s="134">
        <f>[2]MESA!$DJ$23</f>
        <v>0</v>
      </c>
      <c r="K6" s="119">
        <f>SUM(B6:J6)</f>
        <v>126082</v>
      </c>
    </row>
    <row r="7" spans="1:11" ht="15" thickBot="1" x14ac:dyDescent="0.25">
      <c r="A7" s="76" t="s">
        <v>7</v>
      </c>
      <c r="B7" s="137">
        <f t="shared" ref="B7:J7" si="0">SUM(B5:B6)</f>
        <v>8788</v>
      </c>
      <c r="C7" s="137">
        <f t="shared" si="0"/>
        <v>10659</v>
      </c>
      <c r="D7" s="137">
        <f t="shared" si="0"/>
        <v>4117</v>
      </c>
      <c r="E7" s="137">
        <f>SUM(E5:E6)</f>
        <v>154021</v>
      </c>
      <c r="F7" s="137">
        <f t="shared" si="0"/>
        <v>39177</v>
      </c>
      <c r="G7" s="137">
        <f t="shared" si="0"/>
        <v>14930</v>
      </c>
      <c r="H7" s="137">
        <f t="shared" si="0"/>
        <v>16078</v>
      </c>
      <c r="I7" s="137">
        <f t="shared" si="0"/>
        <v>245</v>
      </c>
      <c r="J7" s="137">
        <f t="shared" si="0"/>
        <v>0</v>
      </c>
      <c r="K7" s="138">
        <f>SUM(K5:K6)</f>
        <v>248015</v>
      </c>
    </row>
    <row r="8" spans="1:11" ht="13.5" thickTop="1" x14ac:dyDescent="0.2">
      <c r="A8" s="65"/>
      <c r="B8" s="135"/>
      <c r="C8" s="135"/>
      <c r="D8" s="135"/>
      <c r="E8" s="356"/>
      <c r="F8" s="135"/>
      <c r="G8" s="135"/>
      <c r="H8" s="134"/>
      <c r="I8" s="136"/>
      <c r="J8" s="134"/>
      <c r="K8" s="139"/>
    </row>
    <row r="9" spans="1:11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6"/>
      <c r="J9" s="134"/>
      <c r="K9" s="113"/>
    </row>
    <row r="10" spans="1:11" x14ac:dyDescent="0.2">
      <c r="A10" s="65" t="s">
        <v>33</v>
      </c>
      <c r="B10" s="135">
        <f>'[2]Shuttle America'!$DJ$27</f>
        <v>0</v>
      </c>
      <c r="C10" s="135">
        <f>'[2]Shuttle America_Delta'!$DJ$27</f>
        <v>187</v>
      </c>
      <c r="D10" s="135">
        <f>[2]AirCanada!$DJ$37</f>
        <v>38</v>
      </c>
      <c r="E10" s="22">
        <f>[2]Compass!$DJ$27+[2]Compass!$DJ$37</f>
        <v>2565</v>
      </c>
      <c r="F10" s="22">
        <f>'[2]Atlantic Southeast'!$DJ$27+'[2]Atlantic Southeast'!$DJ$37</f>
        <v>854</v>
      </c>
      <c r="G10" s="135">
        <f>'[2]Continental Express'!$DJ$27</f>
        <v>429</v>
      </c>
      <c r="H10" s="134">
        <f>'[2]Go Jet_UA'!$DJ$27</f>
        <v>434</v>
      </c>
      <c r="I10" s="136">
        <f>'[2]Air Wisconsin'!$DJ$27</f>
        <v>1</v>
      </c>
      <c r="J10" s="134">
        <f>[2]MESA!$DJ$27</f>
        <v>0</v>
      </c>
      <c r="K10" s="113">
        <f>SUM(B10:J10)</f>
        <v>4508</v>
      </c>
    </row>
    <row r="11" spans="1:11" x14ac:dyDescent="0.2">
      <c r="A11" s="65" t="s">
        <v>36</v>
      </c>
      <c r="B11" s="135">
        <f>'[2]Shuttle America'!$DJ$28</f>
        <v>0</v>
      </c>
      <c r="C11" s="135">
        <f>'[2]Shuttle America_Delta'!$DJ$28</f>
        <v>207</v>
      </c>
      <c r="D11" s="135">
        <f>[2]AirCanada!$DJ$38</f>
        <v>30</v>
      </c>
      <c r="E11" s="14">
        <f>[2]Compass!$DJ$28+[2]Compass!$DJ$38</f>
        <v>2644</v>
      </c>
      <c r="F11" s="14">
        <f>'[2]Atlantic Southeast'!$DJ$28+'[2]Atlantic Southeast'!$DJ$38</f>
        <v>677</v>
      </c>
      <c r="G11" s="135">
        <f>'[2]Continental Express'!$DJ$28</f>
        <v>437</v>
      </c>
      <c r="H11" s="134">
        <f>'[2]Go Jet_UA'!$DJ$28</f>
        <v>369</v>
      </c>
      <c r="I11" s="136">
        <f>'[2]Air Wisconsin'!$DJ$28</f>
        <v>0</v>
      </c>
      <c r="J11" s="134">
        <f>[2]MESA!$DJ$28</f>
        <v>0</v>
      </c>
      <c r="K11" s="119">
        <f>SUM(B11:J11)</f>
        <v>4364</v>
      </c>
    </row>
    <row r="12" spans="1:11" ht="15" thickBot="1" x14ac:dyDescent="0.25">
      <c r="A12" s="77" t="s">
        <v>37</v>
      </c>
      <c r="B12" s="140">
        <f>SUM(B10:B11)</f>
        <v>0</v>
      </c>
      <c r="C12" s="140">
        <f>SUM(C10:C11)</f>
        <v>394</v>
      </c>
      <c r="D12" s="140">
        <f t="shared" ref="D12:J12" si="1">SUM(D10:D11)</f>
        <v>68</v>
      </c>
      <c r="E12" s="140">
        <f t="shared" si="1"/>
        <v>5209</v>
      </c>
      <c r="F12" s="140">
        <f t="shared" si="1"/>
        <v>1531</v>
      </c>
      <c r="G12" s="140">
        <f t="shared" si="1"/>
        <v>866</v>
      </c>
      <c r="H12" s="140">
        <f t="shared" si="1"/>
        <v>803</v>
      </c>
      <c r="I12" s="140">
        <f t="shared" si="1"/>
        <v>1</v>
      </c>
      <c r="J12" s="140">
        <f t="shared" si="1"/>
        <v>0</v>
      </c>
      <c r="K12" s="141">
        <f>SUM(B12:J12)</f>
        <v>8872</v>
      </c>
    </row>
    <row r="13" spans="1:11" ht="6" customHeight="1" thickBot="1" x14ac:dyDescent="0.25"/>
    <row r="14" spans="1:11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7"/>
      <c r="J14" s="106"/>
      <c r="K14" s="108"/>
    </row>
    <row r="15" spans="1:11" x14ac:dyDescent="0.2">
      <c r="A15" s="65" t="s">
        <v>59</v>
      </c>
      <c r="B15" s="109">
        <f>'[2]Shuttle America'!$DJ$4</f>
        <v>83</v>
      </c>
      <c r="C15" s="109">
        <f>'[2]Shuttle America_Delta'!$DJ$4</f>
        <v>102</v>
      </c>
      <c r="D15" s="110">
        <f>[2]AirCanada!$DJ$15</f>
        <v>80</v>
      </c>
      <c r="E15" s="22">
        <f>[2]Compass!$DJ$4+[2]Compass!$DJ$15</f>
        <v>1345</v>
      </c>
      <c r="F15" s="110">
        <f>'[2]Atlantic Southeast'!$DJ$4+'[2]Atlantic Southeast'!$DJ$15</f>
        <v>399</v>
      </c>
      <c r="G15" s="110">
        <f>'[2]Continental Express'!$DJ$4</f>
        <v>211</v>
      </c>
      <c r="H15" s="109">
        <f>'[2]Go Jet_UA'!$DJ$4</f>
        <v>148</v>
      </c>
      <c r="I15" s="111">
        <f>'[2]Air Wisconsin'!$DJ$4</f>
        <v>3</v>
      </c>
      <c r="J15" s="109">
        <f>[2]MESA!$DJ$4</f>
        <v>0</v>
      </c>
      <c r="K15" s="113">
        <f t="shared" ref="K15:K21" si="2">SUM(B15:J15)</f>
        <v>2371</v>
      </c>
    </row>
    <row r="16" spans="1:11" x14ac:dyDescent="0.2">
      <c r="A16" s="65" t="s">
        <v>60</v>
      </c>
      <c r="B16" s="114">
        <f>'[2]Shuttle America'!$DJ$5</f>
        <v>83</v>
      </c>
      <c r="C16" s="114">
        <f>'[2]Shuttle America_Delta'!$DJ$5</f>
        <v>102</v>
      </c>
      <c r="D16" s="115">
        <f>[2]AirCanada!$DJ$16</f>
        <v>79</v>
      </c>
      <c r="E16" s="14">
        <f>[2]Compass!$DJ$5+[2]Compass!$DJ$16</f>
        <v>1343</v>
      </c>
      <c r="F16" s="115">
        <f>'[2]Atlantic Southeast'!$DJ$5+'[2]Atlantic Southeast'!$DJ$16</f>
        <v>397</v>
      </c>
      <c r="G16" s="115">
        <f>'[2]Continental Express'!$DJ$5</f>
        <v>211</v>
      </c>
      <c r="H16" s="114">
        <f>'[2]Go Jet_UA'!$DJ$5</f>
        <v>148</v>
      </c>
      <c r="I16" s="116">
        <f>'[2]Air Wisconsin'!$DJ$5</f>
        <v>0</v>
      </c>
      <c r="J16" s="114">
        <f>[2]MESA!$DJ$5</f>
        <v>0</v>
      </c>
      <c r="K16" s="119">
        <f t="shared" si="2"/>
        <v>2363</v>
      </c>
    </row>
    <row r="17" spans="1:11" x14ac:dyDescent="0.2">
      <c r="A17" s="74" t="s">
        <v>61</v>
      </c>
      <c r="B17" s="120">
        <f>SUM(B15:B16)</f>
        <v>166</v>
      </c>
      <c r="C17" s="120">
        <f>SUM(C15:C16)</f>
        <v>204</v>
      </c>
      <c r="D17" s="120">
        <f t="shared" ref="D17:J17" si="3">SUM(D15:D16)</f>
        <v>159</v>
      </c>
      <c r="E17" s="296">
        <f>SUM(E15:E16)</f>
        <v>2688</v>
      </c>
      <c r="F17" s="120">
        <f t="shared" si="3"/>
        <v>796</v>
      </c>
      <c r="G17" s="120">
        <f t="shared" si="3"/>
        <v>422</v>
      </c>
      <c r="H17" s="120">
        <f t="shared" si="3"/>
        <v>296</v>
      </c>
      <c r="I17" s="120">
        <f t="shared" si="3"/>
        <v>3</v>
      </c>
      <c r="J17" s="120">
        <f t="shared" si="3"/>
        <v>0</v>
      </c>
      <c r="K17" s="121">
        <f t="shared" si="2"/>
        <v>4734</v>
      </c>
    </row>
    <row r="18" spans="1:11" x14ac:dyDescent="0.2">
      <c r="A18" s="65" t="s">
        <v>62</v>
      </c>
      <c r="B18" s="122">
        <f>'[2]Shuttle America'!$DJ$8</f>
        <v>0</v>
      </c>
      <c r="C18" s="122">
        <f>'[2]Shuttle America_Delta'!$DJ$8</f>
        <v>0</v>
      </c>
      <c r="D18" s="122">
        <f>[2]AirCanada!$DJ$8</f>
        <v>0</v>
      </c>
      <c r="E18" s="22">
        <f>[2]Compass!$DJ$8</f>
        <v>0</v>
      </c>
      <c r="F18" s="112">
        <f>'[2]Atlantic Southeast'!$DJ$8</f>
        <v>2</v>
      </c>
      <c r="G18" s="112">
        <f>'[2]Continental Express'!$DJ$8</f>
        <v>0</v>
      </c>
      <c r="H18" s="122">
        <f>'[2]Go Jet_UA'!$DJ$8</f>
        <v>0</v>
      </c>
      <c r="I18" s="123">
        <f>'[2]Air Wisconsin'!$DJ$8</f>
        <v>0</v>
      </c>
      <c r="J18" s="122">
        <f>[2]MESA!$DJ$8</f>
        <v>0</v>
      </c>
      <c r="K18" s="113">
        <f t="shared" si="2"/>
        <v>2</v>
      </c>
    </row>
    <row r="19" spans="1:11" x14ac:dyDescent="0.2">
      <c r="A19" s="65" t="s">
        <v>63</v>
      </c>
      <c r="B19" s="124">
        <f>'[2]Shuttle America'!$DJ$9</f>
        <v>0</v>
      </c>
      <c r="C19" s="124">
        <f>'[2]Shuttle America_Delta'!$DJ$9</f>
        <v>0</v>
      </c>
      <c r="D19" s="124">
        <f>[2]AirCanada!$DJ$9</f>
        <v>0</v>
      </c>
      <c r="E19" s="14">
        <f>[2]Compass!$DJ$9</f>
        <v>1</v>
      </c>
      <c r="F19" s="117">
        <f>'[2]Atlantic Southeast'!$DJ$9</f>
        <v>0</v>
      </c>
      <c r="G19" s="117">
        <f>'[2]Continental Express'!$DJ$9</f>
        <v>0</v>
      </c>
      <c r="H19" s="124">
        <f>'[2]Go Jet_UA'!$DJ$9</f>
        <v>0</v>
      </c>
      <c r="I19" s="125">
        <f>'[2]Air Wisconsin'!$DJ$9</f>
        <v>0</v>
      </c>
      <c r="J19" s="124">
        <f>[2]MESA!$DJ$9</f>
        <v>0</v>
      </c>
      <c r="K19" s="119">
        <f t="shared" si="2"/>
        <v>1</v>
      </c>
    </row>
    <row r="20" spans="1:11" x14ac:dyDescent="0.2">
      <c r="A20" s="74" t="s">
        <v>64</v>
      </c>
      <c r="B20" s="120">
        <f>SUM(B18:B19)</f>
        <v>0</v>
      </c>
      <c r="C20" s="120">
        <f>SUM(C18:C19)</f>
        <v>0</v>
      </c>
      <c r="D20" s="120">
        <f t="shared" ref="D20:J20" si="4">SUM(D18:D19)</f>
        <v>0</v>
      </c>
      <c r="E20" s="296">
        <f>SUM(E18:E19)</f>
        <v>1</v>
      </c>
      <c r="F20" s="120">
        <f t="shared" si="4"/>
        <v>2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1">
        <f t="shared" si="2"/>
        <v>3</v>
      </c>
    </row>
    <row r="21" spans="1:11" ht="15.75" thickBot="1" x14ac:dyDescent="0.3">
      <c r="A21" s="75" t="s">
        <v>31</v>
      </c>
      <c r="B21" s="126">
        <f>SUM(B20,B17)</f>
        <v>166</v>
      </c>
      <c r="C21" s="126">
        <f>SUM(C20,C17)</f>
        <v>204</v>
      </c>
      <c r="D21" s="126">
        <f t="shared" ref="D21:J21" si="5">SUM(D20,D17)</f>
        <v>159</v>
      </c>
      <c r="E21" s="126">
        <f t="shared" si="5"/>
        <v>2689</v>
      </c>
      <c r="F21" s="126">
        <f t="shared" si="5"/>
        <v>798</v>
      </c>
      <c r="G21" s="126">
        <f t="shared" si="5"/>
        <v>422</v>
      </c>
      <c r="H21" s="126">
        <f t="shared" si="5"/>
        <v>296</v>
      </c>
      <c r="I21" s="126">
        <f t="shared" si="5"/>
        <v>3</v>
      </c>
      <c r="J21" s="126">
        <f t="shared" si="5"/>
        <v>0</v>
      </c>
      <c r="K21" s="127">
        <f t="shared" si="2"/>
        <v>4737</v>
      </c>
    </row>
    <row r="22" spans="1:11" ht="3.75" customHeight="1" thickBot="1" x14ac:dyDescent="0.25"/>
    <row r="23" spans="1:11" ht="15.75" thickTop="1" x14ac:dyDescent="0.25">
      <c r="A23" s="68" t="s">
        <v>127</v>
      </c>
      <c r="B23" s="142"/>
      <c r="C23" s="142"/>
      <c r="D23" s="142"/>
      <c r="E23" s="142"/>
      <c r="F23" s="143"/>
      <c r="G23" s="143"/>
      <c r="H23" s="142"/>
      <c r="I23" s="143"/>
      <c r="J23" s="142"/>
      <c r="K23" s="144"/>
    </row>
    <row r="24" spans="1:11" x14ac:dyDescent="0.2">
      <c r="A24" s="78" t="s">
        <v>39</v>
      </c>
      <c r="B24" s="134"/>
      <c r="C24" s="134"/>
      <c r="D24" s="134"/>
      <c r="F24" s="135"/>
      <c r="G24" s="135"/>
      <c r="H24" s="134"/>
      <c r="I24" s="136"/>
      <c r="J24" s="134"/>
      <c r="K24" s="113"/>
    </row>
    <row r="25" spans="1:11" x14ac:dyDescent="0.2">
      <c r="A25" s="78" t="s">
        <v>40</v>
      </c>
      <c r="B25" s="134">
        <f>'[2]Shuttle America'!$DJ$47</f>
        <v>0</v>
      </c>
      <c r="C25" s="134">
        <f>'[2]Shuttle America_Delta'!$DJ$47</f>
        <v>0</v>
      </c>
      <c r="D25" s="134">
        <f>[2]AirCanada!$DJ$47</f>
        <v>0</v>
      </c>
      <c r="E25" s="134">
        <f>[2]Compass!$DJ$47</f>
        <v>0</v>
      </c>
      <c r="F25" s="135">
        <f>'[2]Atlantic Southeast'!$DJ$47</f>
        <v>0</v>
      </c>
      <c r="G25" s="135">
        <f>'[2]Continental Express'!$DJ$47</f>
        <v>0</v>
      </c>
      <c r="H25" s="134">
        <f>'[2]Go Jet_UA'!$DJ$47</f>
        <v>0</v>
      </c>
      <c r="I25" s="136">
        <f>'[2]Air Wisconsin'!$DJ$47</f>
        <v>0</v>
      </c>
      <c r="J25" s="134">
        <f>[2]MESA!$DJ$47</f>
        <v>0</v>
      </c>
      <c r="K25" s="113">
        <f>SUM(B25:J25)</f>
        <v>0</v>
      </c>
    </row>
    <row r="26" spans="1:11" x14ac:dyDescent="0.2">
      <c r="A26" s="78" t="s">
        <v>41</v>
      </c>
      <c r="B26" s="134">
        <f>'[2]Shuttle America'!$DJ$48</f>
        <v>0</v>
      </c>
      <c r="C26" s="134">
        <f>'[2]Shuttle America_Delta'!$DJ$48</f>
        <v>0</v>
      </c>
      <c r="D26" s="134">
        <f>[2]AirCanada!$DJ$48</f>
        <v>0</v>
      </c>
      <c r="E26" s="134">
        <f>[2]Compass!$DJ$48</f>
        <v>0</v>
      </c>
      <c r="F26" s="135">
        <f>'[2]Atlantic Southeast'!$DJ$48</f>
        <v>0</v>
      </c>
      <c r="G26" s="135">
        <f>'[2]Continental Express'!$DJ$48</f>
        <v>0</v>
      </c>
      <c r="H26" s="134">
        <f>'[2]Go Jet_UA'!$DJ$48</f>
        <v>0</v>
      </c>
      <c r="I26" s="136">
        <f>'[2]Air Wisconsin'!$DJ$48</f>
        <v>0</v>
      </c>
      <c r="J26" s="134">
        <f>[2]MESA!$DJ$48</f>
        <v>0</v>
      </c>
      <c r="K26" s="113">
        <f>SUM(B26:J26)</f>
        <v>0</v>
      </c>
    </row>
    <row r="27" spans="1:11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J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8">
        <f>SUM(B27:J27)</f>
        <v>0</v>
      </c>
    </row>
    <row r="28" spans="1:11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6"/>
      <c r="J28" s="134"/>
      <c r="K28" s="113"/>
    </row>
    <row r="29" spans="1:11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6"/>
      <c r="J29" s="134"/>
      <c r="K29" s="113"/>
    </row>
    <row r="30" spans="1:11" x14ac:dyDescent="0.2">
      <c r="A30" s="78" t="s">
        <v>65</v>
      </c>
      <c r="B30" s="134">
        <f>'[2]Shuttle America'!$DJ$52</f>
        <v>0</v>
      </c>
      <c r="C30" s="134">
        <f>'[2]Shuttle America_Delta'!$DJ$52</f>
        <v>0</v>
      </c>
      <c r="D30" s="134">
        <f>[2]AirCanada!$DJ$52</f>
        <v>0</v>
      </c>
      <c r="E30" s="134">
        <f>[2]Compass!$DJ$52</f>
        <v>0</v>
      </c>
      <c r="F30" s="135">
        <f>'[2]Atlantic Southeast'!$DJ$52</f>
        <v>0</v>
      </c>
      <c r="G30" s="135">
        <f>'[2]Continental Express'!$DJ$52</f>
        <v>0</v>
      </c>
      <c r="H30" s="134">
        <f>'[2]Go Jet_UA'!$DJ$52</f>
        <v>0</v>
      </c>
      <c r="I30" s="136">
        <f>'[2]Air Wisconsin'!BH$52</f>
        <v>0</v>
      </c>
      <c r="J30" s="134">
        <f>[2]MESA!$DJ$52</f>
        <v>0</v>
      </c>
      <c r="K30" s="113">
        <f>SUM(B30:J30)</f>
        <v>0</v>
      </c>
    </row>
    <row r="31" spans="1:11" x14ac:dyDescent="0.2">
      <c r="A31" s="78" t="s">
        <v>66</v>
      </c>
      <c r="B31" s="134">
        <f>'[2]Shuttle America'!$DJ$53</f>
        <v>0</v>
      </c>
      <c r="C31" s="134">
        <f>'[2]Shuttle America_Delta'!$DJ$53</f>
        <v>0</v>
      </c>
      <c r="D31" s="134">
        <f>[2]AirCanada!$DJ$53</f>
        <v>0</v>
      </c>
      <c r="E31" s="134">
        <f>[2]Compass!$DJ$53</f>
        <v>0</v>
      </c>
      <c r="F31" s="135">
        <f>'[2]Atlantic Southeast'!$DJ$53</f>
        <v>0</v>
      </c>
      <c r="G31" s="135">
        <f>'[2]Continental Express'!$DJ$53</f>
        <v>0</v>
      </c>
      <c r="H31" s="134">
        <f>'[2]Go Jet_UA'!$DJ$53</f>
        <v>0</v>
      </c>
      <c r="I31" s="136">
        <f>'[2]Air Wisconsin'!$DJ$53</f>
        <v>0</v>
      </c>
      <c r="J31" s="134">
        <f>[2]MESA!$DJ$53</f>
        <v>0</v>
      </c>
      <c r="K31" s="113">
        <f>SUM(B31:J31)</f>
        <v>0</v>
      </c>
    </row>
    <row r="32" spans="1:11" ht="15" thickBot="1" x14ac:dyDescent="0.25">
      <c r="A32" s="76" t="s">
        <v>44</v>
      </c>
      <c r="B32" s="137">
        <f t="shared" ref="B32:J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8">
        <f>SUM(B32:J32)</f>
        <v>0</v>
      </c>
    </row>
    <row r="33" spans="1:11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6"/>
      <c r="J33" s="134"/>
      <c r="K33" s="113"/>
    </row>
    <row r="34" spans="1:11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6"/>
      <c r="J34" s="134"/>
      <c r="K34" s="113"/>
    </row>
    <row r="35" spans="1:11" ht="13.5" hidden="1" thickTop="1" x14ac:dyDescent="0.2">
      <c r="A35" s="78" t="s">
        <v>40</v>
      </c>
      <c r="B35" s="134">
        <f>'[2]Shuttle America'!$DJ$57</f>
        <v>0</v>
      </c>
      <c r="C35" s="134">
        <f>'[2]Shuttle America_Delta'!$DJ$57</f>
        <v>0</v>
      </c>
      <c r="D35" s="134">
        <f>[2]AirCanada!$DJ$57</f>
        <v>0</v>
      </c>
      <c r="E35" s="134">
        <f>[2]Compass!$DJ$57</f>
        <v>0</v>
      </c>
      <c r="F35" s="135">
        <f>'[2]Atlantic Southeast'!$DJ$57</f>
        <v>0</v>
      </c>
      <c r="G35" s="135">
        <f>'[2]Continental Express'!$DJ$57</f>
        <v>0</v>
      </c>
      <c r="H35" s="134">
        <f>'[2]Go Jet_UA'!$AJ$57</f>
        <v>0</v>
      </c>
      <c r="I35" s="136">
        <f>'[2]Air Wisconsin'!BG$57</f>
        <v>0</v>
      </c>
      <c r="J35" s="134">
        <f>[2]MESA!$AJ$57</f>
        <v>0</v>
      </c>
      <c r="K35" s="113">
        <f>SUM(B35:J35)</f>
        <v>0</v>
      </c>
    </row>
    <row r="36" spans="1:11" ht="13.5" hidden="1" thickTop="1" x14ac:dyDescent="0.2">
      <c r="A36" s="78" t="s">
        <v>41</v>
      </c>
      <c r="B36" s="134">
        <f>'[2]Shuttle America'!BG$58</f>
        <v>0</v>
      </c>
      <c r="C36" s="134">
        <f>'[2]Shuttle America_Delta'!BH$58</f>
        <v>0</v>
      </c>
      <c r="D36" s="134">
        <f>[2]AirCanada!BG$58</f>
        <v>0</v>
      </c>
      <c r="E36" s="134">
        <f>[2]Compass!BG$58</f>
        <v>0</v>
      </c>
      <c r="F36" s="135">
        <f>'[2]Atlantic Southeast'!BG$58</f>
        <v>0</v>
      </c>
      <c r="G36" s="135">
        <f>'[2]Continental Express'!BG$58</f>
        <v>0</v>
      </c>
      <c r="H36" s="134">
        <f>'[2]Go Jet_UA'!$AJ$58</f>
        <v>0</v>
      </c>
      <c r="I36" s="136">
        <f>'[2]Air Wisconsin'!BG$58</f>
        <v>0</v>
      </c>
      <c r="J36" s="134">
        <f>[2]MESA!$AJ$58</f>
        <v>0</v>
      </c>
      <c r="K36" s="113">
        <f>SUM(B36:J36)</f>
        <v>0</v>
      </c>
    </row>
    <row r="37" spans="1:11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J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7">
        <f>SUM(B37:J37)</f>
        <v>0</v>
      </c>
    </row>
    <row r="38" spans="1:11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6"/>
      <c r="J38" s="134"/>
      <c r="K38" s="113"/>
    </row>
    <row r="39" spans="1:11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6"/>
      <c r="J39" s="134"/>
      <c r="K39" s="113"/>
    </row>
    <row r="40" spans="1:11" x14ac:dyDescent="0.2">
      <c r="A40" s="78" t="s">
        <v>48</v>
      </c>
      <c r="B40" s="134">
        <f t="shared" ref="B40:J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 t="shared" si="9"/>
        <v>0</v>
      </c>
      <c r="J40" s="134">
        <f t="shared" si="9"/>
        <v>0</v>
      </c>
      <c r="K40" s="113">
        <f>SUM(B40:J40)</f>
        <v>0</v>
      </c>
    </row>
    <row r="41" spans="1:11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J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 t="shared" si="10"/>
        <v>0</v>
      </c>
      <c r="J41" s="134">
        <f t="shared" si="10"/>
        <v>0</v>
      </c>
      <c r="K41" s="113">
        <f>SUM(B41:J41)</f>
        <v>0</v>
      </c>
    </row>
    <row r="42" spans="1:11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J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0</v>
      </c>
      <c r="K42" s="141">
        <f>SUM(B42:J42)</f>
        <v>0</v>
      </c>
    </row>
    <row r="43" spans="1:11" ht="4.5" customHeight="1" x14ac:dyDescent="0.2"/>
    <row r="44" spans="1:11" hidden="1" x14ac:dyDescent="0.2">
      <c r="A44" s="334" t="s">
        <v>139</v>
      </c>
      <c r="E44" s="333">
        <f>[2]Compass!BG$70+[2]Compass!BG$73</f>
        <v>27782</v>
      </c>
      <c r="F44" s="319"/>
      <c r="K44" s="321">
        <f>SUM(E44:E44)</f>
        <v>27782</v>
      </c>
    </row>
    <row r="45" spans="1:11" hidden="1" x14ac:dyDescent="0.2">
      <c r="A45" s="334" t="s">
        <v>140</v>
      </c>
      <c r="E45" s="333">
        <f>[2]Compass!BG$71+[2]Compass!BG$74</f>
        <v>47176</v>
      </c>
      <c r="F45" s="337"/>
      <c r="K45" s="321">
        <f>SUM(E45:E45)</f>
        <v>47176</v>
      </c>
    </row>
    <row r="46" spans="1:11" x14ac:dyDescent="0.2">
      <c r="A46" s="410" t="s">
        <v>136</v>
      </c>
      <c r="C46" s="333">
        <f>'[2]Shuttle America_Delta'!$DJ$70+'[2]Shuttle America_Delta'!$DJ$73</f>
        <v>2596</v>
      </c>
      <c r="E46" s="333">
        <f>[2]Compass!$DJ$70+[2]Compass!$DJ$73</f>
        <v>29445</v>
      </c>
      <c r="F46" s="333">
        <f>'[2]Atlantic Southeast'!$DJ$70+'[2]Atlantic Southeast'!$DJ$73</f>
        <v>7738</v>
      </c>
      <c r="H46" s="333">
        <f>'[2]Go Jet'!$DJ$70+'[2]Go Jet'!$DJ$73</f>
        <v>0</v>
      </c>
      <c r="K46" s="425">
        <f>SUM(B46:J46)</f>
        <v>39779</v>
      </c>
    </row>
    <row r="47" spans="1:11" x14ac:dyDescent="0.2">
      <c r="A47" s="426" t="s">
        <v>137</v>
      </c>
      <c r="C47" s="333">
        <f>'[2]Shuttle America_Delta'!$DJ$71+'[2]Shuttle America_Delta'!$DJ$74</f>
        <v>3123</v>
      </c>
      <c r="E47" s="333">
        <f>[2]Compass!$DJ$71+[2]Compass!$DJ$74</f>
        <v>48865</v>
      </c>
      <c r="F47" s="333">
        <f>'[2]Atlantic Southeast'!$DJ$71+'[2]Atlantic Southeast'!$DJ$74</f>
        <v>12573</v>
      </c>
      <c r="H47" s="333">
        <f>'[2]Go Jet'!$DJ$71+'[2]Go Jet'!$DJ$74</f>
        <v>0</v>
      </c>
      <c r="K47" s="425">
        <f>SUM(B47:J47)</f>
        <v>64561</v>
      </c>
    </row>
  </sheetData>
  <phoneticPr fontId="6" type="noConversion"/>
  <printOptions horizontalCentered="1"/>
  <pageMargins left="0.75" right="0.75" top="0.92" bottom="1" header="0.5" footer="0.5"/>
  <pageSetup scale="91" orientation="landscape" r:id="rId1"/>
  <headerFooter alignWithMargins="0">
    <oddHeader>&amp;L
Schedule 5
&amp;CMinneapolis-St. Paul International Airport
&amp;"Arial,Bold"Other Regional
January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="115" workbookViewId="0">
      <selection activeCell="L2" sqref="L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15">
        <v>41640</v>
      </c>
      <c r="B2" s="184" t="s">
        <v>130</v>
      </c>
      <c r="C2" s="184" t="s">
        <v>177</v>
      </c>
      <c r="D2" s="105" t="s">
        <v>84</v>
      </c>
      <c r="E2" s="105" t="s">
        <v>178</v>
      </c>
      <c r="F2" s="184" t="s">
        <v>146</v>
      </c>
      <c r="G2" s="178" t="s">
        <v>85</v>
      </c>
    </row>
    <row r="3" spans="1:17" x14ac:dyDescent="0.2">
      <c r="A3" s="288" t="s">
        <v>3</v>
      </c>
      <c r="B3" s="190"/>
      <c r="C3" s="189"/>
      <c r="D3" s="189"/>
      <c r="E3" s="189"/>
      <c r="F3" s="189"/>
      <c r="G3" s="279"/>
    </row>
    <row r="4" spans="1:17" x14ac:dyDescent="0.2">
      <c r="A4" s="65" t="s">
        <v>32</v>
      </c>
      <c r="B4" s="462"/>
      <c r="C4" s="188"/>
      <c r="D4" s="188"/>
      <c r="E4" s="188"/>
      <c r="F4" s="188"/>
      <c r="G4" s="258"/>
    </row>
    <row r="5" spans="1:17" x14ac:dyDescent="0.2">
      <c r="A5" s="65" t="s">
        <v>33</v>
      </c>
      <c r="B5" s="462">
        <f>'[2]Charter Misc'!$DJ$22</f>
        <v>306</v>
      </c>
      <c r="C5" s="188">
        <f>[2]Ryan!$DJ$22</f>
        <v>0</v>
      </c>
      <c r="D5" s="188">
        <f>'[2]Charter Misc'!$DJ$32</f>
        <v>0</v>
      </c>
      <c r="E5" s="188">
        <f>[2]Omni!$DJ$32</f>
        <v>0</v>
      </c>
      <c r="F5" s="188">
        <f>[2]Xtra!$DJ$32+[2]Xtra!$DJ$22</f>
        <v>0</v>
      </c>
      <c r="G5" s="355">
        <f>SUM(B5:F5)</f>
        <v>306</v>
      </c>
    </row>
    <row r="6" spans="1:17" x14ac:dyDescent="0.2">
      <c r="A6" s="65" t="s">
        <v>34</v>
      </c>
      <c r="B6" s="463">
        <f>'[2]Charter Misc'!$DJ$23</f>
        <v>62</v>
      </c>
      <c r="C6" s="191">
        <f>[2]Ryan!$DJ$23</f>
        <v>0</v>
      </c>
      <c r="D6" s="191">
        <f>'[2]Charter Misc'!$DJ$33</f>
        <v>0</v>
      </c>
      <c r="E6" s="191">
        <f>[2]Omni!$DJ$33</f>
        <v>0</v>
      </c>
      <c r="F6" s="191">
        <f>[2]Xtra!$DJ$33+[2]Xtra!$DJ$23</f>
        <v>0</v>
      </c>
      <c r="G6" s="354">
        <f>SUM(B6:F6)</f>
        <v>62</v>
      </c>
    </row>
    <row r="7" spans="1:17" ht="15.75" thickBot="1" x14ac:dyDescent="0.3">
      <c r="A7" s="187" t="s">
        <v>7</v>
      </c>
      <c r="B7" s="464">
        <f>SUM(B5:B6)</f>
        <v>368</v>
      </c>
      <c r="C7" s="309">
        <f>SUM(C5:C6)</f>
        <v>0</v>
      </c>
      <c r="D7" s="309">
        <f>SUM(D5:D6)</f>
        <v>0</v>
      </c>
      <c r="E7" s="309">
        <f>SUM(E5:E6)</f>
        <v>0</v>
      </c>
      <c r="F7" s="309">
        <f>SUM(F5:F6)</f>
        <v>0</v>
      </c>
      <c r="G7" s="310">
        <f>SUM(B7:F7)</f>
        <v>368</v>
      </c>
    </row>
    <row r="8" spans="1:17" ht="13.5" thickBot="1" x14ac:dyDescent="0.25"/>
    <row r="9" spans="1:17" x14ac:dyDescent="0.2">
      <c r="A9" s="185" t="s">
        <v>9</v>
      </c>
      <c r="B9" s="465"/>
      <c r="C9" s="47"/>
      <c r="D9" s="47"/>
      <c r="E9" s="47"/>
      <c r="F9" s="47"/>
      <c r="G9" s="60"/>
    </row>
    <row r="10" spans="1:17" x14ac:dyDescent="0.2">
      <c r="A10" s="186" t="s">
        <v>86</v>
      </c>
      <c r="B10" s="462">
        <f>'[2]Charter Misc'!$DJ$4</f>
        <v>4</v>
      </c>
      <c r="C10" s="188">
        <f>[2]Ryan!$DJ$4</f>
        <v>0</v>
      </c>
      <c r="D10" s="188">
        <f>'[2]Charter Misc'!$DJ$15</f>
        <v>0</v>
      </c>
      <c r="E10" s="188">
        <f>[2]Omni!$DJ$15</f>
        <v>0</v>
      </c>
      <c r="F10" s="188">
        <f>[2]Xtra!$DJ$15+[2]Xtra!$DJ$4</f>
        <v>0</v>
      </c>
      <c r="G10" s="354">
        <f>SUM(B10:F10)</f>
        <v>4</v>
      </c>
    </row>
    <row r="11" spans="1:17" x14ac:dyDescent="0.2">
      <c r="A11" s="186" t="s">
        <v>87</v>
      </c>
      <c r="B11" s="462">
        <f>'[2]Charter Misc'!$DJ$5</f>
        <v>3</v>
      </c>
      <c r="C11" s="188">
        <f>[2]Ryan!$DJ$5</f>
        <v>0</v>
      </c>
      <c r="D11" s="188">
        <f>'[2]Charter Misc'!$DJ$16</f>
        <v>0</v>
      </c>
      <c r="E11" s="188">
        <f>[2]Omni!$DJ$16</f>
        <v>0</v>
      </c>
      <c r="F11" s="188">
        <f>[2]Xtra!$DJ$16+[2]Xtra!$DJ$5</f>
        <v>0</v>
      </c>
      <c r="G11" s="354">
        <f>SUM(B11:F11)</f>
        <v>3</v>
      </c>
    </row>
    <row r="12" spans="1:17" ht="15.75" thickBot="1" x14ac:dyDescent="0.3">
      <c r="A12" s="287" t="s">
        <v>31</v>
      </c>
      <c r="B12" s="466">
        <f>SUM(B10:B11)</f>
        <v>7</v>
      </c>
      <c r="C12" s="311">
        <f>SUM(C10:C11)</f>
        <v>0</v>
      </c>
      <c r="D12" s="311">
        <f>SUM(D10:D11)</f>
        <v>0</v>
      </c>
      <c r="E12" s="311">
        <f>SUM(E10:E11)</f>
        <v>0</v>
      </c>
      <c r="F12" s="311">
        <f>SUM(F10:F11)</f>
        <v>0</v>
      </c>
      <c r="G12" s="312">
        <f>SUM(B12:F12)</f>
        <v>7</v>
      </c>
      <c r="Q12" s="134"/>
    </row>
    <row r="17" spans="1:16" x14ac:dyDescent="0.2">
      <c r="B17" s="480" t="s">
        <v>175</v>
      </c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2"/>
    </row>
    <row r="18" spans="1:16" ht="13.5" thickBot="1" x14ac:dyDescent="0.25">
      <c r="A18" s="328"/>
      <c r="E18" s="230"/>
      <c r="G18" s="230"/>
      <c r="H18" s="230"/>
      <c r="L18" s="237"/>
      <c r="N18" s="238"/>
    </row>
    <row r="19" spans="1:16" ht="13.5" customHeight="1" thickBot="1" x14ac:dyDescent="0.25">
      <c r="A19" s="440"/>
      <c r="B19" s="483" t="s">
        <v>133</v>
      </c>
      <c r="C19" s="484"/>
      <c r="D19" s="484"/>
      <c r="E19" s="485"/>
      <c r="G19" s="483" t="s">
        <v>134</v>
      </c>
      <c r="H19" s="486"/>
      <c r="I19" s="486"/>
      <c r="J19" s="487"/>
      <c r="L19" s="488" t="s">
        <v>135</v>
      </c>
      <c r="M19" s="489"/>
      <c r="N19" s="489"/>
      <c r="O19" s="490"/>
    </row>
    <row r="20" spans="1:16" ht="13.5" thickBot="1" x14ac:dyDescent="0.25">
      <c r="A20" s="241" t="s">
        <v>112</v>
      </c>
      <c r="B20" s="246" t="s">
        <v>113</v>
      </c>
      <c r="C20" s="8" t="s">
        <v>114</v>
      </c>
      <c r="D20" s="8" t="s">
        <v>196</v>
      </c>
      <c r="E20" s="8" t="s">
        <v>188</v>
      </c>
      <c r="F20" s="247" t="s">
        <v>108</v>
      </c>
      <c r="G20" s="8" t="s">
        <v>113</v>
      </c>
      <c r="H20" s="8" t="s">
        <v>114</v>
      </c>
      <c r="I20" s="8" t="s">
        <v>196</v>
      </c>
      <c r="J20" s="8" t="s">
        <v>188</v>
      </c>
      <c r="K20" s="247" t="s">
        <v>108</v>
      </c>
      <c r="L20" s="246" t="s">
        <v>113</v>
      </c>
      <c r="M20" s="240" t="s">
        <v>114</v>
      </c>
      <c r="N20" s="8" t="s">
        <v>196</v>
      </c>
      <c r="O20" s="8" t="s">
        <v>188</v>
      </c>
      <c r="P20" s="247" t="s">
        <v>108</v>
      </c>
    </row>
    <row r="21" spans="1:16" ht="14.1" customHeight="1" x14ac:dyDescent="0.2">
      <c r="A21" s="250" t="s">
        <v>115</v>
      </c>
      <c r="B21" s="348">
        <f>'Intl Detail'!$M$4+'Intl Detail'!$M$9</f>
        <v>109706</v>
      </c>
      <c r="C21" s="349">
        <f>'Intl Detail'!$M$5+'Intl Detail'!$M$10</f>
        <v>106761</v>
      </c>
      <c r="D21" s="349">
        <f t="shared" ref="D21:D32" si="0">SUM(B21:C21)</f>
        <v>216467</v>
      </c>
      <c r="E21" s="350">
        <f>[1]Charter!$D$21</f>
        <v>188869</v>
      </c>
      <c r="F21" s="353">
        <f t="shared" ref="F21:F32" si="1">(D21-E21)/E21</f>
        <v>0.14612244465740803</v>
      </c>
      <c r="G21" s="348">
        <f>L21-B21</f>
        <v>1158780</v>
      </c>
      <c r="H21" s="349">
        <f>M21-C21</f>
        <v>1183104</v>
      </c>
      <c r="I21" s="349">
        <f>SUM(G21:H21)</f>
        <v>2341884</v>
      </c>
      <c r="J21" s="350">
        <f>[1]Charter!$I$21</f>
        <v>2215560</v>
      </c>
      <c r="K21" s="251">
        <f t="shared" ref="K21:K32" si="2">(I21-J21)/J21</f>
        <v>5.7016736175052811E-2</v>
      </c>
      <c r="L21" s="348">
        <f>'Monthly Summary'!$B$11</f>
        <v>1268486</v>
      </c>
      <c r="M21" s="349">
        <f>'Monthly Summary'!$C$11</f>
        <v>1289865</v>
      </c>
      <c r="N21" s="349">
        <f t="shared" ref="N21:N32" si="3">SUM(L21:M21)</f>
        <v>2558351</v>
      </c>
      <c r="O21" s="350">
        <f>[1]Charter!$N$21</f>
        <v>2404429</v>
      </c>
      <c r="P21" s="251">
        <f>(N21-O21)/O21</f>
        <v>6.4016030417200928E-2</v>
      </c>
    </row>
    <row r="22" spans="1:16" ht="14.1" customHeight="1" x14ac:dyDescent="0.2">
      <c r="A22" s="252" t="s">
        <v>116</v>
      </c>
      <c r="B22" s="344"/>
      <c r="C22" s="346"/>
      <c r="D22" s="345">
        <f t="shared" si="0"/>
        <v>0</v>
      </c>
      <c r="E22" s="352"/>
      <c r="F22" s="347" t="e">
        <f t="shared" si="1"/>
        <v>#DIV/0!</v>
      </c>
      <c r="G22" s="344"/>
      <c r="H22" s="346"/>
      <c r="I22" s="345">
        <f>SUM(G22:H22)</f>
        <v>0</v>
      </c>
      <c r="J22" s="352"/>
      <c r="K22" s="254" t="e">
        <f t="shared" si="2"/>
        <v>#DIV/0!</v>
      </c>
      <c r="L22" s="344"/>
      <c r="M22" s="346"/>
      <c r="N22" s="345">
        <f t="shared" si="3"/>
        <v>0</v>
      </c>
      <c r="O22" s="352"/>
      <c r="P22" s="253" t="e">
        <f t="shared" ref="P22:P32" si="4">(N22-O22)/O22</f>
        <v>#DIV/0!</v>
      </c>
    </row>
    <row r="23" spans="1:16" ht="14.1" customHeight="1" x14ac:dyDescent="0.2">
      <c r="A23" s="252" t="s">
        <v>117</v>
      </c>
      <c r="B23" s="344"/>
      <c r="C23" s="346"/>
      <c r="D23" s="345">
        <f t="shared" si="0"/>
        <v>0</v>
      </c>
      <c r="E23" s="351"/>
      <c r="F23" s="253" t="e">
        <f t="shared" si="1"/>
        <v>#DIV/0!</v>
      </c>
      <c r="G23" s="344"/>
      <c r="H23" s="346"/>
      <c r="I23" s="345">
        <f>SUM(G23:H23)</f>
        <v>0</v>
      </c>
      <c r="J23" s="351"/>
      <c r="K23" s="254" t="e">
        <f t="shared" si="2"/>
        <v>#DIV/0!</v>
      </c>
      <c r="L23" s="344"/>
      <c r="M23" s="346"/>
      <c r="N23" s="345">
        <f t="shared" si="3"/>
        <v>0</v>
      </c>
      <c r="O23" s="351"/>
      <c r="P23" s="253" t="e">
        <f t="shared" si="4"/>
        <v>#DIV/0!</v>
      </c>
    </row>
    <row r="24" spans="1:16" ht="14.1" customHeight="1" x14ac:dyDescent="0.2">
      <c r="A24" s="252" t="s">
        <v>118</v>
      </c>
      <c r="B24" s="344"/>
      <c r="C24" s="346"/>
      <c r="D24" s="345">
        <f t="shared" si="0"/>
        <v>0</v>
      </c>
      <c r="E24" s="351"/>
      <c r="F24" s="253" t="e">
        <f t="shared" si="1"/>
        <v>#DIV/0!</v>
      </c>
      <c r="G24" s="344"/>
      <c r="H24" s="346"/>
      <c r="I24" s="345">
        <f>SUM(G24:H24)</f>
        <v>0</v>
      </c>
      <c r="J24" s="351"/>
      <c r="K24" s="254" t="e">
        <f t="shared" si="2"/>
        <v>#DIV/0!</v>
      </c>
      <c r="L24" s="344"/>
      <c r="M24" s="346"/>
      <c r="N24" s="345">
        <f t="shared" si="3"/>
        <v>0</v>
      </c>
      <c r="O24" s="351"/>
      <c r="P24" s="253" t="e">
        <f t="shared" si="4"/>
        <v>#DIV/0!</v>
      </c>
    </row>
    <row r="25" spans="1:16" ht="14.1" customHeight="1" x14ac:dyDescent="0.2">
      <c r="A25" s="239" t="s">
        <v>82</v>
      </c>
      <c r="B25" s="344"/>
      <c r="C25" s="346"/>
      <c r="D25" s="345">
        <f t="shared" si="0"/>
        <v>0</v>
      </c>
      <c r="E25" s="351"/>
      <c r="F25" s="242" t="e">
        <f t="shared" si="1"/>
        <v>#DIV/0!</v>
      </c>
      <c r="G25" s="344"/>
      <c r="H25" s="346"/>
      <c r="I25" s="345">
        <f t="shared" ref="I25:I32" si="5">SUM(G25:H25)</f>
        <v>0</v>
      </c>
      <c r="J25" s="351"/>
      <c r="K25" s="248" t="e">
        <f t="shared" si="2"/>
        <v>#DIV/0!</v>
      </c>
      <c r="L25" s="344"/>
      <c r="M25" s="346"/>
      <c r="N25" s="345">
        <f t="shared" si="3"/>
        <v>0</v>
      </c>
      <c r="O25" s="351"/>
      <c r="P25" s="242" t="e">
        <f t="shared" si="4"/>
        <v>#DIV/0!</v>
      </c>
    </row>
    <row r="26" spans="1:16" ht="14.1" customHeight="1" x14ac:dyDescent="0.2">
      <c r="A26" s="252" t="s">
        <v>119</v>
      </c>
      <c r="B26" s="344"/>
      <c r="C26" s="346"/>
      <c r="D26" s="345">
        <f t="shared" si="0"/>
        <v>0</v>
      </c>
      <c r="E26" s="351"/>
      <c r="F26" s="253" t="e">
        <f t="shared" si="1"/>
        <v>#DIV/0!</v>
      </c>
      <c r="G26" s="344"/>
      <c r="H26" s="346"/>
      <c r="I26" s="345">
        <f t="shared" si="5"/>
        <v>0</v>
      </c>
      <c r="J26" s="351"/>
      <c r="K26" s="254" t="e">
        <f t="shared" si="2"/>
        <v>#DIV/0!</v>
      </c>
      <c r="L26" s="344"/>
      <c r="M26" s="346"/>
      <c r="N26" s="345">
        <f t="shared" si="3"/>
        <v>0</v>
      </c>
      <c r="O26" s="351"/>
      <c r="P26" s="253" t="e">
        <f t="shared" si="4"/>
        <v>#DIV/0!</v>
      </c>
    </row>
    <row r="27" spans="1:16" ht="14.1" customHeight="1" x14ac:dyDescent="0.2">
      <c r="A27" s="239" t="s">
        <v>120</v>
      </c>
      <c r="B27" s="344"/>
      <c r="C27" s="346"/>
      <c r="D27" s="345">
        <f t="shared" si="0"/>
        <v>0</v>
      </c>
      <c r="E27" s="351"/>
      <c r="F27" s="242" t="e">
        <f t="shared" si="1"/>
        <v>#DIV/0!</v>
      </c>
      <c r="G27" s="344"/>
      <c r="H27" s="346"/>
      <c r="I27" s="345">
        <f t="shared" si="5"/>
        <v>0</v>
      </c>
      <c r="J27" s="351"/>
      <c r="K27" s="248" t="e">
        <f t="shared" si="2"/>
        <v>#DIV/0!</v>
      </c>
      <c r="L27" s="344"/>
      <c r="M27" s="346"/>
      <c r="N27" s="345">
        <f t="shared" si="3"/>
        <v>0</v>
      </c>
      <c r="O27" s="351"/>
      <c r="P27" s="242" t="e">
        <f t="shared" si="4"/>
        <v>#DIV/0!</v>
      </c>
    </row>
    <row r="28" spans="1:16" ht="14.1" customHeight="1" x14ac:dyDescent="0.2">
      <c r="A28" s="252" t="s">
        <v>121</v>
      </c>
      <c r="B28" s="344"/>
      <c r="C28" s="346"/>
      <c r="D28" s="345">
        <f t="shared" si="0"/>
        <v>0</v>
      </c>
      <c r="E28" s="351"/>
      <c r="F28" s="253" t="e">
        <f t="shared" si="1"/>
        <v>#DIV/0!</v>
      </c>
      <c r="G28" s="344"/>
      <c r="H28" s="346"/>
      <c r="I28" s="345">
        <f t="shared" si="5"/>
        <v>0</v>
      </c>
      <c r="J28" s="351"/>
      <c r="K28" s="254" t="e">
        <f t="shared" si="2"/>
        <v>#DIV/0!</v>
      </c>
      <c r="L28" s="344"/>
      <c r="M28" s="346"/>
      <c r="N28" s="345">
        <f t="shared" si="3"/>
        <v>0</v>
      </c>
      <c r="O28" s="351"/>
      <c r="P28" s="253" t="e">
        <f t="shared" si="4"/>
        <v>#DIV/0!</v>
      </c>
    </row>
    <row r="29" spans="1:16" ht="14.1" customHeight="1" x14ac:dyDescent="0.2">
      <c r="A29" s="239" t="s">
        <v>122</v>
      </c>
      <c r="B29" s="344"/>
      <c r="C29" s="346"/>
      <c r="D29" s="345">
        <f t="shared" si="0"/>
        <v>0</v>
      </c>
      <c r="E29" s="351"/>
      <c r="F29" s="242" t="e">
        <f t="shared" si="1"/>
        <v>#DIV/0!</v>
      </c>
      <c r="G29" s="344"/>
      <c r="H29" s="346"/>
      <c r="I29" s="345">
        <f t="shared" si="5"/>
        <v>0</v>
      </c>
      <c r="J29" s="351"/>
      <c r="K29" s="248" t="e">
        <f t="shared" si="2"/>
        <v>#DIV/0!</v>
      </c>
      <c r="L29" s="344"/>
      <c r="M29" s="346"/>
      <c r="N29" s="345">
        <f t="shared" si="3"/>
        <v>0</v>
      </c>
      <c r="O29" s="351"/>
      <c r="P29" s="242" t="e">
        <f t="shared" si="4"/>
        <v>#DIV/0!</v>
      </c>
    </row>
    <row r="30" spans="1:16" ht="14.1" customHeight="1" x14ac:dyDescent="0.2">
      <c r="A30" s="252" t="s">
        <v>123</v>
      </c>
      <c r="B30" s="344"/>
      <c r="C30" s="346"/>
      <c r="D30" s="345">
        <f>SUM(B30:C30)</f>
        <v>0</v>
      </c>
      <c r="E30" s="351"/>
      <c r="F30" s="253" t="e">
        <f t="shared" si="1"/>
        <v>#DIV/0!</v>
      </c>
      <c r="G30" s="344"/>
      <c r="H30" s="346"/>
      <c r="I30" s="345">
        <f>SUM(G30:H30)</f>
        <v>0</v>
      </c>
      <c r="J30" s="351"/>
      <c r="K30" s="254" t="e">
        <f t="shared" si="2"/>
        <v>#DIV/0!</v>
      </c>
      <c r="L30" s="344"/>
      <c r="M30" s="346"/>
      <c r="N30" s="345">
        <f>SUM(L30:M30)</f>
        <v>0</v>
      </c>
      <c r="O30" s="351"/>
      <c r="P30" s="253" t="e">
        <f t="shared" si="4"/>
        <v>#DIV/0!</v>
      </c>
    </row>
    <row r="31" spans="1:16" ht="14.1" customHeight="1" x14ac:dyDescent="0.2">
      <c r="A31" s="239" t="s">
        <v>124</v>
      </c>
      <c r="B31" s="344"/>
      <c r="C31" s="346"/>
      <c r="D31" s="345">
        <f>SUM(B31:C31)</f>
        <v>0</v>
      </c>
      <c r="E31" s="351"/>
      <c r="F31" s="242" t="e">
        <f t="shared" si="1"/>
        <v>#DIV/0!</v>
      </c>
      <c r="G31" s="344"/>
      <c r="H31" s="346"/>
      <c r="I31" s="345">
        <f t="shared" si="5"/>
        <v>0</v>
      </c>
      <c r="J31" s="351"/>
      <c r="K31" s="248" t="e">
        <f t="shared" si="2"/>
        <v>#DIV/0!</v>
      </c>
      <c r="L31" s="344"/>
      <c r="M31" s="346"/>
      <c r="N31" s="345">
        <f>SUM(L31:M31)</f>
        <v>0</v>
      </c>
      <c r="O31" s="351"/>
      <c r="P31" s="242" t="e">
        <f t="shared" si="4"/>
        <v>#DIV/0!</v>
      </c>
    </row>
    <row r="32" spans="1:16" ht="14.1" customHeight="1" x14ac:dyDescent="0.2">
      <c r="A32" s="255" t="s">
        <v>125</v>
      </c>
      <c r="B32" s="344"/>
      <c r="C32" s="346"/>
      <c r="D32" s="165">
        <f t="shared" si="0"/>
        <v>0</v>
      </c>
      <c r="E32" s="351"/>
      <c r="F32" s="256" t="e">
        <f t="shared" si="1"/>
        <v>#DIV/0!</v>
      </c>
      <c r="G32" s="257"/>
      <c r="H32" s="165"/>
      <c r="I32" s="165">
        <f t="shared" si="5"/>
        <v>0</v>
      </c>
      <c r="J32" s="351"/>
      <c r="K32" s="256" t="e">
        <f t="shared" si="2"/>
        <v>#DIV/0!</v>
      </c>
      <c r="L32" s="344"/>
      <c r="M32" s="346"/>
      <c r="N32" s="165">
        <f t="shared" si="3"/>
        <v>0</v>
      </c>
      <c r="O32" s="351"/>
      <c r="P32" s="256" t="e">
        <f t="shared" si="4"/>
        <v>#DIV/0!</v>
      </c>
    </row>
    <row r="33" spans="1:16" ht="13.5" thickBot="1" x14ac:dyDescent="0.25">
      <c r="A33" s="249" t="s">
        <v>83</v>
      </c>
      <c r="B33" s="259">
        <f>SUM(B21:B32)</f>
        <v>109706</v>
      </c>
      <c r="C33" s="260">
        <f>SUM(C21:C32)</f>
        <v>106761</v>
      </c>
      <c r="D33" s="260">
        <f>SUM(D21:D32)</f>
        <v>216467</v>
      </c>
      <c r="E33" s="261">
        <f>SUM(E21:E32)</f>
        <v>188869</v>
      </c>
      <c r="F33" s="244">
        <f>(D33-E33)/E33</f>
        <v>0.14612244465740803</v>
      </c>
      <c r="G33" s="262">
        <f>SUM(G21:G32)</f>
        <v>1158780</v>
      </c>
      <c r="H33" s="260">
        <f>SUM(H21:H32)</f>
        <v>1183104</v>
      </c>
      <c r="I33" s="260">
        <f>SUM(I21:I32)</f>
        <v>2341884</v>
      </c>
      <c r="J33" s="263">
        <f>SUM(J21:J32)</f>
        <v>2215560</v>
      </c>
      <c r="K33" s="245">
        <f>(I33-J33)/J33</f>
        <v>5.7016736175052811E-2</v>
      </c>
      <c r="L33" s="262">
        <f>SUM(L21:L32)</f>
        <v>1268486</v>
      </c>
      <c r="M33" s="260">
        <f>SUM(M21:M32)</f>
        <v>1289865</v>
      </c>
      <c r="N33" s="260">
        <f>SUM(N21:N32)</f>
        <v>2558351</v>
      </c>
      <c r="O33" s="261">
        <f>SUM(O21:O32)</f>
        <v>2404429</v>
      </c>
      <c r="P33" s="243">
        <f>(N33-O33)/O33</f>
        <v>6.4016030417200928E-2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January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O23" sqref="O23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4" t="s">
        <v>103</v>
      </c>
      <c r="C1" s="495"/>
      <c r="D1" s="495"/>
      <c r="E1" s="495"/>
      <c r="F1" s="269"/>
      <c r="G1" s="494" t="s">
        <v>102</v>
      </c>
      <c r="H1" s="496"/>
      <c r="I1" s="496"/>
      <c r="J1" s="496"/>
      <c r="K1" s="496"/>
      <c r="L1" s="497"/>
    </row>
    <row r="2" spans="1:20" s="195" customFormat="1" ht="30.75" customHeight="1" thickBot="1" x14ac:dyDescent="0.25">
      <c r="A2" s="415">
        <v>41640</v>
      </c>
      <c r="B2" s="8" t="s">
        <v>88</v>
      </c>
      <c r="C2" s="8" t="s">
        <v>89</v>
      </c>
      <c r="D2" s="8" t="s">
        <v>90</v>
      </c>
      <c r="E2" s="8" t="s">
        <v>91</v>
      </c>
      <c r="F2" s="203"/>
      <c r="G2" s="184" t="s">
        <v>92</v>
      </c>
      <c r="H2" s="184" t="s">
        <v>211</v>
      </c>
      <c r="I2" s="105" t="s">
        <v>93</v>
      </c>
      <c r="J2" s="8" t="s">
        <v>94</v>
      </c>
      <c r="K2" s="184" t="s">
        <v>95</v>
      </c>
      <c r="L2" s="184" t="s">
        <v>142</v>
      </c>
      <c r="M2" s="184" t="s">
        <v>24</v>
      </c>
    </row>
    <row r="3" spans="1:20" ht="15" x14ac:dyDescent="0.25">
      <c r="A3" s="204" t="s">
        <v>9</v>
      </c>
      <c r="B3" s="441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59</v>
      </c>
      <c r="B4" s="257">
        <f>[2]Airborne!$DJ$4</f>
        <v>0</v>
      </c>
      <c r="C4" s="165">
        <f>[2]DHL!$DJ$4</f>
        <v>22</v>
      </c>
      <c r="D4" s="165">
        <f>[2]FedEx!$DJ$4+[2]FedEx!$DJ$15</f>
        <v>101</v>
      </c>
      <c r="E4" s="165">
        <f>[2]UPS!$DJ$4</f>
        <v>99</v>
      </c>
      <c r="F4" s="196"/>
      <c r="G4" s="122">
        <f>[2]ATI_BAX!$DJ$4</f>
        <v>0</v>
      </c>
      <c r="H4" s="122">
        <f>'[2]Suburban Air Freight'!$DJ$15</f>
        <v>22</v>
      </c>
      <c r="I4" s="122">
        <f>[2]Bemidji!$DJ$4</f>
        <v>249</v>
      </c>
      <c r="J4" s="122">
        <f>'[2]CSA Air'!$DJ$4</f>
        <v>1</v>
      </c>
      <c r="K4" s="122">
        <f>'[2]Mountain Cargo'!$DJ$4</f>
        <v>21</v>
      </c>
      <c r="L4" s="122">
        <f>'[2]Misc Cargo'!$DJ$4</f>
        <v>27</v>
      </c>
      <c r="M4" s="208">
        <f>SUM(B4:L4)</f>
        <v>542</v>
      </c>
    </row>
    <row r="5" spans="1:20" x14ac:dyDescent="0.2">
      <c r="A5" s="55" t="s">
        <v>60</v>
      </c>
      <c r="B5" s="442">
        <f>[2]Airborne!$DJ$5</f>
        <v>0</v>
      </c>
      <c r="C5" s="202">
        <f>[2]DHL!$DJ$5</f>
        <v>22</v>
      </c>
      <c r="D5" s="202">
        <f>[2]FedEx!$DJ$5</f>
        <v>101</v>
      </c>
      <c r="E5" s="202">
        <f>[2]UPS!$DJ$5</f>
        <v>96</v>
      </c>
      <c r="F5" s="196"/>
      <c r="G5" s="124">
        <f>[2]ATI_BAX!$DJ$5</f>
        <v>0</v>
      </c>
      <c r="H5" s="124">
        <f>'[2]Suburban Air Freight'!$DJ$16</f>
        <v>22</v>
      </c>
      <c r="I5" s="124">
        <f>[2]Bemidji!$DJ$5</f>
        <v>249</v>
      </c>
      <c r="J5" s="124">
        <f>'[2]CSA Air'!$DJ$5</f>
        <v>0</v>
      </c>
      <c r="K5" s="124">
        <f>'[2]Mountain Cargo'!$DJ$5</f>
        <v>21</v>
      </c>
      <c r="L5" s="124">
        <f>'[2]Misc Cargo'!$DJ$5</f>
        <v>27</v>
      </c>
      <c r="M5" s="212">
        <f>SUM(B5:L5)</f>
        <v>538</v>
      </c>
    </row>
    <row r="6" spans="1:20" s="193" customFormat="1" x14ac:dyDescent="0.2">
      <c r="A6" s="209" t="s">
        <v>61</v>
      </c>
      <c r="B6" s="443">
        <f>SUM(B4:B5)</f>
        <v>0</v>
      </c>
      <c r="C6" s="210">
        <f>SUM(C4:C5)</f>
        <v>44</v>
      </c>
      <c r="D6" s="210">
        <f>SUM(D4:D5)</f>
        <v>202</v>
      </c>
      <c r="E6" s="210">
        <f>SUM(E4:E5)</f>
        <v>195</v>
      </c>
      <c r="F6" s="197"/>
      <c r="G6" s="192">
        <f t="shared" ref="G6:L6" si="0">SUM(G4:G5)</f>
        <v>0</v>
      </c>
      <c r="H6" s="192">
        <f t="shared" si="0"/>
        <v>44</v>
      </c>
      <c r="I6" s="192">
        <f t="shared" si="0"/>
        <v>498</v>
      </c>
      <c r="J6" s="192">
        <f t="shared" si="0"/>
        <v>1</v>
      </c>
      <c r="K6" s="192">
        <f t="shared" si="0"/>
        <v>42</v>
      </c>
      <c r="L6" s="192">
        <f t="shared" si="0"/>
        <v>54</v>
      </c>
      <c r="M6" s="211">
        <f>SUM(B6:L6)</f>
        <v>1080</v>
      </c>
    </row>
    <row r="7" spans="1:20" x14ac:dyDescent="0.2">
      <c r="A7" s="55"/>
      <c r="B7" s="257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62</v>
      </c>
      <c r="B8" s="257">
        <f>[2]Airborne!$DJ$8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'[2]Misc Cargo'!$DJ$8</f>
        <v>0</v>
      </c>
      <c r="M8" s="208">
        <f>SUM(B8:L8)</f>
        <v>0</v>
      </c>
    </row>
    <row r="9" spans="1:20" ht="15" x14ac:dyDescent="0.25">
      <c r="A9" s="55" t="s">
        <v>63</v>
      </c>
      <c r="B9" s="442">
        <f>[2]Airborne!$DJ$9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'[2]Misc Cargo'!$DJ$9</f>
        <v>0</v>
      </c>
      <c r="M9" s="212">
        <f>SUM(B9:L9)</f>
        <v>0</v>
      </c>
      <c r="P9" s="15"/>
      <c r="Q9" s="338"/>
      <c r="R9" s="338"/>
      <c r="S9" s="338"/>
      <c r="T9" s="338"/>
    </row>
    <row r="10" spans="1:20" s="193" customFormat="1" x14ac:dyDescent="0.2">
      <c r="A10" s="209" t="s">
        <v>64</v>
      </c>
      <c r="B10" s="443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7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44">
        <f>B6+B10</f>
        <v>0</v>
      </c>
      <c r="C12" s="214">
        <f>C6+C10</f>
        <v>44</v>
      </c>
      <c r="D12" s="214">
        <f>D6+D10</f>
        <v>202</v>
      </c>
      <c r="E12" s="214">
        <f>E6+E10</f>
        <v>195</v>
      </c>
      <c r="F12" s="215"/>
      <c r="G12" s="216">
        <f t="shared" ref="G12:L12" si="2">G6+G10</f>
        <v>0</v>
      </c>
      <c r="H12" s="216">
        <f t="shared" si="2"/>
        <v>44</v>
      </c>
      <c r="I12" s="216">
        <f t="shared" si="2"/>
        <v>498</v>
      </c>
      <c r="J12" s="216">
        <f t="shared" si="2"/>
        <v>1</v>
      </c>
      <c r="K12" s="216">
        <f t="shared" si="2"/>
        <v>42</v>
      </c>
      <c r="L12" s="216">
        <f t="shared" si="2"/>
        <v>54</v>
      </c>
      <c r="M12" s="217">
        <f>SUM(B12:L12)</f>
        <v>1080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104</v>
      </c>
      <c r="B14" s="445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105</v>
      </c>
      <c r="B15" s="257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7">
        <f>[2]Airborne!$DJ$47</f>
        <v>0</v>
      </c>
      <c r="C16" s="165">
        <f>[2]DHL!$DJ$47</f>
        <v>570806</v>
      </c>
      <c r="D16" s="165">
        <f>[2]FedEx!$DJ$47</f>
        <v>5964070</v>
      </c>
      <c r="E16" s="165">
        <f>[2]UPS!$DJ$47</f>
        <v>4771309</v>
      </c>
      <c r="F16" s="196"/>
      <c r="G16" s="122">
        <f>[2]ATI_BAX!$DJ$47</f>
        <v>0</v>
      </c>
      <c r="H16" s="122">
        <f>'[2]Suburban Air Freight'!$DJ$47</f>
        <v>15986</v>
      </c>
      <c r="I16" s="491" t="s">
        <v>96</v>
      </c>
      <c r="J16" s="122">
        <f>'[2]CSA Air'!$DJ$47</f>
        <v>1594</v>
      </c>
      <c r="K16" s="122">
        <f>'[2]Mountain Cargo'!$DJ$47</f>
        <v>42954</v>
      </c>
      <c r="L16" s="122">
        <f>'[2]Misc Cargo'!$DJ$47</f>
        <v>22777</v>
      </c>
      <c r="M16" s="208">
        <f>SUM(B16:H16)+SUM(J16:L16)</f>
        <v>11389496</v>
      </c>
    </row>
    <row r="17" spans="1:14" x14ac:dyDescent="0.2">
      <c r="A17" s="55" t="s">
        <v>41</v>
      </c>
      <c r="B17" s="257">
        <f>[2]Airborne!$DJ$48</f>
        <v>0</v>
      </c>
      <c r="C17" s="165">
        <f>[2]DHL!$DJ$48</f>
        <v>0</v>
      </c>
      <c r="D17" s="165">
        <f>[2]FedEx!$DJ$48</f>
        <v>0</v>
      </c>
      <c r="E17" s="165">
        <f>[2]UPS!$DJ$48</f>
        <v>36480</v>
      </c>
      <c r="F17" s="196"/>
      <c r="G17" s="122">
        <f>[2]ATI_BAX!$DJ$48</f>
        <v>0</v>
      </c>
      <c r="H17" s="122">
        <f>'[2]Suburban Air Freight'!$DJ$48</f>
        <v>0</v>
      </c>
      <c r="I17" s="492"/>
      <c r="J17" s="122">
        <f>'[2]CSA Air'!$DJ$48</f>
        <v>0</v>
      </c>
      <c r="K17" s="122">
        <f>'[2]Mountain Cargo'!$DJ$48</f>
        <v>0</v>
      </c>
      <c r="L17" s="122">
        <f>'[2]Misc Cargo'!$DJ$48</f>
        <v>0</v>
      </c>
      <c r="M17" s="208">
        <f t="shared" ref="M17:M18" si="3">SUM(B17:H17)+SUM(J17:L17)</f>
        <v>36480</v>
      </c>
    </row>
    <row r="18" spans="1:14" ht="18" customHeight="1" x14ac:dyDescent="0.2">
      <c r="A18" s="223" t="s">
        <v>42</v>
      </c>
      <c r="B18" s="446">
        <f>SUM(B16:B17)</f>
        <v>0</v>
      </c>
      <c r="C18" s="313">
        <f>SUM(C16:C17)</f>
        <v>570806</v>
      </c>
      <c r="D18" s="313">
        <f>SUM(D16:D17)</f>
        <v>5964070</v>
      </c>
      <c r="E18" s="313">
        <f>SUM(E16:E17)</f>
        <v>4807789</v>
      </c>
      <c r="F18" s="201"/>
      <c r="G18" s="314">
        <f>SUM(G16:G17)</f>
        <v>0</v>
      </c>
      <c r="H18" s="314">
        <f>SUM(H16:H17)</f>
        <v>15986</v>
      </c>
      <c r="I18" s="492"/>
      <c r="J18" s="314">
        <f>SUM(J16:J17)</f>
        <v>1594</v>
      </c>
      <c r="K18" s="314">
        <f>SUM(K16:K17)</f>
        <v>42954</v>
      </c>
      <c r="L18" s="314">
        <f>SUM(L16:L17)</f>
        <v>22777</v>
      </c>
      <c r="M18" s="224">
        <f t="shared" si="3"/>
        <v>11425976</v>
      </c>
      <c r="N18" s="7"/>
    </row>
    <row r="19" spans="1:14" x14ac:dyDescent="0.2">
      <c r="A19" s="55"/>
      <c r="B19" s="257"/>
      <c r="C19" s="165"/>
      <c r="D19" s="165"/>
      <c r="E19" s="165"/>
      <c r="F19" s="196"/>
      <c r="G19" s="122"/>
      <c r="H19" s="122"/>
      <c r="I19" s="492"/>
      <c r="J19" s="122"/>
      <c r="K19" s="122"/>
      <c r="L19" s="122"/>
      <c r="M19" s="208"/>
    </row>
    <row r="20" spans="1:14" x14ac:dyDescent="0.2">
      <c r="A20" s="225" t="s">
        <v>97</v>
      </c>
      <c r="B20" s="257"/>
      <c r="C20" s="165"/>
      <c r="D20" s="165"/>
      <c r="E20" s="165"/>
      <c r="F20" s="196"/>
      <c r="G20" s="122"/>
      <c r="H20" s="122"/>
      <c r="I20" s="492"/>
      <c r="J20" s="122"/>
      <c r="K20" s="122"/>
      <c r="L20" s="122"/>
      <c r="M20" s="208"/>
    </row>
    <row r="21" spans="1:14" x14ac:dyDescent="0.2">
      <c r="A21" s="55" t="s">
        <v>65</v>
      </c>
      <c r="B21" s="257">
        <f>[2]Airborne!$DJ$52</f>
        <v>0</v>
      </c>
      <c r="C21" s="165">
        <f>[2]DHL!$DJ$52</f>
        <v>361199</v>
      </c>
      <c r="D21" s="165">
        <f>[2]FedEx!$DJ$52</f>
        <v>8690874</v>
      </c>
      <c r="E21" s="165">
        <f>[2]UPS!$DJ$52</f>
        <v>4427709</v>
      </c>
      <c r="F21" s="196"/>
      <c r="G21" s="122">
        <f>[2]ATI_BAX!$DJ$52</f>
        <v>0</v>
      </c>
      <c r="H21" s="122">
        <f>'[2]Suburban Air Freight'!$DJ$52</f>
        <v>56114</v>
      </c>
      <c r="I21" s="492"/>
      <c r="J21" s="122">
        <f>'[2]CSA Air'!$DJ$52</f>
        <v>0</v>
      </c>
      <c r="K21" s="122">
        <f>'[2]Mountain Cargo'!$DJ$52</f>
        <v>117516</v>
      </c>
      <c r="L21" s="122">
        <f>'[2]Misc Cargo'!$DJ$52</f>
        <v>21755</v>
      </c>
      <c r="M21" s="208">
        <f t="shared" ref="M21:M23" si="4">SUM(B21:H21)+SUM(J21:L21)</f>
        <v>13675167</v>
      </c>
    </row>
    <row r="22" spans="1:14" x14ac:dyDescent="0.2">
      <c r="A22" s="55" t="s">
        <v>66</v>
      </c>
      <c r="B22" s="257">
        <f>[2]Airborne!$DJ$53</f>
        <v>0</v>
      </c>
      <c r="C22" s="165">
        <f>[2]DHL!$DJ$53</f>
        <v>0</v>
      </c>
      <c r="D22" s="165">
        <f>[2]FedEx!$DJ$53</f>
        <v>0</v>
      </c>
      <c r="E22" s="165">
        <f>[2]UPS!$DJ$53</f>
        <v>135053</v>
      </c>
      <c r="F22" s="196"/>
      <c r="G22" s="122">
        <f>[2]ATI_BAX!$DJ$53</f>
        <v>0</v>
      </c>
      <c r="H22" s="122">
        <f>'[2]Suburban Air Freight'!$DJ$53</f>
        <v>0</v>
      </c>
      <c r="I22" s="492"/>
      <c r="J22" s="122">
        <f>'[2]CSA Air'!$DJ$53</f>
        <v>0</v>
      </c>
      <c r="K22" s="122">
        <f>'[2]Mountain Cargo'!$DJ$53</f>
        <v>0</v>
      </c>
      <c r="L22" s="122">
        <f>'[2]Misc Cargo'!$DJ$53</f>
        <v>0</v>
      </c>
      <c r="M22" s="208">
        <f t="shared" si="4"/>
        <v>135053</v>
      </c>
    </row>
    <row r="23" spans="1:14" ht="18" customHeight="1" x14ac:dyDescent="0.2">
      <c r="A23" s="223" t="s">
        <v>44</v>
      </c>
      <c r="B23" s="446">
        <f>SUM(B21:B22)</f>
        <v>0</v>
      </c>
      <c r="C23" s="313">
        <f>SUM(C21:C22)</f>
        <v>361199</v>
      </c>
      <c r="D23" s="313">
        <f>SUM(D21:D22)</f>
        <v>8690874</v>
      </c>
      <c r="E23" s="313">
        <f>SUM(E21:E22)</f>
        <v>4562762</v>
      </c>
      <c r="F23" s="201"/>
      <c r="G23" s="314">
        <f>SUM(G21:G22)</f>
        <v>0</v>
      </c>
      <c r="H23" s="314">
        <f>SUM(H21:H22)</f>
        <v>56114</v>
      </c>
      <c r="I23" s="492"/>
      <c r="J23" s="314">
        <f>SUM(J21:J22)</f>
        <v>0</v>
      </c>
      <c r="K23" s="314">
        <f>SUM(K21:K22)</f>
        <v>117516</v>
      </c>
      <c r="L23" s="314">
        <f>SUM(L21:L22)</f>
        <v>21755</v>
      </c>
      <c r="M23" s="224">
        <f t="shared" si="4"/>
        <v>13810220</v>
      </c>
    </row>
    <row r="24" spans="1:14" x14ac:dyDescent="0.2">
      <c r="A24" s="55"/>
      <c r="B24" s="257"/>
      <c r="C24" s="165"/>
      <c r="D24" s="165"/>
      <c r="E24" s="165"/>
      <c r="F24" s="196"/>
      <c r="G24" s="122"/>
      <c r="H24" s="122"/>
      <c r="I24" s="492"/>
      <c r="J24" s="122"/>
      <c r="K24" s="122"/>
      <c r="L24" s="122"/>
      <c r="M24" s="208"/>
    </row>
    <row r="25" spans="1:14" x14ac:dyDescent="0.2">
      <c r="A25" s="225" t="s">
        <v>106</v>
      </c>
      <c r="B25" s="257"/>
      <c r="C25" s="165"/>
      <c r="D25" s="165"/>
      <c r="E25" s="165"/>
      <c r="F25" s="196"/>
      <c r="G25" s="122"/>
      <c r="H25" s="122"/>
      <c r="I25" s="492"/>
      <c r="J25" s="122"/>
      <c r="K25" s="122"/>
      <c r="L25" s="122"/>
      <c r="M25" s="208"/>
    </row>
    <row r="26" spans="1:14" x14ac:dyDescent="0.2">
      <c r="A26" s="55" t="s">
        <v>65</v>
      </c>
      <c r="B26" s="257">
        <f>[2]Airborne!$DJ$57</f>
        <v>0</v>
      </c>
      <c r="C26" s="165">
        <f>[2]DHL!$DJ$57</f>
        <v>0</v>
      </c>
      <c r="D26" s="165">
        <f>[2]FedEx!$DJ$57</f>
        <v>0</v>
      </c>
      <c r="E26" s="165">
        <f>[2]UPS!$DJ$57</f>
        <v>0</v>
      </c>
      <c r="F26" s="196"/>
      <c r="G26" s="122">
        <f>[2]ATI_BAX!$DJ$57</f>
        <v>0</v>
      </c>
      <c r="H26" s="122">
        <f>'[2]Suburban Air Freight'!$DJ$57</f>
        <v>0</v>
      </c>
      <c r="I26" s="492"/>
      <c r="J26" s="122">
        <f>'[2]CSA Air'!$DJ$57</f>
        <v>0</v>
      </c>
      <c r="K26" s="122">
        <f>'[2]Mountain Cargo'!$DJ$57</f>
        <v>0</v>
      </c>
      <c r="L26" s="122">
        <f>'[2]Misc Cargo'!$DJ$57</f>
        <v>0</v>
      </c>
      <c r="M26" s="208">
        <f t="shared" ref="M26:M28" si="5">SUM(B26:H26)+SUM(J26:L26)</f>
        <v>0</v>
      </c>
    </row>
    <row r="27" spans="1:14" x14ac:dyDescent="0.2">
      <c r="A27" s="55" t="s">
        <v>66</v>
      </c>
      <c r="B27" s="257">
        <f>[2]Airborne!$DJ$58</f>
        <v>0</v>
      </c>
      <c r="C27" s="165">
        <f>[2]DHL!$DJ$58</f>
        <v>0</v>
      </c>
      <c r="D27" s="165">
        <f>[2]FedEx!$DJ$58</f>
        <v>0</v>
      </c>
      <c r="E27" s="165">
        <f>[2]UPS!$DJ$58</f>
        <v>0</v>
      </c>
      <c r="F27" s="196"/>
      <c r="G27" s="122">
        <f>[2]ATI_BAX!$DJ$58</f>
        <v>0</v>
      </c>
      <c r="H27" s="122">
        <f>'[2]Suburban Air Freight'!$DJ$58</f>
        <v>0</v>
      </c>
      <c r="I27" s="492"/>
      <c r="J27" s="122">
        <f>'[2]CSA Air'!$DJ$58</f>
        <v>0</v>
      </c>
      <c r="K27" s="122">
        <f>'[2]Mountain Cargo'!$DJ$58</f>
        <v>0</v>
      </c>
      <c r="L27" s="122">
        <f>'[2]Misc Cargo'!$DJ$58</f>
        <v>0</v>
      </c>
      <c r="M27" s="208">
        <f t="shared" si="5"/>
        <v>0</v>
      </c>
    </row>
    <row r="28" spans="1:14" ht="18" customHeight="1" x14ac:dyDescent="0.2">
      <c r="A28" s="223" t="s">
        <v>46</v>
      </c>
      <c r="B28" s="446">
        <f>SUM(B26:B27)</f>
        <v>0</v>
      </c>
      <c r="C28" s="313">
        <f>SUM(C26:C27)</f>
        <v>0</v>
      </c>
      <c r="D28" s="313">
        <f>SUM(D26:D27)</f>
        <v>0</v>
      </c>
      <c r="E28" s="313">
        <f>SUM(E26:E27)</f>
        <v>0</v>
      </c>
      <c r="F28" s="201"/>
      <c r="G28" s="314">
        <f>SUM(G26:G27)</f>
        <v>0</v>
      </c>
      <c r="H28" s="314">
        <f>SUM(H26:H27)</f>
        <v>0</v>
      </c>
      <c r="I28" s="492"/>
      <c r="J28" s="314">
        <f>SUM(J26:J27)</f>
        <v>0</v>
      </c>
      <c r="K28" s="314">
        <f>SUM(K26:K27)</f>
        <v>0</v>
      </c>
      <c r="L28" s="314">
        <f>SUM(L26:L27)</f>
        <v>0</v>
      </c>
      <c r="M28" s="224">
        <f t="shared" si="5"/>
        <v>0</v>
      </c>
    </row>
    <row r="29" spans="1:14" x14ac:dyDescent="0.2">
      <c r="A29" s="55"/>
      <c r="B29" s="257"/>
      <c r="C29" s="165"/>
      <c r="D29" s="165"/>
      <c r="E29" s="165"/>
      <c r="F29" s="196"/>
      <c r="G29" s="122"/>
      <c r="H29" s="122"/>
      <c r="I29" s="492"/>
      <c r="J29" s="122"/>
      <c r="K29" s="122"/>
      <c r="L29" s="122"/>
      <c r="M29" s="208"/>
    </row>
    <row r="30" spans="1:14" x14ac:dyDescent="0.2">
      <c r="A30" s="226" t="s">
        <v>47</v>
      </c>
      <c r="B30" s="257"/>
      <c r="C30" s="165"/>
      <c r="D30" s="165"/>
      <c r="E30" s="165"/>
      <c r="F30" s="196"/>
      <c r="G30" s="122"/>
      <c r="H30" s="122"/>
      <c r="I30" s="492"/>
      <c r="J30" s="122"/>
      <c r="K30" s="122"/>
      <c r="L30" s="122"/>
      <c r="M30" s="208"/>
    </row>
    <row r="31" spans="1:14" x14ac:dyDescent="0.2">
      <c r="A31" s="55" t="s">
        <v>98</v>
      </c>
      <c r="B31" s="257">
        <f t="shared" ref="B31:E33" si="6">B26+B21+B16</f>
        <v>0</v>
      </c>
      <c r="C31" s="165">
        <f t="shared" si="6"/>
        <v>932005</v>
      </c>
      <c r="D31" s="165">
        <f t="shared" si="6"/>
        <v>14654944</v>
      </c>
      <c r="E31" s="165">
        <f t="shared" si="6"/>
        <v>9199018</v>
      </c>
      <c r="F31" s="196"/>
      <c r="G31" s="122">
        <f t="shared" ref="G31:H33" si="7">G26+G21+G16</f>
        <v>0</v>
      </c>
      <c r="H31" s="122">
        <f t="shared" si="7"/>
        <v>72100</v>
      </c>
      <c r="I31" s="492"/>
      <c r="J31" s="122">
        <f t="shared" ref="J31:L33" si="8">J26+J21+J16</f>
        <v>1594</v>
      </c>
      <c r="K31" s="122">
        <f t="shared" si="8"/>
        <v>160470</v>
      </c>
      <c r="L31" s="122">
        <f>L26+L21+L16</f>
        <v>44532</v>
      </c>
      <c r="M31" s="208">
        <f t="shared" ref="M31:M33" si="9">SUM(B31:H31)+SUM(J31:L31)</f>
        <v>25064663</v>
      </c>
    </row>
    <row r="32" spans="1:14" x14ac:dyDescent="0.2">
      <c r="A32" s="55" t="s">
        <v>66</v>
      </c>
      <c r="B32" s="257">
        <f t="shared" si="6"/>
        <v>0</v>
      </c>
      <c r="C32" s="165">
        <f t="shared" si="6"/>
        <v>0</v>
      </c>
      <c r="D32" s="165">
        <f t="shared" si="6"/>
        <v>0</v>
      </c>
      <c r="E32" s="165">
        <f t="shared" si="6"/>
        <v>171533</v>
      </c>
      <c r="F32" s="196"/>
      <c r="G32" s="122">
        <f t="shared" si="7"/>
        <v>0</v>
      </c>
      <c r="H32" s="122">
        <f t="shared" si="7"/>
        <v>0</v>
      </c>
      <c r="I32" s="493"/>
      <c r="J32" s="122">
        <f t="shared" si="8"/>
        <v>0</v>
      </c>
      <c r="K32" s="122">
        <f t="shared" si="8"/>
        <v>0</v>
      </c>
      <c r="L32" s="122">
        <f>L27+L22+L17</f>
        <v>0</v>
      </c>
      <c r="M32" s="212">
        <f t="shared" si="9"/>
        <v>171533</v>
      </c>
    </row>
    <row r="33" spans="1:13" ht="18" customHeight="1" thickBot="1" x14ac:dyDescent="0.25">
      <c r="A33" s="213" t="s">
        <v>49</v>
      </c>
      <c r="B33" s="444">
        <f t="shared" si="6"/>
        <v>0</v>
      </c>
      <c r="C33" s="214">
        <f t="shared" si="6"/>
        <v>932005</v>
      </c>
      <c r="D33" s="214">
        <f t="shared" si="6"/>
        <v>14654944</v>
      </c>
      <c r="E33" s="214">
        <f t="shared" si="6"/>
        <v>9370551</v>
      </c>
      <c r="F33" s="227"/>
      <c r="G33" s="216">
        <f t="shared" si="7"/>
        <v>0</v>
      </c>
      <c r="H33" s="216">
        <f t="shared" si="7"/>
        <v>72100</v>
      </c>
      <c r="I33" s="315">
        <f>I28+I23+I18</f>
        <v>0</v>
      </c>
      <c r="J33" s="216">
        <f t="shared" si="8"/>
        <v>1594</v>
      </c>
      <c r="K33" s="216">
        <f t="shared" si="8"/>
        <v>160470</v>
      </c>
      <c r="L33" s="216">
        <f t="shared" si="8"/>
        <v>44532</v>
      </c>
      <c r="M33" s="217">
        <f t="shared" si="9"/>
        <v>25236196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January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selection activeCell="I5" sqref="I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415">
        <v>41640</v>
      </c>
      <c r="B2" s="80" t="s">
        <v>69</v>
      </c>
      <c r="C2" s="80" t="s">
        <v>70</v>
      </c>
      <c r="D2" s="80" t="s">
        <v>71</v>
      </c>
      <c r="E2" s="327" t="s">
        <v>81</v>
      </c>
      <c r="F2" s="81" t="s">
        <v>197</v>
      </c>
      <c r="G2" s="81" t="s">
        <v>189</v>
      </c>
      <c r="H2" s="82" t="s">
        <v>72</v>
      </c>
      <c r="I2" s="83" t="s">
        <v>193</v>
      </c>
      <c r="J2" s="83" t="s">
        <v>187</v>
      </c>
      <c r="K2" s="93" t="s">
        <v>2</v>
      </c>
    </row>
    <row r="3" spans="1:18" ht="20.25" customHeight="1" x14ac:dyDescent="0.2">
      <c r="A3" s="90" t="s">
        <v>73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74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75</v>
      </c>
      <c r="B5" s="173">
        <f>'Major Airline Stats'!H28</f>
        <v>3937911</v>
      </c>
      <c r="C5" s="122">
        <f>'Regional Major'!J25</f>
        <v>0</v>
      </c>
      <c r="D5" s="122">
        <f>Cargo!M16</f>
        <v>11389496</v>
      </c>
      <c r="E5" s="122">
        <f>SUM(B5:D5)</f>
        <v>15327407</v>
      </c>
      <c r="F5" s="122">
        <f>E5*0.00045359237</f>
        <v>6952.3948670845903</v>
      </c>
      <c r="G5" s="150">
        <f>'[1]Cargo Summary'!F5</f>
        <v>7873.9671034686198</v>
      </c>
      <c r="H5" s="101">
        <f>(F5-G5)/G5</f>
        <v>-0.11704039707989902</v>
      </c>
      <c r="I5" s="150">
        <f>+F5</f>
        <v>6952.3948670845903</v>
      </c>
      <c r="J5" s="150">
        <f>'[1]Cargo Summary'!I5</f>
        <v>7873.9671034686198</v>
      </c>
      <c r="K5" s="88">
        <f>(I5-J5)/J5</f>
        <v>-0.11704039707989902</v>
      </c>
      <c r="M5" s="37"/>
    </row>
    <row r="6" spans="1:18" x14ac:dyDescent="0.2">
      <c r="A6" s="65" t="s">
        <v>18</v>
      </c>
      <c r="B6" s="173">
        <f>'Major Airline Stats'!H29</f>
        <v>1541422</v>
      </c>
      <c r="C6" s="122">
        <f>'Regional Major'!J26</f>
        <v>0</v>
      </c>
      <c r="D6" s="122">
        <f>Cargo!M17</f>
        <v>36480</v>
      </c>
      <c r="E6" s="122">
        <f>SUM(B6:D6)</f>
        <v>1577902</v>
      </c>
      <c r="F6" s="122">
        <f>E6*0.00045359237</f>
        <v>715.72430780773993</v>
      </c>
      <c r="G6" s="150">
        <f>'[1]Cargo Summary'!F6</f>
        <v>514.31614134900997</v>
      </c>
      <c r="H6" s="39">
        <f>(F6-G6)/G6</f>
        <v>0.39160382159201246</v>
      </c>
      <c r="I6" s="150">
        <f>+F6</f>
        <v>715.72430780773993</v>
      </c>
      <c r="J6" s="150">
        <f>'[1]Cargo Summary'!I6</f>
        <v>514.31614134900997</v>
      </c>
      <c r="K6" s="88">
        <f>(I6-J6)/J6</f>
        <v>0.39160382159201246</v>
      </c>
      <c r="M6" s="37"/>
    </row>
    <row r="7" spans="1:18" ht="18" customHeight="1" thickBot="1" x14ac:dyDescent="0.25">
      <c r="A7" s="76" t="s">
        <v>78</v>
      </c>
      <c r="B7" s="175">
        <f>SUM(B5:B6)</f>
        <v>5479333</v>
      </c>
      <c r="C7" s="137">
        <f t="shared" ref="C7:J7" si="0">SUM(C5:C6)</f>
        <v>0</v>
      </c>
      <c r="D7" s="137">
        <f t="shared" si="0"/>
        <v>11425976</v>
      </c>
      <c r="E7" s="137">
        <f t="shared" si="0"/>
        <v>16905309</v>
      </c>
      <c r="F7" s="137">
        <f t="shared" si="0"/>
        <v>7668.1191748923302</v>
      </c>
      <c r="G7" s="137">
        <f t="shared" si="0"/>
        <v>8388.2832448176305</v>
      </c>
      <c r="H7" s="46">
        <f>(F7-G7)/G7</f>
        <v>-8.5853570856733438E-2</v>
      </c>
      <c r="I7" s="137">
        <f t="shared" si="0"/>
        <v>7668.1191748923302</v>
      </c>
      <c r="J7" s="137">
        <f t="shared" si="0"/>
        <v>8388.2832448176305</v>
      </c>
      <c r="K7" s="329">
        <f>(I7-J7)/J7</f>
        <v>-8.5853570856733438E-2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76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75</v>
      </c>
      <c r="B10" s="173">
        <f>'Major Airline Stats'!H33</f>
        <v>4470952</v>
      </c>
      <c r="C10" s="122">
        <f>'Regional Major'!J30</f>
        <v>0</v>
      </c>
      <c r="D10" s="122">
        <f>Cargo!M21</f>
        <v>13675167</v>
      </c>
      <c r="E10" s="122">
        <f>SUM(B10:D10)</f>
        <v>18146119</v>
      </c>
      <c r="F10" s="122">
        <f>E10*0.00045359237</f>
        <v>8230.9411235120297</v>
      </c>
      <c r="G10" s="150">
        <f>'[1]Cargo Summary'!F10</f>
        <v>7433.2209229793898</v>
      </c>
      <c r="H10" s="39">
        <f>(F10-G10)/G10</f>
        <v>0.10731824182253646</v>
      </c>
      <c r="I10" s="150">
        <f>+F10</f>
        <v>8230.9411235120297</v>
      </c>
      <c r="J10" s="150">
        <f>'[1]Cargo Summary'!I10</f>
        <v>7433.2209229793898</v>
      </c>
      <c r="K10" s="88">
        <f>(I10-J10)/J10</f>
        <v>0.10731824182253646</v>
      </c>
      <c r="M10" s="37"/>
    </row>
    <row r="11" spans="1:18" x14ac:dyDescent="0.2">
      <c r="A11" s="65" t="s">
        <v>18</v>
      </c>
      <c r="B11" s="173">
        <f>'Major Airline Stats'!H34</f>
        <v>767956</v>
      </c>
      <c r="C11" s="122">
        <f>'Regional Major'!J31</f>
        <v>0</v>
      </c>
      <c r="D11" s="122">
        <f>Cargo!M22</f>
        <v>135053</v>
      </c>
      <c r="E11" s="122">
        <f>SUM(B11:D11)</f>
        <v>903009</v>
      </c>
      <c r="F11" s="122">
        <f>E11*0.00045359237</f>
        <v>409.59799244133001</v>
      </c>
      <c r="G11" s="150">
        <f>'[1]Cargo Summary'!F11</f>
        <v>1038.68026087826</v>
      </c>
      <c r="H11" s="37">
        <f>(F11-G11)/G11</f>
        <v>-0.60565536106848428</v>
      </c>
      <c r="I11" s="150">
        <f>+F11</f>
        <v>409.59799244133001</v>
      </c>
      <c r="J11" s="150">
        <f>'[1]Cargo Summary'!I11</f>
        <v>1038.68026087826</v>
      </c>
      <c r="K11" s="88">
        <f>(I11-J11)/J11</f>
        <v>-0.60565536106848428</v>
      </c>
      <c r="M11" s="37"/>
    </row>
    <row r="12" spans="1:18" ht="18" customHeight="1" thickBot="1" x14ac:dyDescent="0.25">
      <c r="A12" s="76" t="s">
        <v>79</v>
      </c>
      <c r="B12" s="175">
        <f>SUM(B10:B11)</f>
        <v>5238908</v>
      </c>
      <c r="C12" s="137">
        <f t="shared" ref="C12:J12" si="1">SUM(C10:C11)</f>
        <v>0</v>
      </c>
      <c r="D12" s="137">
        <f t="shared" si="1"/>
        <v>13810220</v>
      </c>
      <c r="E12" s="137">
        <f t="shared" si="1"/>
        <v>19049128</v>
      </c>
      <c r="F12" s="137">
        <f t="shared" si="1"/>
        <v>8640.5391159533592</v>
      </c>
      <c r="G12" s="137">
        <f t="shared" si="1"/>
        <v>8471.9011838576498</v>
      </c>
      <c r="H12" s="46">
        <f>(F12-G12)/G12</f>
        <v>1.9905559382235469E-2</v>
      </c>
      <c r="I12" s="137">
        <f t="shared" si="1"/>
        <v>8640.5391159533592</v>
      </c>
      <c r="J12" s="137">
        <f t="shared" si="1"/>
        <v>8471.9011838576498</v>
      </c>
      <c r="K12" s="329">
        <f>(I12-J12)/J12</f>
        <v>1.9905559382235469E-2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77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75</v>
      </c>
      <c r="B15" s="173">
        <f>'Major Airline Stats'!H38</f>
        <v>0</v>
      </c>
      <c r="C15" s="122">
        <f>'Regional Major'!J35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67" t="e">
        <f>(F15-G15)/G15</f>
        <v>#DIV/0!</v>
      </c>
      <c r="I15" s="150">
        <f>+F15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Stats'!H39</f>
        <v>0</v>
      </c>
      <c r="C16" s="122">
        <f>'Regional Major'!J36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80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9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75</v>
      </c>
      <c r="B20" s="173">
        <f t="shared" ref="B20:D21" si="3">B15+B10+B5</f>
        <v>8408863</v>
      </c>
      <c r="C20" s="122">
        <f t="shared" si="3"/>
        <v>0</v>
      </c>
      <c r="D20" s="122">
        <f t="shared" si="3"/>
        <v>25064663</v>
      </c>
      <c r="E20" s="122">
        <f>SUM(B20:D20)</f>
        <v>33473526</v>
      </c>
      <c r="F20" s="122">
        <f>E20*0.00045359237</f>
        <v>15183.335990596619</v>
      </c>
      <c r="G20" s="150">
        <f>'[1]Cargo Summary'!F20</f>
        <v>15307.18802644801</v>
      </c>
      <c r="H20" s="39">
        <f>(F20-G20)/G20</f>
        <v>-8.091103058079448E-3</v>
      </c>
      <c r="I20" s="150">
        <f>+I5+I10+I15</f>
        <v>15183.335990596621</v>
      </c>
      <c r="J20" s="150">
        <f>+J5+J10+J15</f>
        <v>15307.18802644801</v>
      </c>
      <c r="K20" s="88">
        <f>(I20-J20)/J20</f>
        <v>-8.0911030580793301E-3</v>
      </c>
      <c r="M20" s="37"/>
    </row>
    <row r="21" spans="1:13" x14ac:dyDescent="0.2">
      <c r="A21" s="65" t="s">
        <v>18</v>
      </c>
      <c r="B21" s="173">
        <f t="shared" si="3"/>
        <v>2309378</v>
      </c>
      <c r="C21" s="124">
        <f t="shared" si="3"/>
        <v>0</v>
      </c>
      <c r="D21" s="124">
        <f t="shared" si="3"/>
        <v>171533</v>
      </c>
      <c r="E21" s="122">
        <f>SUM(B21:D21)</f>
        <v>2480911</v>
      </c>
      <c r="F21" s="122">
        <f>E21*0.00045359237</f>
        <v>1125.3223002490699</v>
      </c>
      <c r="G21" s="150">
        <f>'[1]Cargo Summary'!F21</f>
        <v>1552.99640222727</v>
      </c>
      <c r="H21" s="39">
        <f>(F21-G21)/G21</f>
        <v>-0.27538640872885484</v>
      </c>
      <c r="I21" s="150">
        <f>+I6+I11+I16</f>
        <v>1125.3223002490699</v>
      </c>
      <c r="J21" s="150">
        <f>+J6+J11+J16</f>
        <v>1552.99640222727</v>
      </c>
      <c r="K21" s="88">
        <f>(I21-J21)/J21</f>
        <v>-0.27538640872885484</v>
      </c>
      <c r="M21" s="37"/>
    </row>
    <row r="22" spans="1:13" ht="18" customHeight="1" thickBot="1" x14ac:dyDescent="0.25">
      <c r="A22" s="91" t="s">
        <v>68</v>
      </c>
      <c r="B22" s="176">
        <f>SUM(B20:B21)</f>
        <v>10718241</v>
      </c>
      <c r="C22" s="177">
        <f t="shared" ref="C22:J22" si="4">SUM(C20:C21)</f>
        <v>0</v>
      </c>
      <c r="D22" s="177">
        <f t="shared" si="4"/>
        <v>25236196</v>
      </c>
      <c r="E22" s="177">
        <f t="shared" si="4"/>
        <v>35954437</v>
      </c>
      <c r="F22" s="177">
        <f t="shared" si="4"/>
        <v>16308.658290845689</v>
      </c>
      <c r="G22" s="177">
        <f t="shared" si="4"/>
        <v>16860.184428675278</v>
      </c>
      <c r="H22" s="335">
        <f>(F22-G22)/G22</f>
        <v>-3.2711749990799066E-2</v>
      </c>
      <c r="I22" s="177">
        <f t="shared" si="4"/>
        <v>16308.658290845691</v>
      </c>
      <c r="J22" s="177">
        <f t="shared" si="4"/>
        <v>16860.184428675278</v>
      </c>
      <c r="K22" s="336">
        <f>(I22-J22)/J22</f>
        <v>-3.2711749990798955E-2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January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topLeftCell="A7" zoomScaleNormal="100" zoomScaleSheetLayoutView="100" workbookViewId="0">
      <selection activeCell="M23" activeCellId="1" sqref="M18 M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1" width="11.28515625" customWidth="1"/>
    <col min="12" max="12" width="8.5703125" bestFit="1" customWidth="1"/>
    <col min="13" max="13" width="13.85546875" customWidth="1"/>
  </cols>
  <sheetData>
    <row r="1" spans="1:13" ht="26.25" thickBot="1" x14ac:dyDescent="0.25">
      <c r="A1" s="415">
        <v>41640</v>
      </c>
      <c r="B1" s="12" t="s">
        <v>20</v>
      </c>
      <c r="C1" s="282" t="s">
        <v>55</v>
      </c>
      <c r="D1" s="19" t="s">
        <v>203</v>
      </c>
      <c r="E1" s="12" t="s">
        <v>132</v>
      </c>
      <c r="F1" s="12" t="s">
        <v>110</v>
      </c>
      <c r="G1" s="12" t="s">
        <v>53</v>
      </c>
      <c r="H1" s="12" t="s">
        <v>126</v>
      </c>
      <c r="I1" s="12" t="s">
        <v>111</v>
      </c>
      <c r="J1" s="12" t="s">
        <v>198</v>
      </c>
      <c r="K1" s="12" t="s">
        <v>56</v>
      </c>
      <c r="L1" s="12" t="s">
        <v>158</v>
      </c>
      <c r="M1" s="282" t="s">
        <v>24</v>
      </c>
    </row>
    <row r="2" spans="1:13" ht="15" x14ac:dyDescent="0.25">
      <c r="A2" s="498" t="s">
        <v>159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500"/>
    </row>
    <row r="3" spans="1:13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58"/>
    </row>
    <row r="4" spans="1:13" x14ac:dyDescent="0.2">
      <c r="A4" s="65" t="s">
        <v>33</v>
      </c>
      <c r="B4" s="22">
        <f>[2]Delta!$DJ$32</f>
        <v>61206</v>
      </c>
      <c r="C4" s="22">
        <f>'[2]Atlantic Southeast'!$DJ$32</f>
        <v>0</v>
      </c>
      <c r="D4" s="22">
        <f>[2]Pinnacle!$DJ$32</f>
        <v>6802</v>
      </c>
      <c r="E4" s="22">
        <f>[2]Compass!$DJ$32</f>
        <v>14146</v>
      </c>
      <c r="F4" s="22">
        <f>'[2]Sky West'!$DJ$32</f>
        <v>6645</v>
      </c>
      <c r="G4" s="22">
        <f>'[2]Sun Country'!$DJ$32</f>
        <v>16529</v>
      </c>
      <c r="H4" s="22">
        <f>[2]Icelandair!$DJ$32</f>
        <v>0</v>
      </c>
      <c r="I4" s="22">
        <f>[2]AirCanada!$DJ$32</f>
        <v>2209</v>
      </c>
      <c r="J4" s="22">
        <f>'[2]Air France'!$DJ$32</f>
        <v>0</v>
      </c>
      <c r="K4" s="22">
        <f>[2]Comair!$DJ$32</f>
        <v>0</v>
      </c>
      <c r="L4" s="22">
        <f>'[2]Charter Misc'!$DJ$32+[2]Ryan!$DJ$32+[2]Omni!$DJ$32</f>
        <v>0</v>
      </c>
      <c r="M4" s="291">
        <f>SUM(B4:L4)</f>
        <v>107537</v>
      </c>
    </row>
    <row r="5" spans="1:13" x14ac:dyDescent="0.2">
      <c r="A5" s="65" t="s">
        <v>34</v>
      </c>
      <c r="B5" s="14">
        <f>[2]Delta!$DJ$33</f>
        <v>57984</v>
      </c>
      <c r="C5" s="14">
        <f>'[2]Atlantic Southeast'!$DJ$33</f>
        <v>0</v>
      </c>
      <c r="D5" s="14">
        <f>[2]Pinnacle!$DJ$33</f>
        <v>6614</v>
      </c>
      <c r="E5" s="14">
        <f>[2]Compass!$DJ$33</f>
        <v>14199</v>
      </c>
      <c r="F5" s="14">
        <f>'[2]Sky West'!$DJ$33</f>
        <v>6595</v>
      </c>
      <c r="G5" s="14">
        <f>'[2]Sun Country'!$DJ$33</f>
        <v>17265</v>
      </c>
      <c r="H5" s="14">
        <f>[2]Icelandair!$DJ$33</f>
        <v>0</v>
      </c>
      <c r="I5" s="14">
        <f>[2]AirCanada!$DJ$33</f>
        <v>1908</v>
      </c>
      <c r="J5" s="14">
        <f>'[2]Air France'!$DJ$33</f>
        <v>0</v>
      </c>
      <c r="K5" s="14">
        <f>[2]Comair!$DJ$33</f>
        <v>0</v>
      </c>
      <c r="L5" s="14">
        <f>'[2]Charter Misc'!$DJ$33++[2]Ryan!$DJ$33+[2]Omni!$DJ$33</f>
        <v>0</v>
      </c>
      <c r="M5" s="292">
        <f>SUM(B5:L5)</f>
        <v>104565</v>
      </c>
    </row>
    <row r="6" spans="1:13" ht="15" x14ac:dyDescent="0.25">
      <c r="A6" s="63" t="s">
        <v>7</v>
      </c>
      <c r="B6" s="36">
        <f t="shared" ref="B6:L6" si="0">SUM(B4:B5)</f>
        <v>119190</v>
      </c>
      <c r="C6" s="36">
        <f t="shared" si="0"/>
        <v>0</v>
      </c>
      <c r="D6" s="36">
        <f t="shared" si="0"/>
        <v>13416</v>
      </c>
      <c r="E6" s="36">
        <f t="shared" si="0"/>
        <v>28345</v>
      </c>
      <c r="F6" s="36">
        <f t="shared" si="0"/>
        <v>13240</v>
      </c>
      <c r="G6" s="36">
        <f t="shared" si="0"/>
        <v>33794</v>
      </c>
      <c r="H6" s="36">
        <f t="shared" si="0"/>
        <v>0</v>
      </c>
      <c r="I6" s="36">
        <f t="shared" si="0"/>
        <v>4117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293">
        <f>SUM(B6:L6)</f>
        <v>212102</v>
      </c>
    </row>
    <row r="7" spans="1:13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91"/>
    </row>
    <row r="8" spans="1:13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91">
        <f>SUM(B8:L8)</f>
        <v>0</v>
      </c>
    </row>
    <row r="9" spans="1:13" x14ac:dyDescent="0.2">
      <c r="A9" s="65" t="s">
        <v>33</v>
      </c>
      <c r="B9" s="22">
        <f>[2]Delta!$DJ$37</f>
        <v>1579</v>
      </c>
      <c r="C9" s="22">
        <f>'[2]Atlantic Southeast'!$DJ$37</f>
        <v>0</v>
      </c>
      <c r="D9" s="22">
        <f>[2]Pinnacle!$DJ$37</f>
        <v>170</v>
      </c>
      <c r="E9" s="22">
        <f>[2]Compass!$DJ$37</f>
        <v>188</v>
      </c>
      <c r="F9" s="22">
        <f>'[2]Sky West'!$DJ$37</f>
        <v>73</v>
      </c>
      <c r="G9" s="22">
        <f>'[2]Sun Country'!$DJ$37</f>
        <v>121</v>
      </c>
      <c r="H9" s="22">
        <f>[2]Icelandair!$DJ$37</f>
        <v>0</v>
      </c>
      <c r="I9" s="22">
        <f>[2]AirCanada!$DJ$37</f>
        <v>38</v>
      </c>
      <c r="J9" s="22">
        <f>'[2]Air France'!$DJ$37</f>
        <v>0</v>
      </c>
      <c r="K9" s="22">
        <f>[2]Comair!$DJ$37</f>
        <v>0</v>
      </c>
      <c r="L9" s="22">
        <f>'[2]Charter Misc'!$DJ$37+[2]Ryan!$DJ$37+[2]Omni!$DJ$37</f>
        <v>0</v>
      </c>
      <c r="M9" s="291">
        <f>SUM(B9:L9)</f>
        <v>2169</v>
      </c>
    </row>
    <row r="10" spans="1:13" x14ac:dyDescent="0.2">
      <c r="A10" s="65" t="s">
        <v>36</v>
      </c>
      <c r="B10" s="14">
        <f>[2]Delta!$DJ$38</f>
        <v>1560</v>
      </c>
      <c r="C10" s="14">
        <f>'[2]Atlantic Southeast'!$DJ$38</f>
        <v>0</v>
      </c>
      <c r="D10" s="14">
        <f>[2]Pinnacle!$DJ$38</f>
        <v>141</v>
      </c>
      <c r="E10" s="14">
        <f>[2]Compass!$DJ$38</f>
        <v>187</v>
      </c>
      <c r="F10" s="14">
        <f>'[2]Sky West'!$DJ$38</f>
        <v>84</v>
      </c>
      <c r="G10" s="14">
        <f>'[2]Sun Country'!$DJ$38</f>
        <v>194</v>
      </c>
      <c r="H10" s="14">
        <f>[2]Icelandair!$DJ$38</f>
        <v>0</v>
      </c>
      <c r="I10" s="14">
        <f>[2]AirCanada!$DJ$38</f>
        <v>30</v>
      </c>
      <c r="J10" s="14">
        <f>'[2]Air France'!$DJ$38</f>
        <v>0</v>
      </c>
      <c r="K10" s="14">
        <f>[2]Comair!$DJ$38</f>
        <v>0</v>
      </c>
      <c r="L10" s="14">
        <f>'[2]Charter Misc'!$DJ$38+[2]Ryan!$DJ$38+[2]Omni!$DJ$38</f>
        <v>0</v>
      </c>
      <c r="M10" s="292">
        <f>SUM(B10:L10)</f>
        <v>2196</v>
      </c>
    </row>
    <row r="11" spans="1:13" ht="15.75" thickBot="1" x14ac:dyDescent="0.3">
      <c r="A11" s="66" t="s">
        <v>37</v>
      </c>
      <c r="B11" s="294">
        <f t="shared" ref="B11:G11" si="1">SUM(B9:B10)</f>
        <v>3139</v>
      </c>
      <c r="C11" s="294">
        <f t="shared" si="1"/>
        <v>0</v>
      </c>
      <c r="D11" s="294">
        <f t="shared" si="1"/>
        <v>311</v>
      </c>
      <c r="E11" s="294">
        <f t="shared" si="1"/>
        <v>375</v>
      </c>
      <c r="F11" s="294">
        <f t="shared" si="1"/>
        <v>157</v>
      </c>
      <c r="G11" s="294">
        <f t="shared" si="1"/>
        <v>315</v>
      </c>
      <c r="H11" s="294">
        <f>SUM(H9:H10)</f>
        <v>0</v>
      </c>
      <c r="I11" s="294">
        <f>SUM(I9:I10)</f>
        <v>68</v>
      </c>
      <c r="J11" s="294">
        <f>SUM(J9:J10)</f>
        <v>0</v>
      </c>
      <c r="K11" s="294">
        <f>SUM(K9:K10)</f>
        <v>0</v>
      </c>
      <c r="L11" s="294">
        <f>SUM(L9:L10)</f>
        <v>0</v>
      </c>
      <c r="M11" s="295">
        <f>SUM(B11:L11)</f>
        <v>4365</v>
      </c>
    </row>
    <row r="12" spans="1:13" ht="15" x14ac:dyDescent="0.25">
      <c r="A12" s="420"/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7"/>
    </row>
    <row r="13" spans="1:13" ht="26.25" thickBot="1" x14ac:dyDescent="0.25">
      <c r="B13" s="12" t="s">
        <v>20</v>
      </c>
      <c r="C13" s="282" t="s">
        <v>55</v>
      </c>
      <c r="D13" s="19" t="s">
        <v>203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12" t="s">
        <v>198</v>
      </c>
      <c r="K13" s="12" t="s">
        <v>56</v>
      </c>
      <c r="L13" s="12" t="s">
        <v>158</v>
      </c>
      <c r="M13" s="282" t="s">
        <v>160</v>
      </c>
    </row>
    <row r="14" spans="1:13" ht="15" x14ac:dyDescent="0.25">
      <c r="A14" s="501" t="s">
        <v>161</v>
      </c>
      <c r="B14" s="502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3"/>
    </row>
    <row r="15" spans="1:13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58"/>
    </row>
    <row r="16" spans="1:13" x14ac:dyDescent="0.2">
      <c r="A16" s="65" t="s">
        <v>33</v>
      </c>
      <c r="B16" s="22">
        <f>SUM([2]Delta!$DJ$32:$DJ$32)</f>
        <v>61206</v>
      </c>
      <c r="C16" s="22">
        <f>SUM('[2]Atlantic Southeast'!$DJ$32:$DJ$32)</f>
        <v>0</v>
      </c>
      <c r="D16" s="22">
        <f>SUM([2]Pinnacle!$DJ$32:$DJ$32)</f>
        <v>6802</v>
      </c>
      <c r="E16" s="22">
        <f>SUM([2]Compass!$DJ$32:$DJ$32)</f>
        <v>14146</v>
      </c>
      <c r="F16" s="22">
        <f>SUM('[2]Sky West'!$DJ$32:$DJ$32)</f>
        <v>6645</v>
      </c>
      <c r="G16" s="22">
        <f>SUM('[2]Sun Country'!$DJ$32:$DJ$32)</f>
        <v>16529</v>
      </c>
      <c r="H16" s="22">
        <f>SUM([2]Icelandair!$DJ$32:$DJ$32)</f>
        <v>0</v>
      </c>
      <c r="I16" s="22">
        <f>SUM([2]AirCanada!$DJ$32:$DJ$32)</f>
        <v>2209</v>
      </c>
      <c r="J16" s="22">
        <f>SUM('[2]Air France'!$DJ$32:$DJ$32)</f>
        <v>0</v>
      </c>
      <c r="K16" s="22">
        <f>SUM([2]Comair!$DJ$32:$DJ$32)</f>
        <v>0</v>
      </c>
      <c r="L16" s="22">
        <f>SUM('[2]Charter Misc'!$DJ$32:$DJ$32)+SUM([2]Ryan!$DJ$32:$DJ$32)+SUM([2]Omni!$DJ$32:$DJ$32)</f>
        <v>0</v>
      </c>
      <c r="M16" s="291">
        <f>SUM(B16:L16)</f>
        <v>107537</v>
      </c>
    </row>
    <row r="17" spans="1:13" x14ac:dyDescent="0.2">
      <c r="A17" s="65" t="s">
        <v>34</v>
      </c>
      <c r="B17" s="14">
        <f>SUM([2]Delta!$DJ$33:$DJ$33)</f>
        <v>57984</v>
      </c>
      <c r="C17" s="14">
        <f>SUM('[2]Atlantic Southeast'!$DJ$33:$DJ$33)</f>
        <v>0</v>
      </c>
      <c r="D17" s="14">
        <f>SUM([2]Pinnacle!$DJ$33:$DJ$33)</f>
        <v>6614</v>
      </c>
      <c r="E17" s="14">
        <f>SUM([2]Compass!$DJ$33:$DJ$33)</f>
        <v>14199</v>
      </c>
      <c r="F17" s="14">
        <f>SUM('[2]Sky West'!$DJ$33:$DJ$33)</f>
        <v>6595</v>
      </c>
      <c r="G17" s="14">
        <f>SUM('[2]Sun Country'!$DJ$33:$DJ$33)</f>
        <v>17265</v>
      </c>
      <c r="H17" s="14">
        <f>SUM([2]Icelandair!$DJ$33:$DJ$33)</f>
        <v>0</v>
      </c>
      <c r="I17" s="14">
        <f>SUM([2]AirCanada!$DJ$33:$DJ$33)</f>
        <v>1908</v>
      </c>
      <c r="J17" s="14">
        <f>SUM('[2]Air France'!$DJ$33:$DJ$33)</f>
        <v>0</v>
      </c>
      <c r="K17" s="14">
        <f>SUM([2]Comair!$DJ$33:$DJ$33)</f>
        <v>0</v>
      </c>
      <c r="L17" s="14">
        <f>SUM('[2]Charter Misc'!$DJ$33:$DJ$33)++SUM([2]Ryan!$DJ$33:$DJ$33)+SUM([2]Omni!$DJ$33:$DJ$33)</f>
        <v>0</v>
      </c>
      <c r="M17" s="292">
        <f>SUM(B17:L17)</f>
        <v>104565</v>
      </c>
    </row>
    <row r="18" spans="1:13" ht="15" x14ac:dyDescent="0.25">
      <c r="A18" s="63" t="s">
        <v>7</v>
      </c>
      <c r="B18" s="36">
        <f t="shared" ref="B18:L18" si="2">SUM(B16:B17)</f>
        <v>119190</v>
      </c>
      <c r="C18" s="36">
        <f t="shared" si="2"/>
        <v>0</v>
      </c>
      <c r="D18" s="36">
        <f t="shared" si="2"/>
        <v>13416</v>
      </c>
      <c r="E18" s="36">
        <f t="shared" si="2"/>
        <v>28345</v>
      </c>
      <c r="F18" s="36">
        <f t="shared" si="2"/>
        <v>13240</v>
      </c>
      <c r="G18" s="36">
        <f t="shared" si="2"/>
        <v>33794</v>
      </c>
      <c r="H18" s="36">
        <f t="shared" si="2"/>
        <v>0</v>
      </c>
      <c r="I18" s="36">
        <f t="shared" si="2"/>
        <v>4117</v>
      </c>
      <c r="J18" s="36">
        <f t="shared" si="2"/>
        <v>0</v>
      </c>
      <c r="K18" s="36">
        <f t="shared" si="2"/>
        <v>0</v>
      </c>
      <c r="L18" s="36">
        <f t="shared" si="2"/>
        <v>0</v>
      </c>
      <c r="M18" s="293">
        <f>SUM(B18:L18)</f>
        <v>212102</v>
      </c>
    </row>
    <row r="19" spans="1:13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91"/>
    </row>
    <row r="20" spans="1:13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91">
        <f>SUM(B20:L20)</f>
        <v>0</v>
      </c>
    </row>
    <row r="21" spans="1:13" x14ac:dyDescent="0.2">
      <c r="A21" s="65" t="s">
        <v>33</v>
      </c>
      <c r="B21" s="22">
        <f>SUM([2]Delta!$DJ$37:$DJ$37)</f>
        <v>1579</v>
      </c>
      <c r="C21" s="22">
        <f>SUM('[2]Atlantic Southeast'!$DJ$37:$DJ$37)</f>
        <v>0</v>
      </c>
      <c r="D21" s="22">
        <f>SUM([2]Pinnacle!$DJ$37:$DJ$37)</f>
        <v>170</v>
      </c>
      <c r="E21" s="22">
        <f>SUM([2]Compass!$DJ$37:$DJ$37)</f>
        <v>188</v>
      </c>
      <c r="F21" s="22">
        <f>SUM('[2]Sky West'!$DJ$37:$DJ$37)</f>
        <v>73</v>
      </c>
      <c r="G21" s="22">
        <f>SUM('[2]Sun Country'!$DJ$37:$DJ$37)</f>
        <v>121</v>
      </c>
      <c r="H21" s="22">
        <f>SUM([2]Icelandair!$DJ$37:$DJ$37)</f>
        <v>0</v>
      </c>
      <c r="I21" s="22">
        <f>SUM([2]AirCanada!$DJ$37:$DJ$37)</f>
        <v>38</v>
      </c>
      <c r="J21" s="22">
        <f>SUM('[2]Air France'!$DJ$37:$DJ$37)</f>
        <v>0</v>
      </c>
      <c r="K21" s="22">
        <f>SUM([2]Comair!$DJ$37:$DJ$37)</f>
        <v>0</v>
      </c>
      <c r="L21" s="22">
        <f>SUM('[2]Charter Misc'!$DJ$37:$DJ$37)++SUM([2]Ryan!$DJ$37:$DJ$37)+SUM([2]Omni!$DJ$37:$DJ$37)</f>
        <v>0</v>
      </c>
      <c r="M21" s="291">
        <f>SUM(B21:L21)</f>
        <v>2169</v>
      </c>
    </row>
    <row r="22" spans="1:13" x14ac:dyDescent="0.2">
      <c r="A22" s="65" t="s">
        <v>36</v>
      </c>
      <c r="B22" s="14">
        <f>SUM([2]Delta!$DJ$38:$DJ$38)</f>
        <v>1560</v>
      </c>
      <c r="C22" s="14">
        <f>SUM('[2]Atlantic Southeast'!$DJ$38:$DJ$38)</f>
        <v>0</v>
      </c>
      <c r="D22" s="14">
        <f>SUM([2]Pinnacle!$DJ$38:$DJ$38)</f>
        <v>141</v>
      </c>
      <c r="E22" s="14">
        <f>SUM([2]Compass!$DJ$38:$DJ$38)</f>
        <v>187</v>
      </c>
      <c r="F22" s="14">
        <f>SUM('[2]Sky West'!$DJ$38:$DJ$38)</f>
        <v>84</v>
      </c>
      <c r="G22" s="14">
        <f>SUM('[2]Sun Country'!$DJ$38:$DJ$38)</f>
        <v>194</v>
      </c>
      <c r="H22" s="14">
        <f>SUM([2]Icelandair!$DJ$38:$DJ$38)</f>
        <v>0</v>
      </c>
      <c r="I22" s="14">
        <f>SUM([2]AirCanada!$DJ$38:$DJ$38)</f>
        <v>30</v>
      </c>
      <c r="J22" s="14">
        <f>SUM('[2]Air France'!$DJ$38:$DJ$38)</f>
        <v>0</v>
      </c>
      <c r="K22" s="14">
        <f>SUM([2]Comair!$DJ$38:$DJ$38)</f>
        <v>0</v>
      </c>
      <c r="L22" s="14">
        <f>SUM('[2]Charter Misc'!$DJ$38:$DJ$38)++SUM([2]Ryan!$DJ$38:$DJ$38)+SUM([2]Omni!$DJ$38:$DJ$38)</f>
        <v>0</v>
      </c>
      <c r="M22" s="292">
        <f>SUM(B22:L22)</f>
        <v>2196</v>
      </c>
    </row>
    <row r="23" spans="1:13" ht="15.75" thickBot="1" x14ac:dyDescent="0.3">
      <c r="A23" s="66" t="s">
        <v>37</v>
      </c>
      <c r="B23" s="294">
        <f t="shared" ref="B23:L23" si="3">SUM(B21:B22)</f>
        <v>3139</v>
      </c>
      <c r="C23" s="294">
        <f t="shared" si="3"/>
        <v>0</v>
      </c>
      <c r="D23" s="294">
        <f t="shared" si="3"/>
        <v>311</v>
      </c>
      <c r="E23" s="294">
        <f t="shared" si="3"/>
        <v>375</v>
      </c>
      <c r="F23" s="294">
        <f t="shared" si="3"/>
        <v>157</v>
      </c>
      <c r="G23" s="294">
        <f t="shared" si="3"/>
        <v>315</v>
      </c>
      <c r="H23" s="294">
        <f t="shared" si="3"/>
        <v>0</v>
      </c>
      <c r="I23" s="294">
        <f t="shared" si="3"/>
        <v>68</v>
      </c>
      <c r="J23" s="294">
        <f t="shared" si="3"/>
        <v>0</v>
      </c>
      <c r="K23" s="294">
        <f t="shared" si="3"/>
        <v>0</v>
      </c>
      <c r="L23" s="294">
        <f t="shared" si="3"/>
        <v>0</v>
      </c>
      <c r="M23" s="295">
        <f>SUM(B23:L23)</f>
        <v>4365</v>
      </c>
    </row>
    <row r="25" spans="1:13" ht="26.25" thickBot="1" x14ac:dyDescent="0.25">
      <c r="B25" s="12" t="s">
        <v>20</v>
      </c>
      <c r="C25" s="282" t="s">
        <v>55</v>
      </c>
      <c r="D25" s="19" t="s">
        <v>203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12" t="s">
        <v>198</v>
      </c>
      <c r="K25" s="12" t="s">
        <v>56</v>
      </c>
      <c r="L25" s="12" t="s">
        <v>158</v>
      </c>
      <c r="M25" s="282" t="s">
        <v>24</v>
      </c>
    </row>
    <row r="26" spans="1:13" ht="15" x14ac:dyDescent="0.25">
      <c r="A26" s="504" t="s">
        <v>162</v>
      </c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6"/>
    </row>
    <row r="27" spans="1:13" x14ac:dyDescent="0.2">
      <c r="A27" s="65" t="s">
        <v>25</v>
      </c>
      <c r="B27" s="22">
        <f>[2]Delta!$DJ$15</f>
        <v>358</v>
      </c>
      <c r="C27" s="22">
        <f>'[2]Atlantic Southeast'!$DJ$15</f>
        <v>0</v>
      </c>
      <c r="D27" s="22">
        <f>[2]Pinnacle!$DJ$15</f>
        <v>167</v>
      </c>
      <c r="E27" s="22">
        <f>[2]Compass!$DJ$15</f>
        <v>234</v>
      </c>
      <c r="F27" s="22">
        <f>'[2]Sky West'!$DJ$15</f>
        <v>146</v>
      </c>
      <c r="G27" s="22">
        <f>'[2]Sun Country'!$DJ$15</f>
        <v>140</v>
      </c>
      <c r="H27" s="22">
        <f>[2]Icelandair!$DJ$15</f>
        <v>0</v>
      </c>
      <c r="I27" s="22">
        <f>[2]AirCanada!$DJ$15</f>
        <v>80</v>
      </c>
      <c r="J27" s="22">
        <f>'[2]Air France'!$DJ$15</f>
        <v>0</v>
      </c>
      <c r="K27" s="22">
        <f>[2]Comair!$DJ$15</f>
        <v>0</v>
      </c>
      <c r="L27" s="22">
        <f>'[2]Charter Misc'!$DJ$15+[2]Ryan!$DJ$15+[2]Omni!$DJ$15</f>
        <v>0</v>
      </c>
      <c r="M27" s="291">
        <f>SUM(B27:L27)</f>
        <v>1125</v>
      </c>
    </row>
    <row r="28" spans="1:13" x14ac:dyDescent="0.2">
      <c r="A28" s="65" t="s">
        <v>26</v>
      </c>
      <c r="B28" s="22">
        <f>[2]Delta!$DJ$16</f>
        <v>357</v>
      </c>
      <c r="C28" s="22">
        <f>'[2]Atlantic Southeast'!$DJ$16</f>
        <v>0</v>
      </c>
      <c r="D28" s="22">
        <f>[2]Pinnacle!$DJ$16</f>
        <v>167</v>
      </c>
      <c r="E28" s="22">
        <f>[2]Compass!$DJ$16</f>
        <v>232</v>
      </c>
      <c r="F28" s="22">
        <f>'[2]Sky West'!$DJ$16</f>
        <v>147</v>
      </c>
      <c r="G28" s="22">
        <f>'[2]Sun Country'!$DJ$16</f>
        <v>141</v>
      </c>
      <c r="H28" s="22">
        <f>[2]Icelandair!$DJ$16</f>
        <v>0</v>
      </c>
      <c r="I28" s="22">
        <f>[2]AirCanada!$DJ$16</f>
        <v>79</v>
      </c>
      <c r="J28" s="22">
        <f>'[2]Air France'!$DJ$16</f>
        <v>0</v>
      </c>
      <c r="K28" s="22">
        <f>[2]Comair!$DJ$16</f>
        <v>0</v>
      </c>
      <c r="L28" s="22">
        <f>'[2]Charter Misc'!$DJ$16+[2]Ryan!$DJ$16+[2]Omni!$DJ$16</f>
        <v>0</v>
      </c>
      <c r="M28" s="291">
        <f>SUM(B28:L28)</f>
        <v>1123</v>
      </c>
    </row>
    <row r="29" spans="1:13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91"/>
    </row>
    <row r="30" spans="1:13" ht="15.75" thickBot="1" x14ac:dyDescent="0.3">
      <c r="A30" s="66" t="s">
        <v>31</v>
      </c>
      <c r="B30" s="418">
        <f t="shared" ref="B30:I30" si="4">SUM(B27:B28)</f>
        <v>715</v>
      </c>
      <c r="C30" s="418">
        <f t="shared" si="4"/>
        <v>0</v>
      </c>
      <c r="D30" s="418">
        <f t="shared" si="4"/>
        <v>334</v>
      </c>
      <c r="E30" s="418">
        <f t="shared" si="4"/>
        <v>466</v>
      </c>
      <c r="F30" s="418">
        <f>SUM(F27:F28)</f>
        <v>293</v>
      </c>
      <c r="G30" s="418">
        <f t="shared" si="4"/>
        <v>281</v>
      </c>
      <c r="H30" s="418">
        <f t="shared" si="4"/>
        <v>0</v>
      </c>
      <c r="I30" s="418">
        <f t="shared" si="4"/>
        <v>159</v>
      </c>
      <c r="J30" s="418">
        <f>SUM(J27:J28)</f>
        <v>0</v>
      </c>
      <c r="K30" s="418">
        <f>SUM(K27:K28)</f>
        <v>0</v>
      </c>
      <c r="L30" s="418">
        <f>SUM(L27:L28)</f>
        <v>0</v>
      </c>
      <c r="M30" s="419">
        <f>SUM(B30:L30)</f>
        <v>2248</v>
      </c>
    </row>
    <row r="31" spans="1:13" ht="15" x14ac:dyDescent="0.25">
      <c r="A31" s="420"/>
    </row>
    <row r="32" spans="1:13" ht="26.25" thickBot="1" x14ac:dyDescent="0.25">
      <c r="B32" s="12" t="s">
        <v>20</v>
      </c>
      <c r="C32" s="282" t="s">
        <v>55</v>
      </c>
      <c r="D32" s="19" t="s">
        <v>203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12" t="s">
        <v>198</v>
      </c>
      <c r="K32" s="12" t="s">
        <v>56</v>
      </c>
      <c r="L32" s="12" t="s">
        <v>158</v>
      </c>
      <c r="M32" s="282" t="s">
        <v>160</v>
      </c>
    </row>
    <row r="33" spans="1:13" ht="15" x14ac:dyDescent="0.25">
      <c r="A33" s="507" t="s">
        <v>163</v>
      </c>
      <c r="B33" s="508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9"/>
    </row>
    <row r="34" spans="1:13" x14ac:dyDescent="0.2">
      <c r="A34" s="65" t="s">
        <v>25</v>
      </c>
      <c r="B34" s="22">
        <f>SUM([2]Delta!$DJ$15:$DJ$15)</f>
        <v>358</v>
      </c>
      <c r="C34" s="22">
        <f>SUM('[2]Atlantic Southeast'!$DJ$15:$DJ$15)</f>
        <v>0</v>
      </c>
      <c r="D34" s="22">
        <f>SUM([2]Pinnacle!$DJ$15:$DJ$15)</f>
        <v>167</v>
      </c>
      <c r="E34" s="22">
        <f>SUM([2]Compass!$DJ$15:$DJ$15)</f>
        <v>234</v>
      </c>
      <c r="F34" s="22">
        <f>SUM('[2]Sky West'!$DJ$15:$DJ$15)</f>
        <v>146</v>
      </c>
      <c r="G34" s="22">
        <f>SUM('[2]Sun Country'!$DJ$15:$DJ$15)</f>
        <v>140</v>
      </c>
      <c r="H34" s="22">
        <f>SUM([2]Icelandair!$DJ$15:$DJ$15)</f>
        <v>0</v>
      </c>
      <c r="I34" s="22">
        <f>SUM([2]AirCanada!$DJ$15:$DJ$15)</f>
        <v>80</v>
      </c>
      <c r="J34" s="22">
        <f>SUM('[2]Air France'!$DJ$15:$DJ$15)</f>
        <v>0</v>
      </c>
      <c r="K34" s="22">
        <f>SUM([2]Comair!$DJ$15:$DJ$15)</f>
        <v>0</v>
      </c>
      <c r="L34" s="22">
        <f>SUM('[2]Charter Misc'!$DJ$15:$DJ$15)+SUM([2]Ryan!$DJ$15:$DJ$15)+SUM([2]Omni!$DJ$15:$DJ$15)</f>
        <v>0</v>
      </c>
      <c r="M34" s="291">
        <f>SUM(B34:L34)</f>
        <v>1125</v>
      </c>
    </row>
    <row r="35" spans="1:13" x14ac:dyDescent="0.2">
      <c r="A35" s="65" t="s">
        <v>26</v>
      </c>
      <c r="B35" s="22">
        <f>SUM([2]Delta!$DJ$16:$DJ$16)</f>
        <v>357</v>
      </c>
      <c r="C35" s="22">
        <f>SUM('[2]Atlantic Southeast'!$DJ$16:$DJ$16)</f>
        <v>0</v>
      </c>
      <c r="D35" s="22">
        <f>SUM([2]Pinnacle!$DJ$16:$DJ$16)</f>
        <v>167</v>
      </c>
      <c r="E35" s="22">
        <f>SUM([2]Compass!$DJ$16:$DJ$16)</f>
        <v>232</v>
      </c>
      <c r="F35" s="22">
        <f>SUM('[2]Sky West'!$DJ$16:$DJ$16)</f>
        <v>147</v>
      </c>
      <c r="G35" s="22">
        <f>SUM('[2]Sun Country'!$DJ$16:$DJ$16)</f>
        <v>141</v>
      </c>
      <c r="H35" s="22">
        <f>SUM([2]Icelandair!$DJ$16:$DJ$16)</f>
        <v>0</v>
      </c>
      <c r="I35" s="22">
        <f>SUM([2]AirCanada!$DJ$16:$DJ$16)</f>
        <v>79</v>
      </c>
      <c r="J35" s="22">
        <f>SUM('[2]Air France'!$DJ$16:$DJ$16)</f>
        <v>0</v>
      </c>
      <c r="K35" s="22">
        <f>SUM([2]Comair!$DJ$16:$DJ$16)</f>
        <v>0</v>
      </c>
      <c r="L35" s="22">
        <f>SUM('[2]Charter Misc'!$DJ$16:$DJ$16)+SUM([2]Ryan!$DJ$16:$DJ$16)+SUM([2]Omni!$DJ$16:$DJ$16)</f>
        <v>0</v>
      </c>
      <c r="M35" s="291">
        <f>SUM(B35:L35)</f>
        <v>1123</v>
      </c>
    </row>
    <row r="36" spans="1:13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91"/>
    </row>
    <row r="37" spans="1:13" ht="15.75" thickBot="1" x14ac:dyDescent="0.3">
      <c r="A37" s="66" t="s">
        <v>31</v>
      </c>
      <c r="B37" s="418">
        <f t="shared" ref="B37:I37" si="5">+SUM(B34:B35)</f>
        <v>715</v>
      </c>
      <c r="C37" s="418">
        <f t="shared" si="5"/>
        <v>0</v>
      </c>
      <c r="D37" s="418">
        <f t="shared" si="5"/>
        <v>334</v>
      </c>
      <c r="E37" s="418">
        <f t="shared" si="5"/>
        <v>466</v>
      </c>
      <c r="F37" s="418">
        <f>+SUM(F34:F35)</f>
        <v>293</v>
      </c>
      <c r="G37" s="418">
        <f t="shared" si="5"/>
        <v>281</v>
      </c>
      <c r="H37" s="418">
        <f t="shared" si="5"/>
        <v>0</v>
      </c>
      <c r="I37" s="418">
        <f t="shared" si="5"/>
        <v>159</v>
      </c>
      <c r="J37" s="418">
        <f>+SUM(J34:J35)</f>
        <v>0</v>
      </c>
      <c r="K37" s="418">
        <f>+SUM(K34:K35)</f>
        <v>0</v>
      </c>
      <c r="L37" s="418">
        <f>+SUM(L34:L35)</f>
        <v>0</v>
      </c>
      <c r="M37" s="419">
        <f>SUM(B37:L37)</f>
        <v>2248</v>
      </c>
    </row>
  </sheetData>
  <mergeCells count="4">
    <mergeCell ref="A2:M2"/>
    <mergeCell ref="A14:M14"/>
    <mergeCell ref="A26:M26"/>
    <mergeCell ref="A33:M33"/>
  </mergeCells>
  <phoneticPr fontId="6" type="noConversion"/>
  <pageMargins left="0.75" right="0.75" top="1" bottom="1" header="0.5" footer="0.5"/>
  <pageSetup scale="76" orientation="landscape" r:id="rId1"/>
  <headerFooter alignWithMargins="0">
    <oddHeader>&amp;LSchedule 9&amp;CMinneapolis-St. Paul International Airport
&amp;"Arial,Bold"International Detail&amp;"Arial,Regular"
&amp;"Arial,Bold"January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2014-02-25T17:39:36Z</cp:lastPrinted>
  <dcterms:created xsi:type="dcterms:W3CDTF">2007-09-24T12:26:24Z</dcterms:created>
  <dcterms:modified xsi:type="dcterms:W3CDTF">2018-11-14T00:50:29Z</dcterms:modified>
</cp:coreProperties>
</file>