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4E709624-A239-4314-915C-174C7AD78FEC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6" i="7"/>
  <c r="O27" i="7"/>
  <c r="J27" i="7"/>
  <c r="J26" i="7"/>
  <c r="E27" i="7"/>
  <c r="E26" i="7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37" i="1"/>
  <c r="D36" i="1"/>
  <c r="B37" i="1"/>
  <c r="B36" i="1"/>
  <c r="I6" i="3" l="1"/>
  <c r="I17" i="3"/>
  <c r="I5" i="3"/>
  <c r="I16" i="3"/>
  <c r="I14" i="9"/>
  <c r="I11" i="3"/>
  <c r="I21" i="3"/>
  <c r="I10" i="3"/>
  <c r="F14" i="9"/>
  <c r="R14" i="9"/>
  <c r="C55" i="9"/>
  <c r="O14" i="9"/>
  <c r="M25" i="7"/>
  <c r="L25" i="7"/>
  <c r="J25" i="7"/>
  <c r="E25" i="7"/>
  <c r="C25" i="7"/>
  <c r="B25" i="7"/>
  <c r="H25" i="7" l="1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D38" i="1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0" i="7"/>
  <c r="P30" i="7"/>
  <c r="N31" i="7"/>
  <c r="P31" i="7" s="1"/>
  <c r="D30" i="7"/>
  <c r="F30" i="7" s="1"/>
  <c r="D31" i="7"/>
  <c r="F31" i="7" s="1"/>
  <c r="N29" i="7"/>
  <c r="P29" i="7" s="1"/>
  <c r="D29" i="7"/>
  <c r="N28" i="7"/>
  <c r="P28" i="7" s="1"/>
  <c r="D28" i="7"/>
  <c r="N32" i="7"/>
  <c r="P32" i="7" s="1"/>
  <c r="I32" i="7"/>
  <c r="K32" i="7"/>
  <c r="D32" i="7"/>
  <c r="F32" i="7" s="1"/>
  <c r="I31" i="7"/>
  <c r="K31" i="7" s="1"/>
  <c r="I30" i="7"/>
  <c r="K30" i="7"/>
  <c r="I29" i="7"/>
  <c r="K29" i="7" s="1"/>
  <c r="F29" i="7"/>
  <c r="I28" i="7"/>
  <c r="K28" i="7" s="1"/>
  <c r="F28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D21" i="7" l="1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B38" i="1"/>
  <c r="C37" i="1" s="1"/>
  <c r="G12" i="5"/>
  <c r="G22" i="5"/>
  <c r="J12" i="5"/>
  <c r="I7" i="15"/>
  <c r="L10" i="9"/>
  <c r="L16" i="9"/>
  <c r="L31" i="9"/>
  <c r="L39" i="9"/>
  <c r="L55" i="9"/>
  <c r="M42" i="9" s="1"/>
  <c r="I11" i="9"/>
  <c r="I19" i="9"/>
  <c r="I32" i="9"/>
  <c r="I40" i="9"/>
  <c r="I50" i="9"/>
  <c r="I27" i="9"/>
  <c r="I35" i="9"/>
  <c r="I46" i="9"/>
  <c r="I52" i="9"/>
  <c r="E31" i="9"/>
  <c r="E39" i="9"/>
  <c r="N39" i="9"/>
  <c r="P10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P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P16" i="9"/>
  <c r="P55" i="9"/>
  <c r="R49" i="9"/>
  <c r="P48" i="9"/>
  <c r="R12" i="9"/>
  <c r="Q10" i="9"/>
  <c r="R20" i="9"/>
  <c r="Q16" i="9"/>
  <c r="Q31" i="9"/>
  <c r="R33" i="9"/>
  <c r="Q39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12" i="9"/>
  <c r="O51" i="9"/>
  <c r="N48" i="9"/>
  <c r="Q55" i="9"/>
  <c r="L10" i="15"/>
  <c r="J10" i="4" s="1"/>
  <c r="G55" i="9"/>
  <c r="H55" i="9"/>
  <c r="E48" i="9"/>
  <c r="Q48" i="9"/>
  <c r="N55" i="9"/>
  <c r="F18" i="9"/>
  <c r="E41" i="15"/>
  <c r="L48" i="9"/>
  <c r="O50" i="9"/>
  <c r="E55" i="9"/>
  <c r="R40" i="9"/>
  <c r="P39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E56" i="9" l="1"/>
  <c r="E54" i="9" s="1"/>
  <c r="I22" i="3"/>
  <c r="I12" i="3"/>
  <c r="C56" i="9"/>
  <c r="C54" i="9" s="1"/>
  <c r="I7" i="3"/>
  <c r="I18" i="3"/>
  <c r="Q56" i="9"/>
  <c r="Q54" i="9" s="1"/>
  <c r="C27" i="7"/>
  <c r="L56" i="9"/>
  <c r="M14" i="9" s="1"/>
  <c r="N56" i="9"/>
  <c r="N54" i="9" s="1"/>
  <c r="H56" i="9"/>
  <c r="H54" i="9" s="1"/>
  <c r="B27" i="7"/>
  <c r="P56" i="9"/>
  <c r="G56" i="9"/>
  <c r="F25" i="7"/>
  <c r="F21" i="15"/>
  <c r="I21" i="7"/>
  <c r="K21" i="7" s="1"/>
  <c r="C36" i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F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D7" i="1"/>
  <c r="J9" i="2"/>
  <c r="D18" i="1"/>
  <c r="L12" i="15"/>
  <c r="I16" i="9"/>
  <c r="N18" i="16"/>
  <c r="J33" i="8"/>
  <c r="M18" i="8"/>
  <c r="L37" i="15"/>
  <c r="I17" i="2"/>
  <c r="J17" i="2" s="1"/>
  <c r="I48" i="9"/>
  <c r="K42" i="15"/>
  <c r="C16" i="1"/>
  <c r="C45" i="3"/>
  <c r="N11" i="16"/>
  <c r="C8" i="1"/>
  <c r="C10" i="1"/>
  <c r="I39" i="9"/>
  <c r="F31" i="9"/>
  <c r="L17" i="15"/>
  <c r="N6" i="16"/>
  <c r="G7" i="7"/>
  <c r="B33" i="1"/>
  <c r="I6" i="2"/>
  <c r="J6" i="2" s="1"/>
  <c r="D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R48" i="9"/>
  <c r="F55" i="9"/>
  <c r="D42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D55" i="9" l="1"/>
  <c r="D14" i="9"/>
  <c r="I23" i="3"/>
  <c r="M48" i="9"/>
  <c r="D27" i="7"/>
  <c r="F27" i="7" s="1"/>
  <c r="I56" i="9"/>
  <c r="G54" i="9"/>
  <c r="I54" i="9" s="1"/>
  <c r="C22" i="1"/>
  <c r="B22" i="1"/>
  <c r="F24" i="7"/>
  <c r="J42" i="4"/>
  <c r="K42" i="4" s="1"/>
  <c r="F23" i="7"/>
  <c r="B27" i="1"/>
  <c r="B29" i="1" s="1"/>
  <c r="B10" i="1"/>
  <c r="D10" i="1" s="1"/>
  <c r="D17" i="1"/>
  <c r="F7" i="1"/>
  <c r="F18" i="1"/>
  <c r="L21" i="15"/>
  <c r="M12" i="8"/>
  <c r="E5" i="5"/>
  <c r="F5" i="5" s="1"/>
  <c r="L42" i="15"/>
  <c r="F19" i="1"/>
  <c r="D22" i="7"/>
  <c r="F22" i="7" s="1"/>
  <c r="C33" i="1"/>
  <c r="C11" i="1"/>
  <c r="M27" i="7" s="1"/>
  <c r="H27" i="7" s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I45" i="2"/>
  <c r="J45" i="2" s="1"/>
  <c r="D54" i="9"/>
  <c r="I45" i="3"/>
  <c r="D31" i="9"/>
  <c r="J7" i="4"/>
  <c r="K7" i="4" s="1"/>
  <c r="K5" i="4"/>
  <c r="B6" i="1" s="1"/>
  <c r="F5" i="1"/>
  <c r="E6" i="5"/>
  <c r="F6" i="5" s="1"/>
  <c r="D28" i="1"/>
  <c r="C27" i="1"/>
  <c r="C29" i="1" s="1"/>
  <c r="H11" i="5"/>
  <c r="F15" i="5"/>
  <c r="M33" i="8"/>
  <c r="D16" i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4" i="9" s="1"/>
  <c r="R56" i="9"/>
  <c r="C20" i="5"/>
  <c r="C22" i="5" s="1"/>
  <c r="E10" i="5"/>
  <c r="E16" i="5"/>
  <c r="F16" i="5" s="1"/>
  <c r="D22" i="1" l="1"/>
  <c r="F22" i="1" s="1"/>
  <c r="H24" i="7"/>
  <c r="F17" i="1"/>
  <c r="E7" i="5"/>
  <c r="D6" i="1"/>
  <c r="B22" i="5"/>
  <c r="F54" i="9"/>
  <c r="C32" i="1"/>
  <c r="E17" i="5"/>
  <c r="D27" i="1" s="1"/>
  <c r="F16" i="1"/>
  <c r="H15" i="5"/>
  <c r="F17" i="5"/>
  <c r="H17" i="5" s="1"/>
  <c r="H16" i="5"/>
  <c r="F10" i="1"/>
  <c r="F10" i="5"/>
  <c r="E12" i="5"/>
  <c r="F28" i="1"/>
  <c r="B8" i="1"/>
  <c r="B11" i="1" s="1"/>
  <c r="L27" i="7" s="1"/>
  <c r="F7" i="5"/>
  <c r="H7" i="5" s="1"/>
  <c r="H5" i="5"/>
  <c r="E20" i="5"/>
  <c r="M54" i="9"/>
  <c r="O54" i="9"/>
  <c r="H6" i="5"/>
  <c r="N27" i="7" l="1"/>
  <c r="P27" i="7" s="1"/>
  <c r="G27" i="7"/>
  <c r="I27" i="7" s="1"/>
  <c r="K27" i="7" s="1"/>
  <c r="G24" i="7"/>
  <c r="I24" i="7" s="1"/>
  <c r="K24" i="7" s="1"/>
  <c r="P24" i="7"/>
  <c r="P23" i="7"/>
  <c r="K23" i="7"/>
  <c r="F6" i="1"/>
  <c r="D8" i="1"/>
  <c r="F12" i="5"/>
  <c r="H12" i="5" s="1"/>
  <c r="H10" i="5"/>
  <c r="F27" i="1"/>
  <c r="D29" i="1"/>
  <c r="F29" i="1" s="1"/>
  <c r="F20" i="5"/>
  <c r="E22" i="5"/>
  <c r="N22" i="7"/>
  <c r="K25" i="7" l="1"/>
  <c r="P25" i="7"/>
  <c r="F8" i="1"/>
  <c r="D11" i="1"/>
  <c r="F11" i="1" s="1"/>
  <c r="F22" i="5"/>
  <c r="H22" i="5" s="1"/>
  <c r="H20" i="5"/>
  <c r="P22" i="7"/>
  <c r="K22" i="7" l="1"/>
  <c r="G20" i="1" l="1"/>
  <c r="I20" i="1" s="1"/>
  <c r="G21" i="1"/>
  <c r="I21" i="1" s="1"/>
  <c r="C26" i="7" l="1"/>
  <c r="C33" i="7" s="1"/>
  <c r="G19" i="1"/>
  <c r="I19" i="1" s="1"/>
  <c r="G7" i="1"/>
  <c r="I7" i="1" s="1"/>
  <c r="G18" i="1"/>
  <c r="I18" i="1" s="1"/>
  <c r="D33" i="1"/>
  <c r="G5" i="1"/>
  <c r="I11" i="5"/>
  <c r="K11" i="5" s="1"/>
  <c r="I5" i="1" l="1"/>
  <c r="B26" i="7"/>
  <c r="G10" i="1"/>
  <c r="I10" i="1" s="1"/>
  <c r="G17" i="1"/>
  <c r="I17" i="1" s="1"/>
  <c r="I5" i="5"/>
  <c r="D32" i="1"/>
  <c r="I6" i="5"/>
  <c r="G28" i="1"/>
  <c r="I28" i="1" s="1"/>
  <c r="I15" i="5"/>
  <c r="G16" i="1"/>
  <c r="I16" i="5"/>
  <c r="G22" i="1" l="1"/>
  <c r="I22" i="1" s="1"/>
  <c r="I16" i="1"/>
  <c r="K15" i="5"/>
  <c r="I17" i="5"/>
  <c r="K17" i="5" s="1"/>
  <c r="M26" i="7"/>
  <c r="D26" i="7"/>
  <c r="B33" i="7"/>
  <c r="D34" i="1"/>
  <c r="E33" i="1" s="1"/>
  <c r="K6" i="5"/>
  <c r="I21" i="5"/>
  <c r="K21" i="5" s="1"/>
  <c r="I7" i="5"/>
  <c r="K7" i="5" s="1"/>
  <c r="K5" i="5"/>
  <c r="G6" i="1"/>
  <c r="G27" i="1"/>
  <c r="I10" i="5"/>
  <c r="I20" i="5" s="1"/>
  <c r="L26" i="7"/>
  <c r="E32" i="1" l="1"/>
  <c r="N26" i="7"/>
  <c r="G26" i="7"/>
  <c r="L33" i="7"/>
  <c r="I12" i="5"/>
  <c r="K12" i="5" s="1"/>
  <c r="K10" i="5"/>
  <c r="I6" i="1"/>
  <c r="G8" i="1"/>
  <c r="I22" i="5"/>
  <c r="K22" i="5" s="1"/>
  <c r="K20" i="5"/>
  <c r="F26" i="7"/>
  <c r="D33" i="7"/>
  <c r="F33" i="7" s="1"/>
  <c r="H26" i="7"/>
  <c r="H33" i="7" s="1"/>
  <c r="M33" i="7"/>
  <c r="G29" i="1"/>
  <c r="I29" i="1" s="1"/>
  <c r="I27" i="1"/>
  <c r="I8" i="1" l="1"/>
  <c r="G11" i="1"/>
  <c r="I11" i="1" s="1"/>
  <c r="I26" i="7"/>
  <c r="G33" i="7"/>
  <c r="P26" i="7"/>
  <c r="N33" i="7"/>
  <c r="P33" i="7" s="1"/>
  <c r="K26" i="7" l="1"/>
  <c r="I33" i="7"/>
  <c r="K33" i="7" s="1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<sst xmlns="http://schemas.openxmlformats.org/spreadsheetml/2006/main" count="532" uniqueCount="217">
  <si>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</si>
  <si>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</si>
  <si>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</si>
  <si>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</si>
  <si>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</si>
  <si>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</si>
  <si>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</si>
  <si>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</si>
  <si>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</si>
  <si>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</si>
  <si>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</si>
  <si>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</si>
  <si>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</si>
  <si>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</si>
  <si>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</si>
  <si>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</si>
  <si>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</si>
  <si>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</si>
  <si>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</si>
  <si>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</si>
  <si>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</si>
  <si>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</si>
  <si>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</si>
  <si>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</si>
  <si>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</si>
  <si>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</si>
  <si>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</si>
  <si>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</si>
  <si>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</si>
  <si>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</si>
  <si>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</si>
  <si>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</si>
  <si>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</si>
  <si>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</si>
  <si>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</si>
  <si>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</si>
  <si>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</si>
  <si>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</si>
  <si>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</si>
  <si>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</si>
  <si>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</si>
  <si>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</si>
  <si>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</si>
  <si>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</si>
  <si>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</si>
  <si>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</si>
  <si>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</si>
  <si>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</si>
  <si>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</si>
  <si>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</si>
  <si>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</si>
  <si>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</si>
  <si>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</si>
  <si>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</si>
  <si>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</si>
  <si>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</si>
  <si>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</si>
  <si>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</si>
  <si>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</si>
  <si>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</si>
  <si>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</si>
  <si>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</si>
  <si>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</si>
  <si>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</si>
  <si>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</si>
  <si>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</si>
  <si>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</si>
  <si>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</si>
  <si>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</si>
  <si>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</si>
  <si>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</si>
  <si>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</si>
  <si>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</si>
  <si>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</si>
  <si>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</si>
  <si>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</si>
  <si>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</si>
  <si>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</si>
  <si>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</si>
  <si>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</si>
  <si>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</si>
  <si>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</si>
  <si>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</si>
  <si>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</si>
  <si>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</si>
  <si>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</si>
  <si>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</si>
  <si>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</si>
  <si>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</si>
  <si>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</si>
  <si>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</si>
  <si>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</si>
  <si>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</si>
  <si>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</si>
  <si>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</si>
  <si>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</si>
  <si>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</si>
  <si>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</si>
  <si>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</si>
  <si>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</si>
  <si>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</si>
  <si>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</si>
  <si>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</si>
  <si>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</si>
  <si>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</si>
  <si>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</si>
  <si>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</si>
  <si>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</si>
  <si>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</si>
  <si>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</si>
  <si>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</si>
  <si>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</si>
  <si>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</si>
  <si>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</si>
  <si>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</si>
  <si>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</si>
  <si>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</si>
  <si>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</si>
  <si>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</si>
  <si>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</si>
  <si>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</si>
  <si>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</si>
  <si>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</si>
  <si>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</si>
  <si>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</si>
  <si>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</si>
  <si>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</si>
  <si>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</si>
  <si>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</si>
  <si>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</si>
  <si>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</si>
  <si>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</si>
  <si>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</si>
  <si>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</si>
  <si>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</si>
  <si>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</si>
  <si>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</si>
  <si>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</si>
  <si>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</si>
  <si>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</si>
  <si>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</si>
  <si>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</si>
  <si>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</si>
  <si>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</si>
  <si>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</si>
  <si>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</si>
  <si>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</si>
  <si>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</si>
  <si>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</si>
  <si>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</si>
  <si>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</si>
  <si>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</si>
  <si>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</si>
  <si>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</si>
  <si>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</si>
  <si>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</si>
  <si>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</si>
  <si>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</si>
  <si>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</si>
  <si>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</si>
  <si>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</si>
  <si>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</si>
  <si>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</si>
  <si>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</si>
  <si>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</si>
  <si>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</si>
  <si>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</si>
  <si>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</si>
  <si>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</si>
  <si>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</si>
  <si>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</si>
  <si>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</si>
  <si>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</si>
  <si>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</si>
  <si>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</si>
  <si>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</si>
  <si>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</si>
  <si>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</si>
  <si>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</si>
  <si>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</si>
  <si>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</si>
  <si>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</si>
  <si>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</si>
  <si>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</si>
  <si>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</si>
  <si>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</si>
  <si>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</si>
  <si>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</si>
  <si>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</si>
  <si>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</si>
  <si>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</si>
  <si>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</si>
  <si>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</si>
  <si>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</si>
  <si>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</si>
  <si>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</si>
  <si>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</si>
  <si>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</si>
  <si>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</si>
  <si>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</si>
  <si>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</si>
  <si>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</si>
  <si>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</si>
  <si>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</si>
  <si>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</si>
  <si>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</si>
  <si>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</si>
  <si>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</si>
  <si>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</si>
  <si>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</si>
  <si>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</si>
  <si>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</si>
  <si>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</si>
  <si>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</si>
  <si>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</si>
  <si>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</si>
  <si>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July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</si>
</sst>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2463711</v>
          </cell>
          <cell r="G5">
            <v>14451329</v>
          </cell>
        </row>
        <row r="6">
          <cell r="D6">
            <v>870558</v>
          </cell>
          <cell r="G6">
            <v>5593457</v>
          </cell>
        </row>
        <row r="7">
          <cell r="D7">
            <v>162</v>
          </cell>
          <cell r="G7">
            <v>2832</v>
          </cell>
        </row>
        <row r="10">
          <cell r="D10">
            <v>102373</v>
          </cell>
          <cell r="G10">
            <v>629269</v>
          </cell>
        </row>
        <row r="16">
          <cell r="D16">
            <v>17846</v>
          </cell>
          <cell r="G16">
            <v>110215</v>
          </cell>
        </row>
        <row r="17">
          <cell r="D17">
            <v>16493</v>
          </cell>
          <cell r="G17">
            <v>110955</v>
          </cell>
        </row>
        <row r="18">
          <cell r="D18">
            <v>4</v>
          </cell>
          <cell r="G18">
            <v>49</v>
          </cell>
        </row>
        <row r="19">
          <cell r="D19">
            <v>982</v>
          </cell>
          <cell r="G19">
            <v>6960</v>
          </cell>
        </row>
        <row r="20">
          <cell r="D20">
            <v>2247</v>
          </cell>
          <cell r="G20">
            <v>13998</v>
          </cell>
        </row>
        <row r="21">
          <cell r="D21">
            <v>138</v>
          </cell>
          <cell r="G21">
            <v>778</v>
          </cell>
        </row>
        <row r="27">
          <cell r="D27">
            <v>15504.676701237569</v>
          </cell>
          <cell r="G27">
            <v>106117.84288224889</v>
          </cell>
        </row>
        <row r="28">
          <cell r="D28">
            <v>762.45656891172996</v>
          </cell>
          <cell r="G28">
            <v>8639.2073687550401</v>
          </cell>
        </row>
        <row r="32">
          <cell r="B32">
            <v>837456</v>
          </cell>
          <cell r="D32">
            <v>5526601</v>
          </cell>
        </row>
        <row r="33">
          <cell r="B33">
            <v>826965</v>
          </cell>
          <cell r="D33">
            <v>4451011</v>
          </cell>
        </row>
      </sheetData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</row>
      </sheetData>
      <sheetData sheetId="6"/>
      <sheetData sheetId="7">
        <row r="5">
          <cell r="F5">
            <v>7402.8247910809496</v>
          </cell>
          <cell r="I5">
            <v>50033.829330617438</v>
          </cell>
        </row>
        <row r="6">
          <cell r="F6">
            <v>473.06690481357998</v>
          </cell>
          <cell r="I6">
            <v>3879.8454280701499</v>
          </cell>
        </row>
        <row r="10">
          <cell r="F10">
            <v>8101.8519101566199</v>
          </cell>
          <cell r="I10">
            <v>56084.013551631448</v>
          </cell>
        </row>
        <row r="11">
          <cell r="F11">
            <v>289.38966409814998</v>
          </cell>
          <cell r="I11">
            <v>4759.3619406848911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15504.676701237569</v>
          </cell>
        </row>
        <row r="21">
          <cell r="F21">
            <v>762.45656891172996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12907046</v>
          </cell>
        </row>
        <row r="6">
          <cell r="G6">
            <v>4221856</v>
          </cell>
        </row>
        <row r="7">
          <cell r="G7">
            <v>2921</v>
          </cell>
        </row>
        <row r="10">
          <cell r="G10">
            <v>529845</v>
          </cell>
        </row>
        <row r="16">
          <cell r="G16">
            <v>98524</v>
          </cell>
        </row>
        <row r="17">
          <cell r="G17">
            <v>82193</v>
          </cell>
        </row>
        <row r="18">
          <cell r="G18">
            <v>45</v>
          </cell>
        </row>
        <row r="19">
          <cell r="G19">
            <v>6090</v>
          </cell>
        </row>
        <row r="20">
          <cell r="G20">
            <v>10879</v>
          </cell>
        </row>
        <row r="21">
          <cell r="G21">
            <v>654</v>
          </cell>
        </row>
        <row r="27">
          <cell r="G27">
            <v>90631.632379986389</v>
          </cell>
        </row>
        <row r="28">
          <cell r="G28">
            <v>6890.0558533060102</v>
          </cell>
        </row>
        <row r="32">
          <cell r="D32">
            <v>4800460</v>
          </cell>
        </row>
        <row r="33">
          <cell r="D33">
            <v>3728629</v>
          </cell>
        </row>
      </sheetData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>
        <row r="5">
          <cell r="I5">
            <v>36439.265933247101</v>
          </cell>
        </row>
        <row r="6">
          <cell r="I6">
            <v>3054.7867618052401</v>
          </cell>
        </row>
        <row r="10">
          <cell r="I10">
            <v>39008.262977852632</v>
          </cell>
        </row>
        <row r="11">
          <cell r="I11">
            <v>2775.1007992784998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D4"/>
        </row>
        <row r="5">
          <cell r="ED5"/>
        </row>
        <row r="8">
          <cell r="ED8"/>
        </row>
        <row r="9">
          <cell r="ED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</row>
        <row r="22">
          <cell r="ED22"/>
        </row>
        <row r="23">
          <cell r="ED23"/>
        </row>
        <row r="27">
          <cell r="ED27"/>
        </row>
        <row r="28">
          <cell r="ED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4">
        <row r="8">
          <cell r="ED8"/>
        </row>
        <row r="9">
          <cell r="ED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</row>
        <row r="47">
          <cell r="ED47">
            <v>130960</v>
          </cell>
        </row>
        <row r="48">
          <cell r="ED48"/>
        </row>
        <row r="52">
          <cell r="ED52">
            <v>920</v>
          </cell>
        </row>
        <row r="53">
          <cell r="ED53"/>
        </row>
        <row r="57">
          <cell r="ED57"/>
        </row>
        <row r="58">
          <cell r="ED58"/>
        </row>
      </sheetData>
      <sheetData sheetId="5"/>
      <sheetData sheetId="6">
        <row r="4">
          <cell r="ED4">
            <v>61</v>
          </cell>
        </row>
        <row r="5">
          <cell r="ED5">
            <v>61</v>
          </cell>
        </row>
        <row r="8">
          <cell r="ED8"/>
        </row>
        <row r="9">
          <cell r="ED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</row>
        <row r="22">
          <cell r="ED22">
            <v>9574</v>
          </cell>
        </row>
        <row r="23">
          <cell r="ED23">
            <v>10006</v>
          </cell>
        </row>
        <row r="27">
          <cell r="ED27">
            <v>407</v>
          </cell>
        </row>
        <row r="28">
          <cell r="ED28">
            <v>490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</row>
        <row r="47">
          <cell r="ED47">
            <v>45903</v>
          </cell>
        </row>
        <row r="48">
          <cell r="ED48"/>
        </row>
        <row r="52">
          <cell r="ED52">
            <v>9032</v>
          </cell>
        </row>
        <row r="53">
          <cell r="ED53"/>
        </row>
        <row r="57">
          <cell r="ED57"/>
        </row>
        <row r="58">
          <cell r="ED58"/>
        </row>
      </sheetData>
      <sheetData sheetId="7"/>
      <sheetData sheetId="8">
        <row r="4">
          <cell r="ED4">
            <v>328</v>
          </cell>
        </row>
        <row r="5">
          <cell r="ED5">
            <v>329</v>
          </cell>
        </row>
        <row r="8">
          <cell r="ED8"/>
        </row>
        <row r="9">
          <cell r="ED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</row>
        <row r="22">
          <cell r="ED22">
            <v>44174</v>
          </cell>
        </row>
        <row r="23">
          <cell r="ED23">
            <v>43781</v>
          </cell>
        </row>
        <row r="27">
          <cell r="ED27">
            <v>1558</v>
          </cell>
        </row>
        <row r="28">
          <cell r="ED28">
            <v>1483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</row>
        <row r="47">
          <cell r="ED47">
            <v>26703</v>
          </cell>
        </row>
        <row r="48">
          <cell r="ED48">
            <v>1363</v>
          </cell>
        </row>
        <row r="52">
          <cell r="ED52">
            <v>9531</v>
          </cell>
        </row>
        <row r="53">
          <cell r="ED53">
            <v>6191</v>
          </cell>
        </row>
        <row r="57">
          <cell r="ED57"/>
        </row>
        <row r="58">
          <cell r="ED58"/>
        </row>
      </sheetData>
      <sheetData sheetId="9"/>
      <sheetData sheetId="10">
        <row r="4">
          <cell r="ED4">
            <v>731</v>
          </cell>
        </row>
        <row r="5">
          <cell r="ED5">
            <v>737</v>
          </cell>
        </row>
        <row r="8">
          <cell r="ED8">
            <v>49</v>
          </cell>
        </row>
        <row r="9">
          <cell r="ED9">
            <v>45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</row>
        <row r="22">
          <cell r="ED22">
            <v>91217</v>
          </cell>
        </row>
        <row r="23">
          <cell r="ED23">
            <v>94255</v>
          </cell>
        </row>
        <row r="27">
          <cell r="ED27">
            <v>2036</v>
          </cell>
        </row>
        <row r="28">
          <cell r="ED28">
            <v>1891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</row>
        <row r="47">
          <cell r="ED47">
            <v>124213</v>
          </cell>
        </row>
        <row r="48">
          <cell r="ED48">
            <v>158937</v>
          </cell>
        </row>
        <row r="52">
          <cell r="ED52">
            <v>63010</v>
          </cell>
        </row>
        <row r="53">
          <cell r="ED53">
            <v>444136</v>
          </cell>
        </row>
        <row r="57">
          <cell r="ED57"/>
        </row>
        <row r="58">
          <cell r="ED58"/>
        </row>
        <row r="70">
          <cell r="ED70">
            <v>79811</v>
          </cell>
        </row>
        <row r="71">
          <cell r="ED71">
            <v>14444</v>
          </cell>
        </row>
        <row r="73">
          <cell r="ED73">
            <v>820</v>
          </cell>
        </row>
        <row r="74">
          <cell r="ED74">
            <v>2</v>
          </cell>
        </row>
      </sheetData>
      <sheetData sheetId="11"/>
      <sheetData sheetId="12">
        <row r="8">
          <cell r="ED8"/>
        </row>
        <row r="9">
          <cell r="ED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</row>
        <row r="38">
          <cell r="DX38"/>
          <cell r="DY38"/>
          <cell r="DZ38"/>
          <cell r="EA38"/>
          <cell r="EB38"/>
          <cell r="EC38"/>
          <cell r="ED38">
            <v>12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</row>
        <row r="47">
          <cell r="ED47">
            <v>53141</v>
          </cell>
        </row>
        <row r="48">
          <cell r="ED48"/>
        </row>
        <row r="52">
          <cell r="ED52">
            <v>802</v>
          </cell>
        </row>
        <row r="53">
          <cell r="ED53"/>
        </row>
        <row r="57">
          <cell r="ED57"/>
        </row>
        <row r="58">
          <cell r="ED58"/>
        </row>
      </sheetData>
      <sheetData sheetId="13">
        <row r="4">
          <cell r="ED4">
            <v>6155</v>
          </cell>
        </row>
        <row r="5">
          <cell r="ED5">
            <v>6146</v>
          </cell>
        </row>
        <row r="8">
          <cell r="ED8">
            <v>4</v>
          </cell>
        </row>
        <row r="9">
          <cell r="ED9">
            <v>16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</row>
        <row r="22">
          <cell r="ED22">
            <v>863562</v>
          </cell>
        </row>
        <row r="23">
          <cell r="ED23">
            <v>867295</v>
          </cell>
        </row>
        <row r="27">
          <cell r="ED27">
            <v>29126</v>
          </cell>
        </row>
        <row r="28">
          <cell r="ED28">
            <v>28490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</row>
        <row r="47">
          <cell r="ED47">
            <v>3897556</v>
          </cell>
        </row>
        <row r="48">
          <cell r="ED48">
            <v>1201848</v>
          </cell>
        </row>
        <row r="52">
          <cell r="ED52">
            <v>2296525</v>
          </cell>
        </row>
        <row r="53">
          <cell r="ED53">
            <v>1744852</v>
          </cell>
        </row>
        <row r="57">
          <cell r="ED57"/>
        </row>
        <row r="58">
          <cell r="ED58"/>
        </row>
        <row r="70">
          <cell r="ED70">
            <v>326970</v>
          </cell>
        </row>
        <row r="71">
          <cell r="ED71">
            <v>540325</v>
          </cell>
        </row>
        <row r="73">
          <cell r="ED73">
            <v>23228</v>
          </cell>
        </row>
        <row r="74">
          <cell r="ED74">
            <v>38384</v>
          </cell>
        </row>
      </sheetData>
      <sheetData sheetId="14">
        <row r="4">
          <cell r="ED4">
            <v>201</v>
          </cell>
        </row>
        <row r="5">
          <cell r="ED5">
            <v>202</v>
          </cell>
        </row>
        <row r="8">
          <cell r="ED8"/>
        </row>
        <row r="9">
          <cell r="ED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</row>
        <row r="22">
          <cell r="ED22">
            <v>27038</v>
          </cell>
        </row>
        <row r="23">
          <cell r="ED23">
            <v>27238</v>
          </cell>
        </row>
        <row r="27">
          <cell r="ED27">
            <v>187</v>
          </cell>
        </row>
        <row r="28">
          <cell r="ED28">
            <v>229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15">
        <row r="4">
          <cell r="ED4">
            <v>123</v>
          </cell>
        </row>
        <row r="5">
          <cell r="ED5">
            <v>124</v>
          </cell>
        </row>
        <row r="8">
          <cell r="ED8"/>
        </row>
        <row r="9">
          <cell r="ED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</row>
        <row r="22">
          <cell r="ED22">
            <v>391</v>
          </cell>
        </row>
        <row r="23">
          <cell r="ED23">
            <v>458</v>
          </cell>
        </row>
        <row r="27">
          <cell r="ED27">
            <v>38</v>
          </cell>
        </row>
        <row r="28">
          <cell r="ED28">
            <v>28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</row>
        <row r="47">
          <cell r="ED47">
            <v>58</v>
          </cell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16">
        <row r="8">
          <cell r="ED8"/>
        </row>
        <row r="9">
          <cell r="ED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</row>
        <row r="47">
          <cell r="ED47">
            <v>40048</v>
          </cell>
        </row>
        <row r="48">
          <cell r="ED48"/>
        </row>
        <row r="52">
          <cell r="ED52">
            <v>242</v>
          </cell>
        </row>
        <row r="53">
          <cell r="ED53"/>
        </row>
        <row r="57">
          <cell r="ED57"/>
        </row>
        <row r="58">
          <cell r="ED58"/>
        </row>
      </sheetData>
      <sheetData sheetId="17"/>
      <sheetData sheetId="18"/>
      <sheetData sheetId="19"/>
      <sheetData sheetId="20">
        <row r="8">
          <cell r="ED8"/>
        </row>
        <row r="9">
          <cell r="ED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G58"/>
        </row>
      </sheetData>
      <sheetData sheetId="21">
        <row r="4">
          <cell r="ED4">
            <v>738</v>
          </cell>
        </row>
        <row r="5">
          <cell r="ED5">
            <v>738</v>
          </cell>
        </row>
        <row r="8">
          <cell r="ED8">
            <v>1</v>
          </cell>
        </row>
        <row r="9">
          <cell r="ED9">
            <v>2</v>
          </cell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</row>
        <row r="22">
          <cell r="ED22">
            <v>90360</v>
          </cell>
        </row>
        <row r="23">
          <cell r="ED23">
            <v>89655</v>
          </cell>
        </row>
        <row r="27">
          <cell r="ED27">
            <v>1241</v>
          </cell>
        </row>
        <row r="28">
          <cell r="ED28">
            <v>1309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</row>
        <row r="47">
          <cell r="ED47">
            <v>218354</v>
          </cell>
        </row>
        <row r="48">
          <cell r="ED48"/>
        </row>
        <row r="52">
          <cell r="ED52">
            <v>137184</v>
          </cell>
        </row>
        <row r="53">
          <cell r="ED53"/>
        </row>
        <row r="57">
          <cell r="ED57"/>
        </row>
        <row r="58">
          <cell r="ED58"/>
        </row>
        <row r="70">
          <cell r="ED70">
            <v>89271</v>
          </cell>
        </row>
        <row r="71">
          <cell r="ED71">
            <v>384</v>
          </cell>
        </row>
        <row r="73">
          <cell r="ED73"/>
        </row>
        <row r="74">
          <cell r="ED74"/>
        </row>
      </sheetData>
      <sheetData sheetId="22">
        <row r="4">
          <cell r="ED4">
            <v>305</v>
          </cell>
        </row>
        <row r="5">
          <cell r="ED5">
            <v>305</v>
          </cell>
        </row>
        <row r="8">
          <cell r="ED8"/>
        </row>
        <row r="9">
          <cell r="ED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</row>
        <row r="22">
          <cell r="ED22">
            <v>39906</v>
          </cell>
        </row>
        <row r="23">
          <cell r="ED23">
            <v>39712</v>
          </cell>
        </row>
        <row r="27">
          <cell r="ED27">
            <v>419</v>
          </cell>
        </row>
        <row r="28">
          <cell r="ED28">
            <v>373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23">
        <row r="4">
          <cell r="ED4">
            <v>380</v>
          </cell>
        </row>
        <row r="5">
          <cell r="ED5">
            <v>380</v>
          </cell>
        </row>
        <row r="8">
          <cell r="ED8"/>
        </row>
        <row r="9">
          <cell r="ED9"/>
        </row>
        <row r="15">
          <cell r="ED15">
            <v>2</v>
          </cell>
        </row>
        <row r="16">
          <cell r="ED16">
            <v>2</v>
          </cell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</row>
        <row r="22">
          <cell r="ED22">
            <v>45008</v>
          </cell>
        </row>
        <row r="23">
          <cell r="ED23">
            <v>44676</v>
          </cell>
        </row>
        <row r="27">
          <cell r="ED27">
            <v>1595</v>
          </cell>
        </row>
        <row r="28">
          <cell r="ED28">
            <v>1666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</row>
        <row r="47">
          <cell r="ED47">
            <v>44630</v>
          </cell>
        </row>
        <row r="48">
          <cell r="ED48">
            <v>256519</v>
          </cell>
        </row>
        <row r="52">
          <cell r="ED52">
            <v>66826</v>
          </cell>
        </row>
        <row r="53">
          <cell r="ED53">
            <v>306870</v>
          </cell>
        </row>
        <row r="57">
          <cell r="ED57"/>
        </row>
        <row r="58">
          <cell r="ED58"/>
        </row>
      </sheetData>
      <sheetData sheetId="24">
        <row r="4">
          <cell r="ED4">
            <v>376</v>
          </cell>
        </row>
        <row r="5">
          <cell r="ED5">
            <v>379</v>
          </cell>
        </row>
        <row r="8">
          <cell r="ED8"/>
        </row>
        <row r="9">
          <cell r="ED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</row>
        <row r="22">
          <cell r="ED22">
            <v>49090</v>
          </cell>
        </row>
        <row r="23">
          <cell r="ED23">
            <v>51034</v>
          </cell>
        </row>
        <row r="27">
          <cell r="ED27">
            <v>1777</v>
          </cell>
        </row>
        <row r="28">
          <cell r="ED28">
            <v>1769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</row>
        <row r="47">
          <cell r="ED47">
            <v>23482</v>
          </cell>
        </row>
        <row r="48">
          <cell r="ED48">
            <v>24514</v>
          </cell>
        </row>
        <row r="52">
          <cell r="ED52">
            <v>4726</v>
          </cell>
        </row>
        <row r="53">
          <cell r="ED53">
            <v>20770</v>
          </cell>
        </row>
        <row r="57">
          <cell r="ED57"/>
        </row>
        <row r="58">
          <cell r="ED58"/>
        </row>
      </sheetData>
      <sheetData sheetId="25"/>
      <sheetData sheetId="26"/>
      <sheetData sheetId="27">
        <row r="4">
          <cell r="ED4"/>
        </row>
        <row r="5">
          <cell r="ED5"/>
        </row>
        <row r="8">
          <cell r="ED8"/>
        </row>
        <row r="9">
          <cell r="ED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</row>
        <row r="22">
          <cell r="ED22"/>
        </row>
        <row r="23">
          <cell r="ED23"/>
        </row>
        <row r="27">
          <cell r="ED27"/>
        </row>
        <row r="28">
          <cell r="ED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</row>
        <row r="47">
          <cell r="ED47"/>
        </row>
        <row r="48">
          <cell r="ED48"/>
        </row>
        <row r="52">
          <cell r="BH52"/>
        </row>
        <row r="53">
          <cell r="ED53"/>
        </row>
        <row r="57">
          <cell r="BG57"/>
        </row>
        <row r="58">
          <cell r="BG58"/>
        </row>
      </sheetData>
      <sheetData sheetId="28">
        <row r="4">
          <cell r="ED4">
            <v>90</v>
          </cell>
        </row>
        <row r="5">
          <cell r="ED5">
            <v>89</v>
          </cell>
        </row>
        <row r="8">
          <cell r="ED8"/>
        </row>
        <row r="9">
          <cell r="ED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</row>
        <row r="22">
          <cell r="ED22">
            <v>6357</v>
          </cell>
        </row>
        <row r="23">
          <cell r="ED23">
            <v>5874</v>
          </cell>
        </row>
        <row r="27">
          <cell r="ED27"/>
        </row>
        <row r="28">
          <cell r="ED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29">
        <row r="4">
          <cell r="ED4">
            <v>532</v>
          </cell>
        </row>
        <row r="5">
          <cell r="ED5">
            <v>530</v>
          </cell>
        </row>
        <row r="8">
          <cell r="ED8"/>
        </row>
        <row r="9">
          <cell r="ED9">
            <v>3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</row>
        <row r="22">
          <cell r="ED22">
            <v>31628</v>
          </cell>
        </row>
        <row r="23">
          <cell r="ED23">
            <v>31344</v>
          </cell>
        </row>
        <row r="27">
          <cell r="ED27">
            <v>849</v>
          </cell>
        </row>
        <row r="28">
          <cell r="ED28">
            <v>944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G58"/>
        </row>
        <row r="70">
          <cell r="ED70">
            <v>8557</v>
          </cell>
        </row>
        <row r="71">
          <cell r="ED71">
            <v>22787</v>
          </cell>
        </row>
        <row r="73">
          <cell r="ED73">
            <v>14</v>
          </cell>
        </row>
        <row r="74">
          <cell r="ED74">
            <v>37</v>
          </cell>
        </row>
      </sheetData>
      <sheetData sheetId="30">
        <row r="4">
          <cell r="ED4"/>
        </row>
        <row r="5">
          <cell r="ED5"/>
        </row>
        <row r="8">
          <cell r="ED8"/>
        </row>
        <row r="9">
          <cell r="ED9"/>
        </row>
        <row r="22">
          <cell r="ED22"/>
        </row>
        <row r="23">
          <cell r="ED23"/>
        </row>
        <row r="27">
          <cell r="ED27"/>
        </row>
        <row r="28">
          <cell r="ED28"/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31">
        <row r="4">
          <cell r="ED4"/>
        </row>
        <row r="5">
          <cell r="ED5"/>
        </row>
        <row r="8">
          <cell r="ED8"/>
        </row>
        <row r="9">
          <cell r="ED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</row>
        <row r="22">
          <cell r="ED22"/>
        </row>
        <row r="23">
          <cell r="ED23"/>
        </row>
        <row r="27">
          <cell r="ED27"/>
        </row>
        <row r="28">
          <cell r="ED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32">
        <row r="15">
          <cell r="DX15"/>
          <cell r="DY15"/>
          <cell r="DZ15"/>
          <cell r="EA15"/>
          <cell r="EB15"/>
          <cell r="ED15"/>
        </row>
        <row r="16">
          <cell r="DX16"/>
          <cell r="DY16"/>
          <cell r="DZ16"/>
          <cell r="EA16"/>
          <cell r="EB16"/>
          <cell r="ED16"/>
        </row>
        <row r="32">
          <cell r="DX32"/>
          <cell r="DY32"/>
          <cell r="DZ32"/>
          <cell r="EA32"/>
          <cell r="EB32"/>
          <cell r="EC32"/>
          <cell r="ED32"/>
        </row>
        <row r="33">
          <cell r="DX33"/>
          <cell r="DY33"/>
          <cell r="DZ33"/>
          <cell r="EA33"/>
          <cell r="EB33"/>
          <cell r="EC33"/>
          <cell r="ED33"/>
        </row>
        <row r="37">
          <cell r="DX37"/>
          <cell r="DY37"/>
          <cell r="DZ37"/>
          <cell r="EA37"/>
          <cell r="EB37"/>
          <cell r="EC37"/>
          <cell r="ED37"/>
        </row>
        <row r="38">
          <cell r="DX38"/>
          <cell r="DY38"/>
          <cell r="DZ38"/>
          <cell r="EA38"/>
          <cell r="EB38"/>
          <cell r="EC38"/>
          <cell r="ED38"/>
        </row>
      </sheetData>
      <sheetData sheetId="33">
        <row r="4">
          <cell r="ED4">
            <v>759</v>
          </cell>
        </row>
        <row r="5">
          <cell r="ED5">
            <v>755</v>
          </cell>
        </row>
        <row r="8">
          <cell r="ED8"/>
        </row>
        <row r="9">
          <cell r="ED9">
            <v>1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</row>
        <row r="22">
          <cell r="ED22">
            <v>46495</v>
          </cell>
        </row>
        <row r="23">
          <cell r="ED23">
            <v>46307</v>
          </cell>
        </row>
        <row r="27">
          <cell r="ED27">
            <v>1749</v>
          </cell>
        </row>
        <row r="28">
          <cell r="ED28">
            <v>1947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G58"/>
        </row>
        <row r="70">
          <cell r="BG70">
            <v>26242</v>
          </cell>
          <cell r="ED70">
            <v>16578</v>
          </cell>
        </row>
        <row r="71">
          <cell r="BG71">
            <v>44562</v>
          </cell>
          <cell r="ED71">
            <v>29729</v>
          </cell>
        </row>
        <row r="73">
          <cell r="BG73">
            <v>1540</v>
          </cell>
          <cell r="ED73"/>
        </row>
        <row r="74">
          <cell r="BG74">
            <v>2614</v>
          </cell>
          <cell r="ED74"/>
        </row>
      </sheetData>
      <sheetData sheetId="34"/>
      <sheetData sheetId="35">
        <row r="4">
          <cell r="ED4">
            <v>83</v>
          </cell>
        </row>
        <row r="5">
          <cell r="ED5">
            <v>83</v>
          </cell>
        </row>
        <row r="8">
          <cell r="ED8"/>
        </row>
        <row r="9">
          <cell r="ED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</row>
        <row r="22">
          <cell r="ED22">
            <v>3499</v>
          </cell>
        </row>
        <row r="23">
          <cell r="ED23">
            <v>3495</v>
          </cell>
        </row>
        <row r="27">
          <cell r="ED27">
            <v>155</v>
          </cell>
        </row>
        <row r="28">
          <cell r="ED28">
            <v>130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G58"/>
        </row>
      </sheetData>
      <sheetData sheetId="36"/>
      <sheetData sheetId="37">
        <row r="4">
          <cell r="ED4">
            <v>3</v>
          </cell>
        </row>
        <row r="5">
          <cell r="ED5">
            <v>3</v>
          </cell>
        </row>
        <row r="8">
          <cell r="ED8"/>
        </row>
        <row r="9">
          <cell r="ED9"/>
        </row>
        <row r="15">
          <cell r="ED15"/>
        </row>
        <row r="16">
          <cell r="ED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</row>
        <row r="22">
          <cell r="ED22">
            <v>179</v>
          </cell>
        </row>
        <row r="23">
          <cell r="ED23">
            <v>171</v>
          </cell>
        </row>
        <row r="27">
          <cell r="ED27">
            <v>7</v>
          </cell>
        </row>
        <row r="28">
          <cell r="ED28">
            <v>2</v>
          </cell>
        </row>
        <row r="32">
          <cell r="ED32"/>
        </row>
        <row r="33">
          <cell r="ED33"/>
        </row>
        <row r="37">
          <cell r="ED37"/>
        </row>
        <row r="38">
          <cell r="ED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AJ57"/>
        </row>
        <row r="58">
          <cell r="AJ58"/>
        </row>
        <row r="70">
          <cell r="ED70">
            <v>70</v>
          </cell>
        </row>
        <row r="71">
          <cell r="ED71">
            <v>101</v>
          </cell>
        </row>
        <row r="73">
          <cell r="ED73"/>
        </row>
        <row r="74">
          <cell r="ED74"/>
        </row>
      </sheetData>
      <sheetData sheetId="38">
        <row r="4">
          <cell r="ED4">
            <v>6</v>
          </cell>
        </row>
        <row r="5">
          <cell r="ED5">
            <v>6</v>
          </cell>
        </row>
        <row r="8">
          <cell r="ED8"/>
        </row>
        <row r="9">
          <cell r="ED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</row>
        <row r="22">
          <cell r="ED22">
            <v>386</v>
          </cell>
        </row>
        <row r="23">
          <cell r="ED23">
            <v>379</v>
          </cell>
        </row>
        <row r="27">
          <cell r="ED27">
            <v>24</v>
          </cell>
        </row>
        <row r="28">
          <cell r="ED28">
            <v>14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AJ57"/>
        </row>
        <row r="58">
          <cell r="AJ58"/>
        </row>
      </sheetData>
      <sheetData sheetId="39"/>
      <sheetData sheetId="40">
        <row r="4">
          <cell r="ED4">
            <v>162</v>
          </cell>
        </row>
        <row r="5">
          <cell r="ED5">
            <v>162</v>
          </cell>
        </row>
        <row r="8">
          <cell r="ED8"/>
        </row>
        <row r="9">
          <cell r="ED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</row>
        <row r="22">
          <cell r="ED22">
            <v>10592</v>
          </cell>
        </row>
        <row r="23">
          <cell r="ED23">
            <v>9986</v>
          </cell>
        </row>
        <row r="27">
          <cell r="ED27">
            <v>458</v>
          </cell>
        </row>
        <row r="28">
          <cell r="ED28">
            <v>475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41">
        <row r="4">
          <cell r="ED4"/>
        </row>
        <row r="5">
          <cell r="ED5"/>
        </row>
        <row r="8">
          <cell r="ED8"/>
        </row>
        <row r="9">
          <cell r="ED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</row>
        <row r="22">
          <cell r="ED22"/>
        </row>
        <row r="23">
          <cell r="ED23"/>
        </row>
        <row r="27">
          <cell r="ED27"/>
        </row>
        <row r="28">
          <cell r="ED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AJ57"/>
        </row>
        <row r="58">
          <cell r="AJ58"/>
        </row>
      </sheetData>
      <sheetData sheetId="42"/>
      <sheetData sheetId="43">
        <row r="4">
          <cell r="ED4">
            <v>2133</v>
          </cell>
        </row>
        <row r="5">
          <cell r="ED5">
            <v>2134</v>
          </cell>
        </row>
        <row r="8">
          <cell r="ED8">
            <v>1</v>
          </cell>
        </row>
        <row r="9">
          <cell r="ED9">
            <v>4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</row>
        <row r="22">
          <cell r="ED22">
            <v>121650</v>
          </cell>
        </row>
        <row r="23">
          <cell r="ED23">
            <v>120172</v>
          </cell>
        </row>
        <row r="27">
          <cell r="ED27">
            <v>4828</v>
          </cell>
        </row>
        <row r="28">
          <cell r="ED28">
            <v>4888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  <row r="70">
          <cell r="ED70">
            <v>31125</v>
          </cell>
        </row>
        <row r="71">
          <cell r="ED71">
            <v>89047</v>
          </cell>
        </row>
        <row r="73">
          <cell r="ED73">
            <v>7040</v>
          </cell>
        </row>
        <row r="74">
          <cell r="ED74">
            <v>20141</v>
          </cell>
        </row>
      </sheetData>
      <sheetData sheetId="44"/>
      <sheetData sheetId="45">
        <row r="4">
          <cell r="ED4">
            <v>1</v>
          </cell>
        </row>
        <row r="5">
          <cell r="ED5">
            <v>1</v>
          </cell>
        </row>
        <row r="8">
          <cell r="ED8"/>
        </row>
        <row r="9">
          <cell r="ED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</row>
        <row r="22">
          <cell r="ED22">
            <v>56</v>
          </cell>
        </row>
        <row r="23">
          <cell r="ED23">
            <v>59</v>
          </cell>
        </row>
        <row r="27">
          <cell r="ED27"/>
        </row>
        <row r="28">
          <cell r="ED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46"/>
      <sheetData sheetId="47"/>
      <sheetData sheetId="48">
        <row r="4">
          <cell r="ED4">
            <v>2484</v>
          </cell>
        </row>
        <row r="5">
          <cell r="ED5">
            <v>2478</v>
          </cell>
        </row>
        <row r="8">
          <cell r="ED8"/>
        </row>
        <row r="9">
          <cell r="ED9">
            <v>6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</row>
        <row r="22">
          <cell r="ED22">
            <v>110914</v>
          </cell>
        </row>
        <row r="23">
          <cell r="ED23">
            <v>110558</v>
          </cell>
        </row>
        <row r="27">
          <cell r="ED27">
            <v>3887</v>
          </cell>
        </row>
        <row r="28">
          <cell r="ED28">
            <v>4099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  <row r="70">
          <cell r="ED70">
            <v>20122</v>
          </cell>
        </row>
        <row r="71">
          <cell r="ED71">
            <v>90436</v>
          </cell>
        </row>
        <row r="73">
          <cell r="ED73">
            <v>559</v>
          </cell>
        </row>
        <row r="74">
          <cell r="ED74">
            <v>2514</v>
          </cell>
        </row>
      </sheetData>
      <sheetData sheetId="49">
        <row r="4">
          <cell r="ED4">
            <v>155</v>
          </cell>
        </row>
        <row r="5">
          <cell r="ED5">
            <v>155</v>
          </cell>
        </row>
        <row r="8">
          <cell r="ED8"/>
        </row>
        <row r="9">
          <cell r="ED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</row>
        <row r="22">
          <cell r="ED22">
            <v>10041</v>
          </cell>
        </row>
        <row r="23">
          <cell r="ED23">
            <v>10042</v>
          </cell>
        </row>
        <row r="27">
          <cell r="ED27">
            <v>280</v>
          </cell>
        </row>
        <row r="28">
          <cell r="ED28">
            <v>245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  <row r="70">
          <cell r="ED70"/>
        </row>
        <row r="71">
          <cell r="ED71"/>
        </row>
        <row r="73">
          <cell r="ED73"/>
        </row>
        <row r="74">
          <cell r="ED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</row>
      </sheetData>
      <sheetData sheetId="51"/>
      <sheetData sheetId="52"/>
      <sheetData sheetId="53">
        <row r="4">
          <cell r="ED4">
            <v>86</v>
          </cell>
        </row>
        <row r="5">
          <cell r="ED5">
            <v>86</v>
          </cell>
        </row>
        <row r="8">
          <cell r="ED8"/>
        </row>
        <row r="9">
          <cell r="ED9"/>
        </row>
        <row r="15">
          <cell r="ED15"/>
        </row>
        <row r="16">
          <cell r="ED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</row>
        <row r="22">
          <cell r="ED22">
            <v>5466</v>
          </cell>
        </row>
        <row r="23">
          <cell r="ED23">
            <v>5451</v>
          </cell>
        </row>
        <row r="27">
          <cell r="ED27"/>
        </row>
        <row r="28">
          <cell r="ED28"/>
        </row>
        <row r="32">
          <cell r="ED32"/>
        </row>
        <row r="33">
          <cell r="ED33"/>
        </row>
        <row r="37">
          <cell r="ED37"/>
        </row>
        <row r="38">
          <cell r="ED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G58"/>
        </row>
      </sheetData>
      <sheetData sheetId="54">
        <row r="4">
          <cell r="ED4">
            <v>127</v>
          </cell>
        </row>
        <row r="5">
          <cell r="ED5">
            <v>125</v>
          </cell>
        </row>
        <row r="8">
          <cell r="ED8"/>
        </row>
        <row r="9">
          <cell r="ED9">
            <v>2</v>
          </cell>
        </row>
        <row r="15">
          <cell r="ED15"/>
        </row>
        <row r="16">
          <cell r="ED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</row>
        <row r="22">
          <cell r="ED22">
            <v>5884</v>
          </cell>
        </row>
        <row r="23">
          <cell r="ED23">
            <v>5614</v>
          </cell>
        </row>
        <row r="27">
          <cell r="ED27">
            <v>150</v>
          </cell>
        </row>
        <row r="28">
          <cell r="ED28">
            <v>169</v>
          </cell>
        </row>
        <row r="32">
          <cell r="ED32"/>
        </row>
        <row r="33">
          <cell r="ED33"/>
        </row>
        <row r="37">
          <cell r="ED37"/>
        </row>
        <row r="38">
          <cell r="ED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BH58"/>
        </row>
        <row r="70">
          <cell r="ED70">
            <v>1426</v>
          </cell>
        </row>
        <row r="71">
          <cell r="ED71">
            <v>4188</v>
          </cell>
        </row>
        <row r="73">
          <cell r="ED73"/>
        </row>
        <row r="74">
          <cell r="ED74"/>
        </row>
      </sheetData>
      <sheetData sheetId="55"/>
      <sheetData sheetId="56"/>
      <sheetData sheetId="57"/>
      <sheetData sheetId="58">
        <row r="4">
          <cell r="ED4"/>
        </row>
        <row r="5">
          <cell r="ED5"/>
        </row>
        <row r="15">
          <cell r="DX15"/>
          <cell r="DY15"/>
          <cell r="DZ15"/>
          <cell r="EA15"/>
          <cell r="EB15"/>
          <cell r="ED15"/>
        </row>
        <row r="16">
          <cell r="DX16"/>
          <cell r="DY16"/>
          <cell r="DZ16"/>
          <cell r="EA16"/>
          <cell r="EB16"/>
          <cell r="ED16"/>
        </row>
        <row r="22">
          <cell r="ED22"/>
        </row>
        <row r="23">
          <cell r="ED23"/>
        </row>
        <row r="32">
          <cell r="DX32"/>
          <cell r="DY32"/>
          <cell r="DZ32"/>
          <cell r="EA32"/>
          <cell r="EB32"/>
          <cell r="EC32"/>
          <cell r="ED32"/>
        </row>
        <row r="33">
          <cell r="DX33"/>
          <cell r="DY33"/>
          <cell r="DZ33"/>
          <cell r="EA33"/>
          <cell r="EB33"/>
          <cell r="EC33"/>
          <cell r="ED33"/>
        </row>
        <row r="37">
          <cell r="DX37"/>
          <cell r="DY37"/>
          <cell r="DZ37"/>
          <cell r="EA37"/>
          <cell r="EB37"/>
          <cell r="EC37"/>
          <cell r="ED37"/>
        </row>
        <row r="38">
          <cell r="DX38"/>
          <cell r="DY38"/>
          <cell r="DZ38"/>
          <cell r="EA38"/>
          <cell r="EB38"/>
          <cell r="EC38"/>
          <cell r="ED38"/>
        </row>
      </sheetData>
      <sheetData sheetId="59">
        <row r="4">
          <cell r="ED4"/>
        </row>
        <row r="5">
          <cell r="ED5"/>
        </row>
        <row r="15">
          <cell r="ED15"/>
        </row>
        <row r="16">
          <cell r="ED16"/>
        </row>
        <row r="22">
          <cell r="ED22"/>
        </row>
        <row r="23">
          <cell r="ED23"/>
        </row>
        <row r="32">
          <cell r="ED32"/>
        </row>
        <row r="33">
          <cell r="ED33"/>
        </row>
      </sheetData>
      <sheetData sheetId="60">
        <row r="15">
          <cell r="DX15"/>
          <cell r="DY15"/>
          <cell r="DZ15"/>
          <cell r="EA15"/>
          <cell r="EB15"/>
          <cell r="ED15"/>
        </row>
        <row r="16">
          <cell r="DX16"/>
          <cell r="DY16"/>
          <cell r="DZ16"/>
          <cell r="EA16"/>
          <cell r="EB16"/>
          <cell r="ED16"/>
        </row>
        <row r="32">
          <cell r="DX32"/>
          <cell r="DY32"/>
          <cell r="DZ32"/>
          <cell r="EA32"/>
          <cell r="EB32"/>
          <cell r="EC32"/>
          <cell r="ED32"/>
        </row>
        <row r="33">
          <cell r="DX33"/>
          <cell r="DY33"/>
          <cell r="DZ33"/>
          <cell r="EA33"/>
          <cell r="EB33"/>
          <cell r="EC33"/>
          <cell r="ED33"/>
        </row>
        <row r="37">
          <cell r="DX37"/>
          <cell r="DY37"/>
          <cell r="DZ37"/>
          <cell r="EA37"/>
          <cell r="EB37"/>
          <cell r="EC37"/>
          <cell r="ED37"/>
        </row>
        <row r="38">
          <cell r="DX38"/>
          <cell r="DY38"/>
          <cell r="DZ38"/>
          <cell r="EA38"/>
          <cell r="EB38"/>
          <cell r="EC38"/>
          <cell r="ED38"/>
        </row>
      </sheetData>
      <sheetData sheetId="61">
        <row r="4">
          <cell r="ED4">
            <v>5</v>
          </cell>
        </row>
        <row r="5">
          <cell r="ED5">
            <v>5</v>
          </cell>
        </row>
        <row r="15">
          <cell r="DX15"/>
          <cell r="DY15"/>
          <cell r="DZ15"/>
          <cell r="EA15"/>
          <cell r="EB15"/>
          <cell r="ED15"/>
        </row>
        <row r="16">
          <cell r="DX16"/>
          <cell r="DY16"/>
          <cell r="DZ16"/>
          <cell r="EA16"/>
          <cell r="EB16"/>
          <cell r="ED16"/>
        </row>
        <row r="22">
          <cell r="ED22">
            <v>318</v>
          </cell>
        </row>
        <row r="23">
          <cell r="ED23">
            <v>305</v>
          </cell>
        </row>
        <row r="32">
          <cell r="DX32"/>
          <cell r="DY32"/>
          <cell r="DZ32"/>
          <cell r="EA32"/>
          <cell r="EB32"/>
          <cell r="EC32"/>
          <cell r="ED32"/>
        </row>
        <row r="33">
          <cell r="DX33"/>
          <cell r="DY33"/>
          <cell r="DZ33"/>
          <cell r="EA33"/>
          <cell r="EB33"/>
          <cell r="EC33"/>
          <cell r="ED33"/>
        </row>
        <row r="37">
          <cell r="DX37"/>
          <cell r="DY37"/>
          <cell r="DZ37"/>
          <cell r="EA37"/>
          <cell r="EB37"/>
          <cell r="EC37"/>
          <cell r="ED37"/>
        </row>
        <row r="38">
          <cell r="DX38"/>
          <cell r="DY38"/>
          <cell r="DZ38"/>
          <cell r="EA38"/>
          <cell r="EB38"/>
          <cell r="EC38"/>
          <cell r="ED38"/>
        </row>
      </sheetData>
      <sheetData sheetId="62"/>
      <sheetData sheetId="63">
        <row r="4">
          <cell r="ED4"/>
        </row>
        <row r="5">
          <cell r="ED5"/>
        </row>
        <row r="8">
          <cell r="ED8"/>
        </row>
        <row r="9">
          <cell r="ED9"/>
        </row>
        <row r="47">
          <cell r="ED47"/>
        </row>
        <row r="48">
          <cell r="ED48"/>
        </row>
        <row r="52">
          <cell r="ED52"/>
        </row>
        <row r="53">
          <cell r="ED53"/>
        </row>
        <row r="57">
          <cell r="ED57"/>
        </row>
        <row r="58">
          <cell r="ED58"/>
        </row>
      </sheetData>
      <sheetData sheetId="64">
        <row r="4">
          <cell r="ED4">
            <v>23</v>
          </cell>
        </row>
        <row r="5">
          <cell r="ED5">
            <v>23</v>
          </cell>
        </row>
        <row r="47">
          <cell r="ED47">
            <v>692440</v>
          </cell>
        </row>
        <row r="48">
          <cell r="ED48"/>
        </row>
        <row r="52">
          <cell r="ED52">
            <v>454637</v>
          </cell>
        </row>
        <row r="53">
          <cell r="ED53"/>
        </row>
        <row r="57">
          <cell r="ED57"/>
        </row>
        <row r="58">
          <cell r="ED58"/>
        </row>
      </sheetData>
      <sheetData sheetId="65"/>
      <sheetData sheetId="66"/>
      <sheetData sheetId="67">
        <row r="15">
          <cell r="ED15">
            <v>22</v>
          </cell>
        </row>
        <row r="16">
          <cell r="ED16">
            <v>22</v>
          </cell>
        </row>
        <row r="47">
          <cell r="ED47">
            <v>18907</v>
          </cell>
        </row>
        <row r="48">
          <cell r="ED48"/>
        </row>
        <row r="52">
          <cell r="ED52">
            <v>66521</v>
          </cell>
        </row>
        <row r="53">
          <cell r="ED53"/>
        </row>
        <row r="57">
          <cell r="ED57"/>
        </row>
        <row r="58">
          <cell r="ED58"/>
        </row>
      </sheetData>
      <sheetData sheetId="68">
        <row r="4">
          <cell r="ED4">
            <v>130</v>
          </cell>
        </row>
        <row r="5">
          <cell r="ED5">
            <v>130</v>
          </cell>
        </row>
        <row r="15">
          <cell r="ED15"/>
        </row>
        <row r="47">
          <cell r="ED47">
            <v>5682729</v>
          </cell>
        </row>
        <row r="48">
          <cell r="ED48"/>
        </row>
        <row r="52">
          <cell r="ED52">
            <v>8416403</v>
          </cell>
        </row>
        <row r="53">
          <cell r="ED53"/>
        </row>
        <row r="57">
          <cell r="ED57"/>
        </row>
        <row r="58">
          <cell r="ED58"/>
        </row>
      </sheetData>
      <sheetData sheetId="69">
        <row r="4">
          <cell r="ED4">
            <v>86</v>
          </cell>
        </row>
        <row r="5">
          <cell r="ED5">
            <v>86</v>
          </cell>
        </row>
        <row r="15">
          <cell r="ED15">
            <v>19</v>
          </cell>
        </row>
        <row r="47">
          <cell r="ED47">
            <v>5183794</v>
          </cell>
        </row>
        <row r="48">
          <cell r="ED48">
            <v>85</v>
          </cell>
        </row>
        <row r="52">
          <cell r="ED52">
            <v>4340601</v>
          </cell>
        </row>
        <row r="53">
          <cell r="ED53">
            <v>142947</v>
          </cell>
        </row>
        <row r="57">
          <cell r="ED57"/>
        </row>
        <row r="58">
          <cell r="ED58"/>
        </row>
      </sheetData>
      <sheetData sheetId="70"/>
      <sheetData sheetId="71"/>
      <sheetData sheetId="72"/>
      <sheetData sheetId="73">
        <row r="4">
          <cell r="ED4">
            <v>242</v>
          </cell>
        </row>
        <row r="5">
          <cell r="ED5">
            <v>242</v>
          </cell>
        </row>
      </sheetData>
      <sheetData sheetId="74">
        <row r="4">
          <cell r="ED4">
            <v>22</v>
          </cell>
        </row>
        <row r="5">
          <cell r="ED5">
            <v>22</v>
          </cell>
        </row>
        <row r="47">
          <cell r="ED47">
            <v>26273</v>
          </cell>
        </row>
        <row r="48">
          <cell r="ED48"/>
        </row>
        <row r="52">
          <cell r="ED52">
            <v>35296</v>
          </cell>
        </row>
        <row r="53">
          <cell r="ED53"/>
        </row>
        <row r="57">
          <cell r="ED57"/>
        </row>
        <row r="58">
          <cell r="ED58"/>
        </row>
      </sheetData>
      <sheetData sheetId="75">
        <row r="4">
          <cell r="ED4">
            <v>22</v>
          </cell>
        </row>
        <row r="5">
          <cell r="ED5">
            <v>22</v>
          </cell>
        </row>
        <row r="47">
          <cell r="ED47">
            <v>50286</v>
          </cell>
        </row>
        <row r="48">
          <cell r="ED48"/>
        </row>
        <row r="52">
          <cell r="ED52">
            <v>138705</v>
          </cell>
        </row>
        <row r="53">
          <cell r="ED53"/>
        </row>
        <row r="57">
          <cell r="ED57"/>
        </row>
        <row r="58">
          <cell r="ED58"/>
        </row>
      </sheetData>
      <sheetData sheetId="76">
        <row r="4">
          <cell r="ED4">
            <v>24</v>
          </cell>
        </row>
        <row r="5">
          <cell r="ED5">
            <v>24</v>
          </cell>
        </row>
        <row r="8">
          <cell r="ED8"/>
        </row>
        <row r="9">
          <cell r="ED9"/>
        </row>
        <row r="47">
          <cell r="ED47">
            <v>34256</v>
          </cell>
        </row>
        <row r="48">
          <cell r="ED48"/>
        </row>
        <row r="52">
          <cell r="ED52">
            <v>33117</v>
          </cell>
        </row>
        <row r="53">
          <cell r="ED53"/>
        </row>
        <row r="57">
          <cell r="ED57"/>
        </row>
        <row r="58">
          <cell r="ED58"/>
        </row>
      </sheetData>
      <sheetData sheetId="77">
        <row r="4">
          <cell r="ED4">
            <v>70</v>
          </cell>
        </row>
        <row r="5">
          <cell r="ED5">
            <v>70</v>
          </cell>
        </row>
      </sheetData>
      <sheetData sheetId="78">
        <row r="4">
          <cell r="ED4">
            <v>1040</v>
          </cell>
        </row>
        <row r="5">
          <cell r="ED5">
            <v>1040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L25" sqref="L2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7">
        <v>42186</v>
      </c>
      <c r="B2" s="17"/>
      <c r="C2" s="17"/>
      <c r="D2" s="490" t="s">
        <v>209</v>
      </c>
      <c r="E2" s="490" t="s">
        <v>184</v>
      </c>
      <c r="F2" s="8"/>
      <c r="G2" s="8"/>
      <c r="H2" s="8"/>
      <c r="I2" s="8"/>
      <c r="J2" s="24"/>
    </row>
    <row r="3" spans="1:14" ht="13.5" thickBot="1" x14ac:dyDescent="0.25">
      <c r="A3" s="403"/>
      <c r="B3" s="8" t="s">
        <v>0</v>
      </c>
      <c r="C3" s="8" t="s">
        <v>1</v>
      </c>
      <c r="D3" s="491"/>
      <c r="E3" s="492"/>
      <c r="F3" s="8" t="s">
        <v>2</v>
      </c>
      <c r="G3" s="8" t="s">
        <v>206</v>
      </c>
      <c r="H3" s="8" t="s">
        <v>185</v>
      </c>
      <c r="I3" s="8" t="s">
        <v>2</v>
      </c>
      <c r="J3" s="20"/>
    </row>
    <row r="4" spans="1:14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4" x14ac:dyDescent="0.2">
      <c r="A5" s="69" t="s">
        <v>4</v>
      </c>
      <c r="B5" s="288">
        <f>'Major Airline Stats'!J4</f>
        <v>1345466</v>
      </c>
      <c r="C5" s="290">
        <f>'Major Airline Stats'!J5</f>
        <v>1344575</v>
      </c>
      <c r="D5" s="5">
        <f>'Major Airline Stats'!J6</f>
        <v>2690041</v>
      </c>
      <c r="E5" s="9">
        <f>'[1]Monthly Summary'!D5</f>
        <v>2463711</v>
      </c>
      <c r="F5" s="40">
        <f>(D5-E5)/E5</f>
        <v>9.1865482599217202E-2</v>
      </c>
      <c r="G5" s="9">
        <f>+D5+'[2]Monthly Summary'!$G$5</f>
        <v>15597087</v>
      </c>
      <c r="H5" s="9">
        <f>'[1]Monthly Summary'!G5</f>
        <v>14451329</v>
      </c>
      <c r="I5" s="83">
        <f>(G5-H5)/H5</f>
        <v>7.9283919146813417E-2</v>
      </c>
      <c r="J5" s="9"/>
    </row>
    <row r="6" spans="1:14" x14ac:dyDescent="0.2">
      <c r="A6" s="69" t="s">
        <v>5</v>
      </c>
      <c r="B6" s="288">
        <f>'Regional Major'!K5</f>
        <v>388831</v>
      </c>
      <c r="C6" s="288">
        <f>'Regional Major'!K6</f>
        <v>384166</v>
      </c>
      <c r="D6" s="5">
        <f>B6+C6</f>
        <v>772997</v>
      </c>
      <c r="E6" s="9">
        <f>'[1]Monthly Summary'!D6</f>
        <v>870558</v>
      </c>
      <c r="F6" s="40">
        <f>(D6-E6)/E6</f>
        <v>-0.1120672028744782</v>
      </c>
      <c r="G6" s="9">
        <f>+D6+'[2]Monthly Summary'!$G$6</f>
        <v>4994853</v>
      </c>
      <c r="H6" s="9">
        <f>'[1]Monthly Summary'!G6</f>
        <v>5593457</v>
      </c>
      <c r="I6" s="83">
        <f>(G6-H6)/H6</f>
        <v>-0.10701861120948994</v>
      </c>
      <c r="J6" s="20"/>
      <c r="K6" s="2"/>
    </row>
    <row r="7" spans="1:14" x14ac:dyDescent="0.2">
      <c r="A7" s="69" t="s">
        <v>6</v>
      </c>
      <c r="B7" s="9">
        <f>Charter!G5</f>
        <v>318</v>
      </c>
      <c r="C7" s="289">
        <f>Charter!G6</f>
        <v>305</v>
      </c>
      <c r="D7" s="5">
        <f>B7+C7</f>
        <v>623</v>
      </c>
      <c r="E7" s="9">
        <f>'[1]Monthly Summary'!D7</f>
        <v>162</v>
      </c>
      <c r="F7" s="40">
        <f>(D7-E7)/E7</f>
        <v>2.8456790123456792</v>
      </c>
      <c r="G7" s="9">
        <f>+D7+'[2]Monthly Summary'!$G$7</f>
        <v>3544</v>
      </c>
      <c r="H7" s="9">
        <f>'[1]Monthly Summary'!G7</f>
        <v>2832</v>
      </c>
      <c r="I7" s="83">
        <f>(G7-H7)/H7</f>
        <v>0.25141242937853109</v>
      </c>
      <c r="J7" s="20"/>
      <c r="K7" s="2"/>
    </row>
    <row r="8" spans="1:14" x14ac:dyDescent="0.2">
      <c r="A8" s="72" t="s">
        <v>7</v>
      </c>
      <c r="B8" s="145">
        <f>SUM(B5:B7)</f>
        <v>1734615</v>
      </c>
      <c r="C8" s="145">
        <f>SUM(C5:C7)</f>
        <v>1729046</v>
      </c>
      <c r="D8" s="145">
        <f>SUM(D5:D7)</f>
        <v>3463661</v>
      </c>
      <c r="E8" s="145">
        <f>SUM(E5:E7)</f>
        <v>3334431</v>
      </c>
      <c r="F8" s="89">
        <f>(D8-E8)/E8</f>
        <v>3.8756237570967883E-2</v>
      </c>
      <c r="G8" s="145">
        <f>SUM(G5:G7)</f>
        <v>20595484</v>
      </c>
      <c r="H8" s="145">
        <f>SUM(H5:H7)</f>
        <v>20047618</v>
      </c>
      <c r="I8" s="88">
        <f>(G8-H8)/H8</f>
        <v>2.7328234207176134E-2</v>
      </c>
      <c r="J8" s="20"/>
    </row>
    <row r="9" spans="1:14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4" x14ac:dyDescent="0.2">
      <c r="A10" s="69" t="s">
        <v>8</v>
      </c>
      <c r="B10" s="291">
        <f>'Major Airline Stats'!J9+'Regional Major'!K10</f>
        <v>52653</v>
      </c>
      <c r="C10" s="291">
        <f>'Major Airline Stats'!J10+'Regional Major'!K11</f>
        <v>52724</v>
      </c>
      <c r="D10" s="117">
        <f>SUM(B10:C10)</f>
        <v>105377</v>
      </c>
      <c r="E10" s="117">
        <f>'[1]Monthly Summary'!D10</f>
        <v>102373</v>
      </c>
      <c r="F10" s="90">
        <f>(D10-E10)/E10</f>
        <v>2.9343674601701619E-2</v>
      </c>
      <c r="G10" s="111">
        <f>+D10+'[2]Monthly Summary'!$G$10</f>
        <v>635222</v>
      </c>
      <c r="H10" s="117">
        <f>'[1]Monthly Summary'!G10</f>
        <v>629269</v>
      </c>
      <c r="I10" s="93">
        <f>(G10-H10)/H10</f>
        <v>9.4601831649103966E-3</v>
      </c>
      <c r="J10" s="253"/>
    </row>
    <row r="11" spans="1:14" ht="15.75" thickBot="1" x14ac:dyDescent="0.3">
      <c r="A11" s="71" t="s">
        <v>15</v>
      </c>
      <c r="B11" s="267">
        <f>B10+B8</f>
        <v>1787268</v>
      </c>
      <c r="C11" s="267">
        <f>C10+C8</f>
        <v>1781770</v>
      </c>
      <c r="D11" s="267">
        <f>D10+D8</f>
        <v>3569038</v>
      </c>
      <c r="E11" s="267">
        <f>E10+E8</f>
        <v>3436804</v>
      </c>
      <c r="F11" s="91">
        <f>(D11-E11)/E11</f>
        <v>3.8475863040196651E-2</v>
      </c>
      <c r="G11" s="267">
        <f>G8+G10</f>
        <v>21230706</v>
      </c>
      <c r="H11" s="267">
        <f>H8+H10</f>
        <v>20676887</v>
      </c>
      <c r="I11" s="94">
        <f>(G11-H11)/H11</f>
        <v>2.6784447774947942E-2</v>
      </c>
      <c r="J11" s="7"/>
    </row>
    <row r="12" spans="1:14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4" ht="16.5" customHeight="1" x14ac:dyDescent="0.2">
      <c r="B13" s="8"/>
      <c r="C13" s="8"/>
      <c r="D13" s="490" t="s">
        <v>209</v>
      </c>
      <c r="E13" s="490" t="s">
        <v>184</v>
      </c>
      <c r="F13" s="8"/>
      <c r="G13" s="8"/>
      <c r="H13" s="8"/>
      <c r="I13" s="8"/>
    </row>
    <row r="14" spans="1:14" ht="13.5" thickBot="1" x14ac:dyDescent="0.25">
      <c r="A14" s="16"/>
      <c r="B14" s="99" t="s">
        <v>14</v>
      </c>
      <c r="C14" s="99" t="s">
        <v>13</v>
      </c>
      <c r="D14" s="491"/>
      <c r="E14" s="492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4" x14ac:dyDescent="0.2">
      <c r="A16" s="70" t="s">
        <v>4</v>
      </c>
      <c r="B16" s="299">
        <f>'Major Airline Stats'!J15+'Major Airline Stats'!J19</f>
        <v>9847</v>
      </c>
      <c r="C16" s="299">
        <f>'Major Airline Stats'!J16+'Major Airline Stats'!J20</f>
        <v>9861</v>
      </c>
      <c r="D16" s="48">
        <f t="shared" ref="D16:D21" si="0">SUM(B16:C16)</f>
        <v>19708</v>
      </c>
      <c r="E16" s="9">
        <f>'[1]Monthly Summary'!D16</f>
        <v>17846</v>
      </c>
      <c r="F16" s="92">
        <f t="shared" ref="F16:F22" si="1">(D16-E16)/E16</f>
        <v>0.10433710635436512</v>
      </c>
      <c r="G16" s="48">
        <f>D16+'[2]Monthly Summary'!$G$16</f>
        <v>118232</v>
      </c>
      <c r="H16" s="9">
        <f>'[1]Monthly Summary'!G16</f>
        <v>110215</v>
      </c>
      <c r="I16" s="251">
        <f t="shared" ref="I16:I22" si="2">(G16-H16)/H16</f>
        <v>7.2739645238851333E-2</v>
      </c>
      <c r="N16" s="127"/>
    </row>
    <row r="17" spans="1:12" x14ac:dyDescent="0.2">
      <c r="A17" s="70" t="s">
        <v>5</v>
      </c>
      <c r="B17" s="48">
        <f>'Regional Major'!K15+'Regional Major'!K18</f>
        <v>7180</v>
      </c>
      <c r="C17" s="48">
        <f>'Regional Major'!K16+'Regional Major'!K19</f>
        <v>7182</v>
      </c>
      <c r="D17" s="48">
        <f>SUM(B17:C17)</f>
        <v>14362</v>
      </c>
      <c r="E17" s="9">
        <f>'[1]Monthly Summary'!D17</f>
        <v>16493</v>
      </c>
      <c r="F17" s="92">
        <f t="shared" si="1"/>
        <v>-0.12920632995816406</v>
      </c>
      <c r="G17" s="48">
        <f>D17+'[2]Monthly Summary'!$G$17</f>
        <v>96555</v>
      </c>
      <c r="H17" s="9">
        <f>'[1]Monthly Summary'!G17</f>
        <v>110955</v>
      </c>
      <c r="I17" s="251">
        <f t="shared" si="2"/>
        <v>-0.129782344193592</v>
      </c>
    </row>
    <row r="18" spans="1:12" x14ac:dyDescent="0.2">
      <c r="A18" s="70" t="s">
        <v>10</v>
      </c>
      <c r="B18" s="48">
        <f>Charter!G10</f>
        <v>5</v>
      </c>
      <c r="C18" s="48">
        <f>Charter!G11</f>
        <v>5</v>
      </c>
      <c r="D18" s="48">
        <f t="shared" si="0"/>
        <v>10</v>
      </c>
      <c r="E18" s="9">
        <f>'[1]Monthly Summary'!D18</f>
        <v>4</v>
      </c>
      <c r="F18" s="92">
        <f t="shared" si="1"/>
        <v>1.5</v>
      </c>
      <c r="G18" s="48">
        <f>D18+'[2]Monthly Summary'!$G$18</f>
        <v>55</v>
      </c>
      <c r="H18" s="9">
        <f>'[1]Monthly Summary'!G18</f>
        <v>49</v>
      </c>
      <c r="I18" s="251">
        <f t="shared" si="2"/>
        <v>0.12244897959183673</v>
      </c>
    </row>
    <row r="19" spans="1:12" x14ac:dyDescent="0.2">
      <c r="A19" s="70" t="s">
        <v>11</v>
      </c>
      <c r="B19" s="48">
        <f>Cargo!M4</f>
        <v>590</v>
      </c>
      <c r="C19" s="48">
        <f>Cargo!M5</f>
        <v>571</v>
      </c>
      <c r="D19" s="48">
        <f t="shared" si="0"/>
        <v>1161</v>
      </c>
      <c r="E19" s="9">
        <f>'[1]Monthly Summary'!D19</f>
        <v>982</v>
      </c>
      <c r="F19" s="92">
        <f t="shared" si="1"/>
        <v>0.18228105906313646</v>
      </c>
      <c r="G19" s="48">
        <f>D19+'[2]Monthly Summary'!$G$19</f>
        <v>7251</v>
      </c>
      <c r="H19" s="9">
        <f>'[1]Monthly Summary'!G19</f>
        <v>6960</v>
      </c>
      <c r="I19" s="251">
        <f t="shared" si="2"/>
        <v>4.1810344827586207E-2</v>
      </c>
    </row>
    <row r="20" spans="1:12" x14ac:dyDescent="0.2">
      <c r="A20" s="70" t="s">
        <v>172</v>
      </c>
      <c r="B20" s="48">
        <f>'[3]General Avation'!$ED$4</f>
        <v>1040</v>
      </c>
      <c r="C20" s="48">
        <f>'[3]General Avation'!$ED$5</f>
        <v>1040</v>
      </c>
      <c r="D20" s="48">
        <f t="shared" si="0"/>
        <v>2080</v>
      </c>
      <c r="E20" s="9">
        <f>'[1]Monthly Summary'!D20</f>
        <v>2247</v>
      </c>
      <c r="F20" s="92">
        <f t="shared" si="1"/>
        <v>-7.4321317311971516E-2</v>
      </c>
      <c r="G20" s="48">
        <f>D20+'[2]Monthly Summary'!$G$20</f>
        <v>12959</v>
      </c>
      <c r="H20" s="9">
        <f>'[1]Monthly Summary'!G20</f>
        <v>13998</v>
      </c>
      <c r="I20" s="251">
        <f t="shared" si="2"/>
        <v>-7.4224889269895705E-2</v>
      </c>
    </row>
    <row r="21" spans="1:12" ht="12.75" customHeight="1" x14ac:dyDescent="0.2">
      <c r="A21" s="70" t="s">
        <v>12</v>
      </c>
      <c r="B21" s="18">
        <f>'[3]Military '!$ED$4</f>
        <v>70</v>
      </c>
      <c r="C21" s="18">
        <f>'[3]Military '!$ED$5</f>
        <v>70</v>
      </c>
      <c r="D21" s="18">
        <f t="shared" si="0"/>
        <v>140</v>
      </c>
      <c r="E21" s="117">
        <f>'[1]Monthly Summary'!D21</f>
        <v>138</v>
      </c>
      <c r="F21" s="249">
        <f t="shared" si="1"/>
        <v>1.4492753623188406E-2</v>
      </c>
      <c r="G21" s="457">
        <f>D21+'[2]Monthly Summary'!$G$21</f>
        <v>794</v>
      </c>
      <c r="H21" s="117">
        <f>'[1]Monthly Summary'!G21</f>
        <v>778</v>
      </c>
      <c r="I21" s="252">
        <f t="shared" si="2"/>
        <v>2.056555269922879E-2</v>
      </c>
    </row>
    <row r="22" spans="1:12" ht="15.75" thickBot="1" x14ac:dyDescent="0.3">
      <c r="A22" s="71" t="s">
        <v>31</v>
      </c>
      <c r="B22" s="268">
        <f>SUM(B16:B21)</f>
        <v>18732</v>
      </c>
      <c r="C22" s="268">
        <f>SUM(C16:C21)</f>
        <v>18729</v>
      </c>
      <c r="D22" s="268">
        <f>SUM(D16:D21)</f>
        <v>37461</v>
      </c>
      <c r="E22" s="268">
        <f>SUM(E16:E21)</f>
        <v>37710</v>
      </c>
      <c r="F22" s="264">
        <f t="shared" si="1"/>
        <v>-6.6030230708035006E-3</v>
      </c>
      <c r="G22" s="268">
        <f>SUM(G16:G21)</f>
        <v>235846</v>
      </c>
      <c r="H22" s="268">
        <f>SUM(H16:H21)</f>
        <v>242955</v>
      </c>
      <c r="I22" s="265">
        <f t="shared" si="2"/>
        <v>-2.9260562655635817E-2</v>
      </c>
    </row>
    <row r="23" spans="1:12" x14ac:dyDescent="0.2">
      <c r="B23" s="127"/>
      <c r="C23" s="127"/>
      <c r="D23" s="7"/>
      <c r="L23" s="2"/>
    </row>
    <row r="24" spans="1:12" ht="12.75" customHeight="1" x14ac:dyDescent="0.2">
      <c r="B24" s="8"/>
      <c r="C24" s="8"/>
      <c r="D24" s="490" t="s">
        <v>209</v>
      </c>
      <c r="E24" s="490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91"/>
      <c r="E25" s="492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7" t="s">
        <v>141</v>
      </c>
      <c r="B26" s="52"/>
      <c r="C26" s="52"/>
      <c r="D26" s="52"/>
      <c r="E26" s="52"/>
      <c r="F26" s="52"/>
      <c r="G26" s="52"/>
      <c r="H26" s="52"/>
      <c r="I26" s="53"/>
    </row>
    <row r="27" spans="1:12" x14ac:dyDescent="0.2">
      <c r="A27" s="64" t="s">
        <v>17</v>
      </c>
      <c r="B27" s="22">
        <f>(Cargo!M16+'Major Airline Stats'!J28+'Regional Major'!K25)*0.00045359237</f>
        <v>7390.7129676172099</v>
      </c>
      <c r="C27" s="22">
        <f>(Cargo!M21+'Major Airline Stats'!J33+'Regional Major'!K30)*0.00045359237</f>
        <v>7291.0791355848596</v>
      </c>
      <c r="D27" s="22">
        <f>(SUM(B27:C27)+('Cargo Summary'!E17*0.00045359237))</f>
        <v>14681.792103202069</v>
      </c>
      <c r="E27" s="9">
        <f>'[1]Monthly Summary'!D27</f>
        <v>15504.676701237569</v>
      </c>
      <c r="F27" s="95">
        <f>(D27-E27)/E27</f>
        <v>-5.3073315483567488E-2</v>
      </c>
      <c r="G27" s="55">
        <f>+D27+'[2]Monthly Summary'!$G$27</f>
        <v>105313.42448318846</v>
      </c>
      <c r="H27" s="9">
        <f>'[1]Monthly Summary'!G27</f>
        <v>106117.84288224889</v>
      </c>
      <c r="I27" s="97">
        <f>(G27-H27)/H27</f>
        <v>-7.5804254705124337E-3</v>
      </c>
    </row>
    <row r="28" spans="1:12" x14ac:dyDescent="0.2">
      <c r="A28" s="64" t="s">
        <v>18</v>
      </c>
      <c r="B28" s="22">
        <f>(Cargo!M17+'Major Airline Stats'!J29+'Regional Major'!K26)*0.00045359237</f>
        <v>745.37291948042002</v>
      </c>
      <c r="C28" s="22">
        <f>(Cargo!M22+'Major Airline Stats'!J34+'Regional Major'!K31)*0.00045359237</f>
        <v>1209.17111780542</v>
      </c>
      <c r="D28" s="22">
        <f>SUM(B28:C28)</f>
        <v>1954.54403728584</v>
      </c>
      <c r="E28" s="9">
        <f>'[1]Monthly Summary'!D28</f>
        <v>762.45656891172996</v>
      </c>
      <c r="F28" s="95">
        <f>(D28-E28)/E28</f>
        <v>1.5634824552375501</v>
      </c>
      <c r="G28" s="22">
        <f>+D28+'[2]Monthly Summary'!$G$28</f>
        <v>8844.5998905918495</v>
      </c>
      <c r="H28" s="9">
        <f>'[1]Monthly Summary'!G28</f>
        <v>8639.2073687550401</v>
      </c>
      <c r="I28" s="97">
        <f>(G28-H28)/H28</f>
        <v>2.3774463682819054E-2</v>
      </c>
    </row>
    <row r="29" spans="1:12" ht="15.75" thickBot="1" x14ac:dyDescent="0.3">
      <c r="A29" s="65" t="s">
        <v>68</v>
      </c>
      <c r="B29" s="56">
        <f>SUM(B27:B28)</f>
        <v>8136.0858870976299</v>
      </c>
      <c r="C29" s="56">
        <f>SUM(C27:C28)</f>
        <v>8500.2502533902789</v>
      </c>
      <c r="D29" s="56">
        <f>SUM(D27:D28)</f>
        <v>16636.336140487911</v>
      </c>
      <c r="E29" s="56">
        <f>SUM(E27:E28)</f>
        <v>16267.133270149299</v>
      </c>
      <c r="F29" s="96">
        <f>(D29-E29)/E29</f>
        <v>2.2696246733043626E-2</v>
      </c>
      <c r="G29" s="56">
        <f>SUM(G27:G28)</f>
        <v>114158.02437378031</v>
      </c>
      <c r="H29" s="56">
        <f>SUM(H27:H28)</f>
        <v>114757.05025100394</v>
      </c>
      <c r="I29" s="98">
        <f>(G29-H29)/H29</f>
        <v>-5.2199483684305147E-3</v>
      </c>
    </row>
    <row r="30" spans="1:12" s="7" customFormat="1" ht="4.5" customHeight="1" thickBot="1" x14ac:dyDescent="0.3">
      <c r="A30" s="61"/>
      <c r="B30" s="405"/>
      <c r="C30" s="405"/>
      <c r="D30" s="405"/>
      <c r="E30" s="405"/>
      <c r="F30" s="269"/>
      <c r="G30" s="405"/>
      <c r="H30" s="405"/>
      <c r="I30" s="269"/>
    </row>
    <row r="31" spans="1:12" ht="13.5" thickBot="1" x14ac:dyDescent="0.25">
      <c r="B31" s="489" t="s">
        <v>164</v>
      </c>
      <c r="C31" s="488"/>
      <c r="D31" s="489" t="s">
        <v>176</v>
      </c>
      <c r="E31" s="488"/>
      <c r="F31" s="434"/>
      <c r="G31" s="436"/>
      <c r="H31" s="433"/>
      <c r="I31" s="433"/>
    </row>
    <row r="32" spans="1:12" x14ac:dyDescent="0.2">
      <c r="A32" s="409" t="s">
        <v>165</v>
      </c>
      <c r="B32" s="410">
        <f>C8-B33</f>
        <v>876527</v>
      </c>
      <c r="C32" s="411">
        <f>B32/C8</f>
        <v>0.50694255676251532</v>
      </c>
      <c r="D32" s="412">
        <f>+B32+'[2]Monthly Summary'!$D$32</f>
        <v>5676987</v>
      </c>
      <c r="E32" s="413">
        <f>+D32/D34</f>
        <v>0.55341316915794148</v>
      </c>
      <c r="G32" s="443"/>
      <c r="H32" s="433"/>
      <c r="I32" s="432"/>
    </row>
    <row r="33" spans="1:14" ht="13.5" thickBot="1" x14ac:dyDescent="0.25">
      <c r="A33" s="414" t="s">
        <v>166</v>
      </c>
      <c r="B33" s="415">
        <f>'Major Airline Stats'!J51+'Regional Major'!K45</f>
        <v>852519</v>
      </c>
      <c r="C33" s="416">
        <f>+B33/C8</f>
        <v>0.49305744323748474</v>
      </c>
      <c r="D33" s="417">
        <f>+B33+'[2]Monthly Summary'!$D$33</f>
        <v>4581148</v>
      </c>
      <c r="E33" s="418">
        <f>+D33/D34</f>
        <v>0.44658683084205852</v>
      </c>
      <c r="G33" s="433"/>
      <c r="H33" s="433"/>
      <c r="I33" s="432"/>
    </row>
    <row r="34" spans="1:14" ht="13.5" thickBot="1" x14ac:dyDescent="0.25">
      <c r="B34" s="303"/>
      <c r="D34" s="419">
        <f>SUM(D32:D33)</f>
        <v>10258135</v>
      </c>
    </row>
    <row r="35" spans="1:14" ht="13.5" thickBot="1" x14ac:dyDescent="0.25">
      <c r="B35" s="487" t="s">
        <v>216</v>
      </c>
      <c r="C35" s="488"/>
      <c r="D35" s="489" t="s">
        <v>210</v>
      </c>
      <c r="E35" s="488"/>
    </row>
    <row r="36" spans="1:14" x14ac:dyDescent="0.2">
      <c r="A36" s="409" t="s">
        <v>165</v>
      </c>
      <c r="B36" s="410">
        <f>'[1]Monthly Summary'!$B$32</f>
        <v>837456</v>
      </c>
      <c r="C36" s="411">
        <f>+B36/B38</f>
        <v>0.5031515463936107</v>
      </c>
      <c r="D36" s="412">
        <f>'[1]Monthly Summary'!$D$32</f>
        <v>5526601</v>
      </c>
      <c r="E36" s="413">
        <f>+D36/D38</f>
        <v>0.55390017170441186</v>
      </c>
    </row>
    <row r="37" spans="1:14" ht="13.5" thickBot="1" x14ac:dyDescent="0.25">
      <c r="A37" s="414" t="s">
        <v>166</v>
      </c>
      <c r="B37" s="415">
        <f>'[1]Monthly Summary'!$B$33</f>
        <v>826965</v>
      </c>
      <c r="C37" s="418">
        <f>+B37/B38</f>
        <v>0.49684845360638924</v>
      </c>
      <c r="D37" s="417">
        <f>'[1]Monthly Summary'!$D$33</f>
        <v>4451011</v>
      </c>
      <c r="E37" s="418">
        <f>+D37/D38</f>
        <v>0.44609982829558814</v>
      </c>
    </row>
    <row r="38" spans="1:14" x14ac:dyDescent="0.2">
      <c r="B38" s="442">
        <f>+SUM(B36:B37)</f>
        <v>1664421</v>
      </c>
      <c r="D38" s="419">
        <f>SUM(D36:D37)</f>
        <v>9977612</v>
      </c>
    </row>
    <row r="39" spans="1:14" x14ac:dyDescent="0.2">
      <c r="A39" s="429" t="s">
        <v>167</v>
      </c>
    </row>
    <row r="40" spans="1:14" x14ac:dyDescent="0.2">
      <c r="A40" s="218" t="s">
        <v>173</v>
      </c>
      <c r="I40" s="2"/>
    </row>
    <row r="41" spans="1:14" x14ac:dyDescent="0.2">
      <c r="N41" s="430"/>
    </row>
    <row r="42" spans="1:14" x14ac:dyDescent="0.2">
      <c r="G42" s="2"/>
      <c r="N42" s="430"/>
    </row>
    <row r="43" spans="1:14" x14ac:dyDescent="0.2">
      <c r="J43" s="2"/>
      <c r="N43" s="430"/>
    </row>
    <row r="44" spans="1:14" x14ac:dyDescent="0.2">
      <c r="N44" s="430"/>
    </row>
    <row r="45" spans="1:14" x14ac:dyDescent="0.2">
      <c r="J45" s="2"/>
      <c r="N45" s="430"/>
    </row>
    <row r="46" spans="1:14" x14ac:dyDescent="0.2">
      <c r="B46" s="2"/>
      <c r="F46" s="303"/>
    </row>
    <row r="47" spans="1:14" x14ac:dyDescent="0.2">
      <c r="N47" s="430"/>
    </row>
    <row r="51" spans="12:12" x14ac:dyDescent="0.2">
      <c r="L51" s="4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zoomScaleNormal="100" zoomScaleSheetLayoutView="85" workbookViewId="0">
      <selection activeCell="D29" sqref="D29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6" t="s">
        <v>149</v>
      </c>
      <c r="B1" s="527"/>
      <c r="C1" s="254" t="s">
        <v>202</v>
      </c>
      <c r="D1" s="255" t="s">
        <v>154</v>
      </c>
      <c r="E1" s="256" t="s">
        <v>189</v>
      </c>
      <c r="F1" s="258" t="s">
        <v>107</v>
      </c>
      <c r="G1" s="257" t="s">
        <v>203</v>
      </c>
      <c r="H1" s="256" t="s">
        <v>190</v>
      </c>
      <c r="I1" s="258" t="s">
        <v>108</v>
      </c>
      <c r="J1" s="533" t="s">
        <v>153</v>
      </c>
      <c r="K1" s="534"/>
      <c r="L1" s="259" t="s">
        <v>204</v>
      </c>
      <c r="M1" s="395" t="s">
        <v>156</v>
      </c>
      <c r="N1" s="260" t="s">
        <v>191</v>
      </c>
      <c r="O1" s="339" t="s">
        <v>108</v>
      </c>
      <c r="P1" s="261" t="s">
        <v>205</v>
      </c>
      <c r="Q1" s="261" t="s">
        <v>192</v>
      </c>
      <c r="R1" s="262" t="s">
        <v>108</v>
      </c>
    </row>
    <row r="2" spans="1:23" s="213" customFormat="1" ht="13.5" thickBot="1" x14ac:dyDescent="0.25">
      <c r="A2" s="528">
        <v>42186</v>
      </c>
      <c r="B2" s="529"/>
      <c r="C2" s="530" t="s">
        <v>9</v>
      </c>
      <c r="D2" s="531"/>
      <c r="E2" s="531"/>
      <c r="F2" s="531"/>
      <c r="G2" s="531"/>
      <c r="H2" s="531"/>
      <c r="I2" s="532"/>
      <c r="J2" s="528">
        <v>42186</v>
      </c>
      <c r="K2" s="529"/>
      <c r="L2" s="523" t="s">
        <v>155</v>
      </c>
      <c r="M2" s="524"/>
      <c r="N2" s="524"/>
      <c r="O2" s="524"/>
      <c r="P2" s="524"/>
      <c r="Q2" s="524"/>
      <c r="R2" s="525"/>
    </row>
    <row r="3" spans="1:23" x14ac:dyDescent="0.2">
      <c r="A3" s="340"/>
      <c r="B3" s="341"/>
      <c r="C3" s="342"/>
      <c r="D3" s="343"/>
      <c r="E3" s="344"/>
      <c r="F3" s="345"/>
      <c r="G3" s="437"/>
      <c r="H3" s="438"/>
      <c r="I3" s="345"/>
      <c r="J3" s="346"/>
      <c r="K3" s="341"/>
      <c r="L3" s="342"/>
      <c r="M3" s="343"/>
      <c r="N3" s="344"/>
      <c r="O3" s="345"/>
      <c r="P3" s="347"/>
      <c r="Q3" s="347"/>
      <c r="R3" s="341"/>
    </row>
    <row r="4" spans="1:23" ht="14.1" customHeight="1" x14ac:dyDescent="0.2">
      <c r="A4" s="348" t="s">
        <v>111</v>
      </c>
      <c r="B4" s="57"/>
      <c r="C4" s="349">
        <f>[3]AirCanada!$ED$19</f>
        <v>184</v>
      </c>
      <c r="D4" s="350">
        <f>C4/$C$56</f>
        <v>5.4006457293806868E-3</v>
      </c>
      <c r="E4" s="351">
        <f>[3]AirCanada!$DP$19</f>
        <v>181</v>
      </c>
      <c r="F4" s="352">
        <f>(C4-E4)/E4</f>
        <v>1.6574585635359115E-2</v>
      </c>
      <c r="G4" s="351">
        <f>SUM([3]AirCanada!$DX$19:$ED$19)</f>
        <v>1234</v>
      </c>
      <c r="H4" s="351">
        <f>SUM([3]AirCanada!$DJ$19:$DP$19)</f>
        <v>1184</v>
      </c>
      <c r="I4" s="352">
        <f>(G4-H4)/H4</f>
        <v>4.2229729729729729E-2</v>
      </c>
      <c r="J4" s="348" t="s">
        <v>111</v>
      </c>
      <c r="K4" s="57"/>
      <c r="L4" s="349">
        <f>[3]AirCanada!$ED$41</f>
        <v>9224</v>
      </c>
      <c r="M4" s="350">
        <f>L4/$L$56</f>
        <v>2.6635572581068991E-3</v>
      </c>
      <c r="N4" s="351">
        <f>[3]AirCanada!$DP$41</f>
        <v>8087</v>
      </c>
      <c r="O4" s="352">
        <f>(L4-N4)/N4</f>
        <v>0.14059601830097687</v>
      </c>
      <c r="P4" s="351">
        <f>SUM([3]AirCanada!$DX$41:$ED$41)</f>
        <v>52213</v>
      </c>
      <c r="Q4" s="351">
        <f>SUM([3]AirCanada!$DJ$41:$DP$41)</f>
        <v>43107</v>
      </c>
      <c r="R4" s="352">
        <f>(P4-Q4)/Q4</f>
        <v>0.21124179367620108</v>
      </c>
      <c r="T4" s="20"/>
    </row>
    <row r="5" spans="1:23" ht="14.1" customHeight="1" x14ac:dyDescent="0.2">
      <c r="A5" s="348"/>
      <c r="B5" s="57"/>
      <c r="C5" s="349"/>
      <c r="D5" s="350"/>
      <c r="E5" s="351"/>
      <c r="F5" s="352"/>
      <c r="G5" s="351"/>
      <c r="H5" s="351"/>
      <c r="I5" s="352"/>
      <c r="J5" s="348"/>
      <c r="K5" s="57"/>
      <c r="L5" s="353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8" t="s">
        <v>188</v>
      </c>
      <c r="B6" s="57"/>
      <c r="C6" s="349">
        <f>'[3]Air France'!$ED$19</f>
        <v>60</v>
      </c>
      <c r="D6" s="350">
        <f>C6/$C$56</f>
        <v>1.7610801291458762E-3</v>
      </c>
      <c r="E6" s="351">
        <f>'[3]Air France'!$DP$19</f>
        <v>62</v>
      </c>
      <c r="F6" s="352">
        <f>(C6-E6)/E6</f>
        <v>-3.2258064516129031E-2</v>
      </c>
      <c r="G6" s="351">
        <f>SUM('[3]Air France'!$DX$19:$ED$19)</f>
        <v>146</v>
      </c>
      <c r="H6" s="351">
        <f>SUM('[3]Air France'!$DJ$19:$DP$19)</f>
        <v>120</v>
      </c>
      <c r="I6" s="352">
        <f>(G6-H6)/H6</f>
        <v>0.21666666666666667</v>
      </c>
      <c r="J6" s="348" t="s">
        <v>188</v>
      </c>
      <c r="K6" s="57"/>
      <c r="L6" s="349">
        <f>'[3]Air France'!$ED$41</f>
        <v>14795</v>
      </c>
      <c r="M6" s="350">
        <f>L6/$L$56</f>
        <v>4.2722603679197285E-3</v>
      </c>
      <c r="N6" s="351">
        <f>'[3]Air France'!$DP$41</f>
        <v>13371</v>
      </c>
      <c r="O6" s="352">
        <f>(L6-N6)/N6</f>
        <v>0.1064991399296986</v>
      </c>
      <c r="P6" s="351">
        <f>SUM('[3]Air France'!$DX$41:$ED$41)</f>
        <v>35262</v>
      </c>
      <c r="Q6" s="351">
        <f>SUM('[3]Air France'!$DJ$41:$DP$41)</f>
        <v>27510</v>
      </c>
      <c r="R6" s="352">
        <f>(P6-Q6)/Q6</f>
        <v>0.28178844056706653</v>
      </c>
      <c r="T6" s="20"/>
    </row>
    <row r="7" spans="1:23" ht="14.1" customHeight="1" x14ac:dyDescent="0.2">
      <c r="A7" s="348"/>
      <c r="B7" s="57"/>
      <c r="C7" s="349"/>
      <c r="D7" s="350"/>
      <c r="E7" s="351"/>
      <c r="F7" s="352"/>
      <c r="G7" s="351"/>
      <c r="H7" s="351"/>
      <c r="I7" s="352"/>
      <c r="J7" s="348"/>
      <c r="K7" s="57"/>
      <c r="L7" s="353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8" t="s">
        <v>143</v>
      </c>
      <c r="B8" s="57"/>
      <c r="C8" s="349">
        <f>[3]Alaska!$ED$19</f>
        <v>122</v>
      </c>
      <c r="D8" s="350">
        <f>C8/$C$56</f>
        <v>3.5808629292632815E-3</v>
      </c>
      <c r="E8" s="351">
        <f>[3]Alaska!$DP$19</f>
        <v>124</v>
      </c>
      <c r="F8" s="352">
        <f>(C8-E8)/E8</f>
        <v>-1.6129032258064516E-2</v>
      </c>
      <c r="G8" s="351">
        <f>SUM([3]Alaska!$DX$19:$ED$19)</f>
        <v>728</v>
      </c>
      <c r="H8" s="351">
        <f>SUM([3]Alaska!$DJ$19:$DP$19)</f>
        <v>848</v>
      </c>
      <c r="I8" s="352">
        <f>(G8-H8)/H8</f>
        <v>-0.14150943396226415</v>
      </c>
      <c r="J8" s="348" t="s">
        <v>143</v>
      </c>
      <c r="K8" s="57"/>
      <c r="L8" s="349">
        <f>[3]Alaska!$ED$41</f>
        <v>19580</v>
      </c>
      <c r="M8" s="350">
        <f>L8/$L$56</f>
        <v>5.6539951337525032E-3</v>
      </c>
      <c r="N8" s="351">
        <f>[3]Alaska!$DP$41</f>
        <v>20051</v>
      </c>
      <c r="O8" s="352">
        <f>(L8-N8)/N8</f>
        <v>-2.3490100244376838E-2</v>
      </c>
      <c r="P8" s="351">
        <f>SUM([3]Alaska!$DX$41:$ED$41)</f>
        <v>105643</v>
      </c>
      <c r="Q8" s="351">
        <f>SUM([3]Alaska!$DJ$41:$DP$41)</f>
        <v>113316</v>
      </c>
      <c r="R8" s="352">
        <f>(P8-Q8)/Q8</f>
        <v>-6.7713297327826605E-2</v>
      </c>
      <c r="T8" s="20"/>
    </row>
    <row r="9" spans="1:23" ht="14.1" customHeight="1" x14ac:dyDescent="0.2">
      <c r="A9" s="348"/>
      <c r="B9" s="57"/>
      <c r="C9" s="349"/>
      <c r="D9" s="350"/>
      <c r="E9" s="354"/>
      <c r="F9" s="352"/>
      <c r="G9" s="354"/>
      <c r="H9" s="354"/>
      <c r="I9" s="352"/>
      <c r="J9" s="348"/>
      <c r="K9" s="57"/>
      <c r="L9" s="355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8" t="s">
        <v>19</v>
      </c>
      <c r="B10" s="356"/>
      <c r="C10" s="349">
        <f>SUM(C11:C12)</f>
        <v>836</v>
      </c>
      <c r="D10" s="350">
        <f>C10/$C$56</f>
        <v>2.4537716466099209E-2</v>
      </c>
      <c r="E10" s="354">
        <f>SUM(E11:E12)</f>
        <v>874</v>
      </c>
      <c r="F10" s="352">
        <f>(C10-E10)/E10</f>
        <v>-4.3478260869565216E-2</v>
      </c>
      <c r="G10" s="354">
        <f>SUM(G11:G12)</f>
        <v>5926</v>
      </c>
      <c r="H10" s="354">
        <f>SUM(H11:H12)</f>
        <v>6401</v>
      </c>
      <c r="I10" s="352">
        <f>(G10-H10)/H10</f>
        <v>-7.4207155132010622E-2</v>
      </c>
      <c r="J10" s="348" t="s">
        <v>19</v>
      </c>
      <c r="K10" s="356"/>
      <c r="L10" s="349">
        <f>SUM(L11:L12)</f>
        <v>100186</v>
      </c>
      <c r="M10" s="350">
        <f>L10/$L$56</f>
        <v>2.8930089707360992E-2</v>
      </c>
      <c r="N10" s="354">
        <f>SUM(N11:N12)</f>
        <v>85537</v>
      </c>
      <c r="O10" s="352">
        <f>(L10-N10)/N10</f>
        <v>0.17125922115575715</v>
      </c>
      <c r="P10" s="349">
        <f>SUM(P11:P12)</f>
        <v>670957</v>
      </c>
      <c r="Q10" s="354">
        <f>SUM(Q11:Q12)</f>
        <v>571807</v>
      </c>
      <c r="R10" s="352">
        <f>(P10-Q10)/Q10</f>
        <v>0.17339766739476781</v>
      </c>
      <c r="T10" s="20"/>
    </row>
    <row r="11" spans="1:23" ht="14.1" customHeight="1" x14ac:dyDescent="0.2">
      <c r="A11" s="54"/>
      <c r="B11" s="357" t="s">
        <v>19</v>
      </c>
      <c r="C11" s="353">
        <f>[3]American!$ED$19</f>
        <v>657</v>
      </c>
      <c r="D11" s="40">
        <f>C11/$C$56</f>
        <v>1.9283827414147345E-2</v>
      </c>
      <c r="E11" s="9">
        <f>[3]American!$DP$19</f>
        <v>416</v>
      </c>
      <c r="F11" s="84">
        <f>(C11-E11)/E11</f>
        <v>0.57932692307692313</v>
      </c>
      <c r="G11" s="9">
        <f>SUM([3]American!$DX$19:$ED$19)</f>
        <v>4758</v>
      </c>
      <c r="H11" s="9">
        <f>SUM([3]American!$DJ$19:$DP$19)</f>
        <v>3150</v>
      </c>
      <c r="I11" s="84">
        <f>(G11-H11)/H11</f>
        <v>0.51047619047619053</v>
      </c>
      <c r="J11" s="54"/>
      <c r="K11" s="357" t="s">
        <v>19</v>
      </c>
      <c r="L11" s="353">
        <f>[3]American!$ED$41</f>
        <v>87955</v>
      </c>
      <c r="M11" s="40">
        <f>L11/$L$56</f>
        <v>2.539821971344236E-2</v>
      </c>
      <c r="N11" s="9">
        <f>[3]American!$DP$41</f>
        <v>54047</v>
      </c>
      <c r="O11" s="84">
        <f>(L11-N11)/N11</f>
        <v>0.62737987307343612</v>
      </c>
      <c r="P11" s="9">
        <f>SUM([3]American!$DX$41:$ED$41)</f>
        <v>596877</v>
      </c>
      <c r="Q11" s="9">
        <f>SUM([3]American!$DJ$41:$DP$41)</f>
        <v>372607</v>
      </c>
      <c r="R11" s="84">
        <f>(P11-Q11)/Q11</f>
        <v>0.60189422098887035</v>
      </c>
      <c r="T11" s="20"/>
    </row>
    <row r="12" spans="1:23" ht="14.1" customHeight="1" x14ac:dyDescent="0.2">
      <c r="A12" s="54"/>
      <c r="B12" s="357" t="s">
        <v>174</v>
      </c>
      <c r="C12" s="353">
        <f>'[3]American Eagle'!$ED$19</f>
        <v>179</v>
      </c>
      <c r="D12" s="40">
        <f>C12/$C$56</f>
        <v>5.2538890519518641E-3</v>
      </c>
      <c r="E12" s="9">
        <f>'[3]American Eagle'!$DP$19</f>
        <v>458</v>
      </c>
      <c r="F12" s="84">
        <f>(C12-E12)/E12</f>
        <v>-0.60917030567685593</v>
      </c>
      <c r="G12" s="9">
        <f>SUM('[3]American Eagle'!$DX$19:$ED$19)</f>
        <v>1168</v>
      </c>
      <c r="H12" s="9">
        <f>SUM('[3]American Eagle'!$DJ$19:$DP$19)</f>
        <v>3251</v>
      </c>
      <c r="I12" s="84">
        <f>(G12-H12)/H12</f>
        <v>-0.64072593048292836</v>
      </c>
      <c r="J12" s="54"/>
      <c r="K12" s="357" t="s">
        <v>174</v>
      </c>
      <c r="L12" s="353">
        <f>'[3]American Eagle'!$ED$41</f>
        <v>12231</v>
      </c>
      <c r="M12" s="40">
        <f>L12/$L$56</f>
        <v>3.5318699939186344E-3</v>
      </c>
      <c r="N12" s="9">
        <f>'[3]American Eagle'!$DP$41</f>
        <v>31490</v>
      </c>
      <c r="O12" s="84">
        <f>(L12-N12)/N12</f>
        <v>-0.61159098126389333</v>
      </c>
      <c r="P12" s="9">
        <f>SUM('[3]American Eagle'!$DX$41:$ED$41)</f>
        <v>74080</v>
      </c>
      <c r="Q12" s="9">
        <f>SUM('[3]American Eagle'!$DJ$41:$DP$41)</f>
        <v>199200</v>
      </c>
      <c r="R12" s="84">
        <f>(P12-Q12)/Q12</f>
        <v>-0.62811244979919678</v>
      </c>
      <c r="T12" s="20"/>
    </row>
    <row r="13" spans="1:23" ht="14.1" customHeight="1" x14ac:dyDescent="0.2">
      <c r="A13" s="54"/>
      <c r="B13" s="358"/>
      <c r="C13" s="353"/>
      <c r="D13" s="40"/>
      <c r="E13" s="9"/>
      <c r="F13" s="84"/>
      <c r="G13" s="9"/>
      <c r="H13" s="9"/>
      <c r="I13" s="84"/>
      <c r="J13" s="54"/>
      <c r="K13" s="358"/>
      <c r="L13" s="353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8" t="s">
        <v>211</v>
      </c>
      <c r="B14" s="364"/>
      <c r="C14" s="349">
        <f>[3]Condor!$ED$19</f>
        <v>18</v>
      </c>
      <c r="D14" s="350">
        <f>C14/$C$56</f>
        <v>5.283240387437628E-4</v>
      </c>
      <c r="E14" s="351">
        <f>[3]Condor!$DP$19</f>
        <v>18</v>
      </c>
      <c r="F14" s="352">
        <f>(C14-E14)/E14</f>
        <v>0</v>
      </c>
      <c r="G14" s="351">
        <f>SUM([3]Condor!$DX$19:$ED$19)</f>
        <v>22</v>
      </c>
      <c r="H14" s="351">
        <f>SUM([3]Condor!$DJ$19:$DP$19)</f>
        <v>22</v>
      </c>
      <c r="I14" s="352">
        <f>(G14-H14)/H14</f>
        <v>0</v>
      </c>
      <c r="J14" s="348" t="s">
        <v>211</v>
      </c>
      <c r="K14" s="364"/>
      <c r="L14" s="349">
        <f>[3]Condor!$ED$41</f>
        <v>4134</v>
      </c>
      <c r="M14" s="350">
        <f>L14/$L$56</f>
        <v>1.1937495343683783E-3</v>
      </c>
      <c r="N14" s="351">
        <f>[3]Condor!$DP$41</f>
        <v>4219</v>
      </c>
      <c r="O14" s="352">
        <f>(L14-N14)/N14</f>
        <v>-2.0146954254562692E-2</v>
      </c>
      <c r="P14" s="351">
        <f>SUM([3]Condor!$DX$41:$ED$41)</f>
        <v>5094</v>
      </c>
      <c r="Q14" s="351">
        <f>SUM([3]Condor!$DJ$41:$DP$41)</f>
        <v>5129</v>
      </c>
      <c r="R14" s="352">
        <f>(P14-Q14)/Q14</f>
        <v>-6.8239422889452136E-3</v>
      </c>
      <c r="T14" s="323"/>
      <c r="U14"/>
    </row>
    <row r="15" spans="1:23" ht="14.1" customHeight="1" x14ac:dyDescent="0.2">
      <c r="A15" s="54"/>
      <c r="B15" s="358"/>
      <c r="C15" s="353"/>
      <c r="D15" s="40"/>
      <c r="E15" s="9"/>
      <c r="F15" s="84"/>
      <c r="G15" s="9"/>
      <c r="H15" s="9"/>
      <c r="I15" s="84"/>
      <c r="J15" s="54"/>
      <c r="K15" s="358"/>
      <c r="L15" s="353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8" t="s">
        <v>20</v>
      </c>
      <c r="B16" s="362"/>
      <c r="C16" s="349">
        <f>SUM(C17:C23)</f>
        <v>25974</v>
      </c>
      <c r="D16" s="350">
        <f t="shared" ref="D16:D23" si="0">C16/$C$56</f>
        <v>0.76237158790724979</v>
      </c>
      <c r="E16" s="351">
        <f>SUM(E17:E23)</f>
        <v>26312</v>
      </c>
      <c r="F16" s="352">
        <f t="shared" ref="F16:F23" si="1">(C16-E16)/E16</f>
        <v>-1.2845849802371542E-2</v>
      </c>
      <c r="G16" s="354">
        <f>SUM(G17:G23)</f>
        <v>162494</v>
      </c>
      <c r="H16" s="354">
        <f>SUM(H17:H23)</f>
        <v>167417</v>
      </c>
      <c r="I16" s="352">
        <f>(G16-H16)/H16</f>
        <v>-2.9405615917141033E-2</v>
      </c>
      <c r="J16" s="348" t="s">
        <v>20</v>
      </c>
      <c r="K16" s="362"/>
      <c r="L16" s="349">
        <f>SUM(L17:L23)</f>
        <v>2553415</v>
      </c>
      <c r="M16" s="350">
        <f t="shared" ref="M16:M23" si="2">L16/$L$56</f>
        <v>0.73733380921606984</v>
      </c>
      <c r="N16" s="351">
        <f>SUM(N17:N23)</f>
        <v>2505714</v>
      </c>
      <c r="O16" s="352">
        <f t="shared" ref="O16:O23" si="3">(L16-N16)/N16</f>
        <v>1.9036889285848266E-2</v>
      </c>
      <c r="P16" s="351">
        <f>SUM(P17:P23)</f>
        <v>15007007</v>
      </c>
      <c r="Q16" s="351">
        <f>SUM(Q17:Q23)</f>
        <v>14847532</v>
      </c>
      <c r="R16" s="352">
        <f t="shared" ref="R16:R23" si="4">(P16-Q16)/Q16</f>
        <v>1.0740842316419995E-2</v>
      </c>
      <c r="T16" s="441"/>
      <c r="V16" s="11"/>
      <c r="W16" s="11"/>
    </row>
    <row r="17" spans="1:23" ht="14.1" customHeight="1" x14ac:dyDescent="0.2">
      <c r="A17" s="54"/>
      <c r="B17" s="357" t="s">
        <v>20</v>
      </c>
      <c r="C17" s="353">
        <f>[3]Delta!$ED$19</f>
        <v>12961</v>
      </c>
      <c r="D17" s="40">
        <f t="shared" si="0"/>
        <v>0.380422659230995</v>
      </c>
      <c r="E17" s="9">
        <f>[3]Delta!$DP$19</f>
        <v>12265</v>
      </c>
      <c r="F17" s="84">
        <f t="shared" si="1"/>
        <v>5.6746840603342848E-2</v>
      </c>
      <c r="G17" s="9">
        <f>SUM([3]Delta!$DX$19:$ED$19)</f>
        <v>75589</v>
      </c>
      <c r="H17" s="9">
        <f>SUM([3]Delta!$DJ$19:$DP$19)</f>
        <v>71626</v>
      </c>
      <c r="I17" s="84">
        <f t="shared" ref="I17:I23" si="5">(G17-H17)/H17</f>
        <v>5.5329070449278192E-2</v>
      </c>
      <c r="J17" s="54"/>
      <c r="K17" s="357" t="s">
        <v>20</v>
      </c>
      <c r="L17" s="353">
        <f>[3]Delta!$ED$41</f>
        <v>1861325</v>
      </c>
      <c r="M17" s="40">
        <f t="shared" si="2"/>
        <v>0.53748327335709278</v>
      </c>
      <c r="N17" s="9">
        <f>[3]Delta!$DP$41</f>
        <v>1782310</v>
      </c>
      <c r="O17" s="84">
        <f t="shared" si="3"/>
        <v>4.433291627158014E-2</v>
      </c>
      <c r="P17" s="9">
        <f>SUM([3]Delta!$DX$41:$ED$41)</f>
        <v>10544717</v>
      </c>
      <c r="Q17" s="9">
        <f>SUM([3]Delta!$DJ$41:$DP$41)</f>
        <v>10097357</v>
      </c>
      <c r="R17" s="84">
        <f t="shared" si="4"/>
        <v>4.4304663091539694E-2</v>
      </c>
      <c r="T17" s="20"/>
      <c r="U17" s="9"/>
      <c r="V17" s="11"/>
      <c r="W17" s="11"/>
    </row>
    <row r="18" spans="1:23" ht="14.1" customHeight="1" x14ac:dyDescent="0.2">
      <c r="A18" s="54"/>
      <c r="B18" s="359" t="s">
        <v>132</v>
      </c>
      <c r="C18" s="353">
        <f>[3]Compass!$ED$19</f>
        <v>1515</v>
      </c>
      <c r="D18" s="40">
        <f t="shared" si="0"/>
        <v>4.4467273260933374E-2</v>
      </c>
      <c r="E18" s="9">
        <f>[3]Compass!$DP$19</f>
        <v>2160</v>
      </c>
      <c r="F18" s="84">
        <f t="shared" si="1"/>
        <v>-0.2986111111111111</v>
      </c>
      <c r="G18" s="9">
        <f>SUM([3]Compass!$DX$19:$ED$19)</f>
        <v>10000</v>
      </c>
      <c r="H18" s="9">
        <f>SUM([3]Compass!$DJ$19:$DP$19)</f>
        <v>16637</v>
      </c>
      <c r="I18" s="84">
        <f t="shared" si="5"/>
        <v>-0.39893009557011483</v>
      </c>
      <c r="J18" s="54"/>
      <c r="K18" s="359" t="s">
        <v>132</v>
      </c>
      <c r="L18" s="353">
        <f>[3]Compass!$ED$41</f>
        <v>92802</v>
      </c>
      <c r="M18" s="40">
        <f t="shared" si="2"/>
        <v>2.6797857834652695E-2</v>
      </c>
      <c r="N18" s="9">
        <f>[3]Compass!$DP$41</f>
        <v>139298</v>
      </c>
      <c r="O18" s="84">
        <f t="shared" si="3"/>
        <v>-0.33378799408462434</v>
      </c>
      <c r="P18" s="9">
        <f>SUM([3]Compass!$DX$41:$ED$41)</f>
        <v>598776</v>
      </c>
      <c r="Q18" s="9">
        <f>SUM([3]Compass!$DJ$41:$DP$41)</f>
        <v>1028152</v>
      </c>
      <c r="R18" s="84">
        <f t="shared" si="4"/>
        <v>-0.41761918471198811</v>
      </c>
      <c r="T18" s="9"/>
      <c r="U18" s="9"/>
      <c r="V18" s="11"/>
      <c r="W18" s="11"/>
    </row>
    <row r="19" spans="1:23" ht="14.1" customHeight="1" x14ac:dyDescent="0.2">
      <c r="A19" s="54"/>
      <c r="B19" s="358" t="s">
        <v>194</v>
      </c>
      <c r="C19" s="353">
        <f>[3]Pinnacle!$ED$19</f>
        <v>5066</v>
      </c>
      <c r="D19" s="40">
        <f t="shared" si="0"/>
        <v>0.14869386557088349</v>
      </c>
      <c r="E19" s="9">
        <f>[3]Pinnacle!$DP$19</f>
        <v>7039</v>
      </c>
      <c r="F19" s="84">
        <f t="shared" si="1"/>
        <v>-0.28029549651939195</v>
      </c>
      <c r="G19" s="9">
        <f>SUM([3]Pinnacle!$DX$19:$ED$19)</f>
        <v>35619</v>
      </c>
      <c r="H19" s="9">
        <f>SUM([3]Pinnacle!$DJ$19:$DP$19)</f>
        <v>49137</v>
      </c>
      <c r="I19" s="84">
        <f t="shared" si="5"/>
        <v>-0.27510837047438791</v>
      </c>
      <c r="J19" s="54"/>
      <c r="K19" s="358" t="s">
        <v>194</v>
      </c>
      <c r="L19" s="353">
        <f>[3]Pinnacle!$ED$41</f>
        <v>296670</v>
      </c>
      <c r="M19" s="40">
        <f t="shared" si="2"/>
        <v>8.5667555481632018E-2</v>
      </c>
      <c r="N19" s="9">
        <f>[3]Pinnacle!$DP$41</f>
        <v>348880</v>
      </c>
      <c r="O19" s="84">
        <f t="shared" si="3"/>
        <v>-0.14965030956202705</v>
      </c>
      <c r="P19" s="9">
        <f>SUM([3]Pinnacle!$DX$41:$ED$41)</f>
        <v>1970227</v>
      </c>
      <c r="Q19" s="9">
        <f>SUM([3]Pinnacle!$DJ$41:$DP$41)</f>
        <v>2353825</v>
      </c>
      <c r="R19" s="84">
        <f t="shared" si="4"/>
        <v>-0.16296793516935201</v>
      </c>
      <c r="T19" s="20"/>
      <c r="U19" s="11"/>
    </row>
    <row r="20" spans="1:23" ht="14.1" customHeight="1" x14ac:dyDescent="0.2">
      <c r="A20" s="54"/>
      <c r="B20" s="357" t="s">
        <v>180</v>
      </c>
      <c r="C20" s="353">
        <f>'[3]Go Jet'!$ED$19</f>
        <v>6</v>
      </c>
      <c r="D20" s="40">
        <f t="shared" si="0"/>
        <v>1.761080129145876E-4</v>
      </c>
      <c r="E20" s="9">
        <f>'[3]Go Jet'!$DP$19</f>
        <v>0</v>
      </c>
      <c r="F20" s="84" t="e">
        <f>(C20-E20)/E20</f>
        <v>#DIV/0!</v>
      </c>
      <c r="G20" s="9">
        <f>SUM('[3]Go Jet'!$DX$19:$ED$19)</f>
        <v>34</v>
      </c>
      <c r="H20" s="9">
        <f>SUM('[3]Go Jet'!$DJ$19:$DP$19)</f>
        <v>0</v>
      </c>
      <c r="I20" s="84" t="e">
        <f>(G20-H20)/H20</f>
        <v>#DIV/0!</v>
      </c>
      <c r="J20" s="54"/>
      <c r="K20" s="357" t="s">
        <v>180</v>
      </c>
      <c r="L20" s="353">
        <f>'[3]Go Jet'!$ED$41</f>
        <v>350</v>
      </c>
      <c r="M20" s="40">
        <f t="shared" si="2"/>
        <v>1.0106732874429908E-4</v>
      </c>
      <c r="N20" s="9">
        <f>'[3]Go Jet'!$DP$41</f>
        <v>0</v>
      </c>
      <c r="O20" s="84" t="e">
        <f>(L20-N20)/N20</f>
        <v>#DIV/0!</v>
      </c>
      <c r="P20" s="9">
        <f>SUM('[3]Go Jet'!$DX$41:$ED$41)</f>
        <v>1927</v>
      </c>
      <c r="Q20" s="9">
        <f>SUM('[3]Go Jet'!$DJ$41:$DP$41)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8" t="s">
        <v>110</v>
      </c>
      <c r="C21" s="353">
        <f>'[3]Sky West'!$ED$19</f>
        <v>5106</v>
      </c>
      <c r="D21" s="40">
        <f t="shared" si="0"/>
        <v>0.14986791899031407</v>
      </c>
      <c r="E21" s="9">
        <f>'[3]Sky West'!$DP$19</f>
        <v>3559</v>
      </c>
      <c r="F21" s="84">
        <f t="shared" si="1"/>
        <v>0.43467266085979206</v>
      </c>
      <c r="G21" s="9">
        <f>SUM('[3]Sky West'!$DX$19:$ED$19)</f>
        <v>30553</v>
      </c>
      <c r="H21" s="9">
        <f>SUM('[3]Sky West'!$DJ$19:$DP$19)</f>
        <v>21510</v>
      </c>
      <c r="I21" s="84">
        <f t="shared" si="5"/>
        <v>0.42040911204091119</v>
      </c>
      <c r="J21" s="54"/>
      <c r="K21" s="358" t="s">
        <v>110</v>
      </c>
      <c r="L21" s="353">
        <f>'[3]Sky West'!$ED$41</f>
        <v>227696</v>
      </c>
      <c r="M21" s="40">
        <f t="shared" si="2"/>
        <v>6.5750361387891212E-2</v>
      </c>
      <c r="N21" s="9">
        <f>'[3]Sky West'!$DP$41</f>
        <v>157143</v>
      </c>
      <c r="O21" s="84">
        <f t="shared" si="3"/>
        <v>0.44897322820615615</v>
      </c>
      <c r="P21" s="9">
        <f>SUM('[3]Sky West'!$DX$41:$ED$41)</f>
        <v>1297401</v>
      </c>
      <c r="Q21" s="9">
        <f>SUM('[3]Sky West'!$DJ$41:$DP$41)</f>
        <v>873551</v>
      </c>
      <c r="R21" s="84">
        <f t="shared" si="4"/>
        <v>0.48520349699101711</v>
      </c>
      <c r="T21" s="20"/>
    </row>
    <row r="22" spans="1:23" ht="14.1" customHeight="1" x14ac:dyDescent="0.2">
      <c r="A22" s="54"/>
      <c r="B22" s="358" t="s">
        <v>148</v>
      </c>
      <c r="C22" s="353">
        <f>'[3]Shuttle America_Delta'!$ED$19</f>
        <v>254</v>
      </c>
      <c r="D22" s="40">
        <f t="shared" si="0"/>
        <v>7.4552392133842094E-3</v>
      </c>
      <c r="E22" s="9">
        <f>'[3]Shuttle America_Delta'!$DP$19</f>
        <v>300</v>
      </c>
      <c r="F22" s="84">
        <f t="shared" si="1"/>
        <v>-0.15333333333333332</v>
      </c>
      <c r="G22" s="9">
        <f>SUM('[3]Shuttle America_Delta'!$DX$19:$ED$19)</f>
        <v>2213</v>
      </c>
      <c r="H22" s="9">
        <f>SUM('[3]Shuttle America_Delta'!$DJ$19:$DP$19)</f>
        <v>1766</v>
      </c>
      <c r="I22" s="84">
        <f t="shared" si="5"/>
        <v>0.25311438278595694</v>
      </c>
      <c r="J22" s="54"/>
      <c r="K22" s="358" t="s">
        <v>148</v>
      </c>
      <c r="L22" s="353">
        <f>'[3]Shuttle America_Delta'!$ED$41</f>
        <v>11498</v>
      </c>
      <c r="M22" s="40">
        <f t="shared" si="2"/>
        <v>3.3202061311484311E-3</v>
      </c>
      <c r="N22" s="9">
        <f>'[3]Shuttle America_Delta'!$DP$41</f>
        <v>19191</v>
      </c>
      <c r="O22" s="84">
        <f t="shared" si="3"/>
        <v>-0.40086498879683186</v>
      </c>
      <c r="P22" s="9">
        <f>SUM('[3]Shuttle America_Delta'!$DX$41:$ED$41)</f>
        <v>115280</v>
      </c>
      <c r="Q22" s="9">
        <f>SUM('[3]Shuttle America_Delta'!$DJ$41:$DP$41)</f>
        <v>107230</v>
      </c>
      <c r="R22" s="84">
        <f t="shared" si="4"/>
        <v>7.5072274550032639E-2</v>
      </c>
      <c r="T22" s="20"/>
    </row>
    <row r="23" spans="1:23" ht="14.1" customHeight="1" x14ac:dyDescent="0.2">
      <c r="A23" s="54"/>
      <c r="B23" s="363" t="s">
        <v>55</v>
      </c>
      <c r="C23" s="353">
        <f>'[3]Atlantic Southeast'!$ED$19</f>
        <v>1066</v>
      </c>
      <c r="D23" s="40">
        <f t="shared" si="0"/>
        <v>3.1288523627825068E-2</v>
      </c>
      <c r="E23" s="9">
        <f>'[3]Atlantic Southeast'!$DP$19</f>
        <v>989</v>
      </c>
      <c r="F23" s="84">
        <f t="shared" si="1"/>
        <v>7.785642062689585E-2</v>
      </c>
      <c r="G23" s="9">
        <f>SUM('[3]Atlantic Southeast'!$DX$19:$ED$19)</f>
        <v>8486</v>
      </c>
      <c r="H23" s="9">
        <f>SUM('[3]Atlantic Southeast'!$DJ$19:$DP$19)</f>
        <v>6741</v>
      </c>
      <c r="I23" s="84">
        <f t="shared" si="5"/>
        <v>0.25886367007862338</v>
      </c>
      <c r="J23" s="54"/>
      <c r="K23" s="363" t="s">
        <v>55</v>
      </c>
      <c r="L23" s="353">
        <f>'[3]Atlantic Southeast'!$ED$41</f>
        <v>63074</v>
      </c>
      <c r="M23" s="40">
        <f t="shared" si="2"/>
        <v>1.8213487694908343E-2</v>
      </c>
      <c r="N23" s="9">
        <f>'[3]Atlantic Southeast'!$DP$41</f>
        <v>58892</v>
      </c>
      <c r="O23" s="84">
        <f t="shared" si="3"/>
        <v>7.1011342796984317E-2</v>
      </c>
      <c r="P23" s="9">
        <f>SUM('[3]Atlantic Southeast'!$DX$41:$ED$41)</f>
        <v>478679</v>
      </c>
      <c r="Q23" s="9">
        <f>SUM('[3]Atlantic Southeast'!$DJ$41:$DP$41)</f>
        <v>387417</v>
      </c>
      <c r="R23" s="84">
        <f t="shared" si="4"/>
        <v>0.23556529527614947</v>
      </c>
      <c r="T23" s="321"/>
    </row>
    <row r="24" spans="1:23" ht="14.1" customHeight="1" x14ac:dyDescent="0.2">
      <c r="A24" s="54"/>
      <c r="B24" s="363"/>
      <c r="C24" s="353"/>
      <c r="D24" s="40"/>
      <c r="E24" s="5"/>
      <c r="F24" s="84"/>
      <c r="G24" s="9"/>
      <c r="H24" s="9"/>
      <c r="I24" s="84"/>
      <c r="J24" s="54"/>
      <c r="K24" s="363"/>
      <c r="L24" s="353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8" t="s">
        <v>51</v>
      </c>
      <c r="B25" s="364"/>
      <c r="C25" s="349">
        <f>[3]Frontier!$ED$19</f>
        <v>403</v>
      </c>
      <c r="D25" s="350">
        <f>C25/$C$56</f>
        <v>1.1828588200763135E-2</v>
      </c>
      <c r="E25" s="351">
        <f>[3]Frontier!$DP$19</f>
        <v>302</v>
      </c>
      <c r="F25" s="352">
        <f>(C25-E25)/E25</f>
        <v>0.33443708609271522</v>
      </c>
      <c r="G25" s="351">
        <f>SUM([3]Frontier!$DX$19:$ED$19)</f>
        <v>1827</v>
      </c>
      <c r="H25" s="351">
        <f>SUM([3]Frontier!$DJ$19:$DP$19)</f>
        <v>1601</v>
      </c>
      <c r="I25" s="352">
        <f>(G25-H25)/H25</f>
        <v>0.14116177389131793</v>
      </c>
      <c r="J25" s="348" t="s">
        <v>51</v>
      </c>
      <c r="K25" s="364"/>
      <c r="L25" s="349">
        <f>[3]Frontier!$ED$41</f>
        <v>54276</v>
      </c>
      <c r="M25" s="350">
        <f>L25/$L$56</f>
        <v>1.5672943814073078E-2</v>
      </c>
      <c r="N25" s="351">
        <f>[3]Frontier!$DP$41</f>
        <v>44090</v>
      </c>
      <c r="O25" s="352">
        <f>(L25-N25)/N25</f>
        <v>0.23102744386482196</v>
      </c>
      <c r="P25" s="351">
        <f>SUM([3]Frontier!$DX$41:$ED$41)</f>
        <v>240493</v>
      </c>
      <c r="Q25" s="351">
        <f>SUM([3]Frontier!$DJ$41:$DP$41)</f>
        <v>229245</v>
      </c>
      <c r="R25" s="352">
        <f>(P25-Q25)/Q25</f>
        <v>4.9065410368819388E-2</v>
      </c>
      <c r="T25" s="323"/>
      <c r="U25"/>
    </row>
    <row r="26" spans="1:23" s="7" customFormat="1" ht="14.1" customHeight="1" x14ac:dyDescent="0.2">
      <c r="A26" s="348"/>
      <c r="B26" s="364"/>
      <c r="C26" s="349"/>
      <c r="D26" s="350"/>
      <c r="E26" s="174"/>
      <c r="F26" s="352"/>
      <c r="G26" s="351"/>
      <c r="H26" s="351"/>
      <c r="I26" s="352"/>
      <c r="J26" s="348"/>
      <c r="K26" s="364"/>
      <c r="L26" s="353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8" t="s">
        <v>179</v>
      </c>
      <c r="B27" s="364"/>
      <c r="C27" s="349">
        <f>'[3]Great Lakes'!$ED$19</f>
        <v>247</v>
      </c>
      <c r="D27" s="350">
        <f>C27/$C$56</f>
        <v>7.2497798649838567E-3</v>
      </c>
      <c r="E27" s="351">
        <f>'[3]Great Lakes'!$DP$19</f>
        <v>126</v>
      </c>
      <c r="F27" s="352">
        <f>(C27-E27)/E27</f>
        <v>0.96031746031746035</v>
      </c>
      <c r="G27" s="351">
        <f>SUM('[3]Great Lakes'!$DX$19:$ED$19)</f>
        <v>1484</v>
      </c>
      <c r="H27" s="351">
        <f>SUM('[3]Great Lakes'!$DJ$19:$DP$19)</f>
        <v>1156</v>
      </c>
      <c r="I27" s="352">
        <f>(G27-H27)/H27</f>
        <v>0.2837370242214533</v>
      </c>
      <c r="J27" s="348" t="s">
        <v>179</v>
      </c>
      <c r="K27" s="364"/>
      <c r="L27" s="349">
        <f>'[3]Great Lakes'!$ED$41</f>
        <v>849</v>
      </c>
      <c r="M27" s="350">
        <f>L27/$L$56</f>
        <v>2.4516046315402833E-4</v>
      </c>
      <c r="N27" s="351">
        <f>'[3]Great Lakes'!$DP$41</f>
        <v>700</v>
      </c>
      <c r="O27" s="352">
        <f>(L27-N27)/N27</f>
        <v>0.21285714285714286</v>
      </c>
      <c r="P27" s="351">
        <f>SUM('[3]Great Lakes'!$DX$41:$ED$41)</f>
        <v>5025</v>
      </c>
      <c r="Q27" s="351">
        <f>SUM('[3]Great Lakes'!$DJ$41:$DP$41)</f>
        <v>7345</v>
      </c>
      <c r="R27" s="352">
        <f>(P27-Q27)/Q27</f>
        <v>-0.31586113002042204</v>
      </c>
      <c r="T27" s="323"/>
    </row>
    <row r="28" spans="1:23" s="7" customFormat="1" ht="14.1" customHeight="1" x14ac:dyDescent="0.2">
      <c r="A28" s="348"/>
      <c r="B28" s="364"/>
      <c r="C28" s="349"/>
      <c r="D28" s="350"/>
      <c r="E28" s="174"/>
      <c r="F28" s="352"/>
      <c r="G28" s="351"/>
      <c r="H28" s="351"/>
      <c r="I28" s="352"/>
      <c r="J28" s="348"/>
      <c r="K28" s="364"/>
      <c r="L28" s="353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8" t="s">
        <v>52</v>
      </c>
      <c r="B29" s="364"/>
      <c r="C29" s="349">
        <f>[3]Icelandair!$ED$19</f>
        <v>62</v>
      </c>
      <c r="D29" s="350">
        <f>C29/$C$56</f>
        <v>1.8197828001174053E-3</v>
      </c>
      <c r="E29" s="351">
        <f>[3]Icelandair!$DP$19</f>
        <v>62</v>
      </c>
      <c r="F29" s="352">
        <f>(C29-E29)/E29</f>
        <v>0</v>
      </c>
      <c r="G29" s="351">
        <f>SUM([3]Icelandair!$DX$19:$ED$19)</f>
        <v>152</v>
      </c>
      <c r="H29" s="351">
        <f>SUM([3]Icelandair!$DJ$19:$DP$19)</f>
        <v>146</v>
      </c>
      <c r="I29" s="352">
        <f>(G29-H29)/H29</f>
        <v>4.1095890410958902E-2</v>
      </c>
      <c r="J29" s="348" t="s">
        <v>52</v>
      </c>
      <c r="K29" s="364"/>
      <c r="L29" s="349">
        <f>[3]Icelandair!$ED$41</f>
        <v>10476</v>
      </c>
      <c r="M29" s="350">
        <f>L29/$L$56</f>
        <v>3.0250895312150775E-3</v>
      </c>
      <c r="N29" s="351">
        <f>[3]Icelandair!$DP$41</f>
        <v>10031</v>
      </c>
      <c r="O29" s="352">
        <f>(L29-N29)/N29</f>
        <v>4.4362476323397466E-2</v>
      </c>
      <c r="P29" s="351">
        <f>SUM([3]Icelandair!$DX$41:$ED$41)</f>
        <v>24445</v>
      </c>
      <c r="Q29" s="351">
        <f>SUM([3]Icelandair!$DJ$41:$DP$41)</f>
        <v>22936</v>
      </c>
      <c r="R29" s="352">
        <f>(P29-Q29)/Q29</f>
        <v>6.579176839902337E-2</v>
      </c>
      <c r="T29" s="20"/>
    </row>
    <row r="30" spans="1:23" s="7" customFormat="1" ht="14.1" customHeight="1" x14ac:dyDescent="0.2">
      <c r="A30" s="348"/>
      <c r="B30" s="364"/>
      <c r="C30" s="349"/>
      <c r="D30" s="350"/>
      <c r="E30" s="174"/>
      <c r="F30" s="352"/>
      <c r="G30" s="351"/>
      <c r="H30" s="351"/>
      <c r="I30" s="352"/>
      <c r="J30" s="348"/>
      <c r="K30" s="364"/>
      <c r="L30" s="353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60" t="s">
        <v>145</v>
      </c>
      <c r="B31" s="57"/>
      <c r="C31" s="349">
        <f>SUM(C32:C33)</f>
        <v>1479</v>
      </c>
      <c r="D31" s="350">
        <f>C31/$C$56</f>
        <v>4.341062518344585E-2</v>
      </c>
      <c r="E31" s="351">
        <f>SUM(E32:E33)</f>
        <v>1524</v>
      </c>
      <c r="F31" s="352">
        <f>(C31-E31)/E31</f>
        <v>-2.952755905511811E-2</v>
      </c>
      <c r="G31" s="349">
        <f>SUM(G32:G33)</f>
        <v>9095</v>
      </c>
      <c r="H31" s="351">
        <f>SUM(H32:H33)</f>
        <v>10039</v>
      </c>
      <c r="I31" s="352">
        <f>(G31-H31)/H31</f>
        <v>-9.403327024604044E-2</v>
      </c>
      <c r="J31" s="348" t="s">
        <v>145</v>
      </c>
      <c r="K31" s="57"/>
      <c r="L31" s="349">
        <f>SUM(L32:L33)</f>
        <v>180015</v>
      </c>
      <c r="M31" s="350">
        <f>L31/$L$56</f>
        <v>5.1981814811157143E-2</v>
      </c>
      <c r="N31" s="351">
        <f>SUM(N32:N33)</f>
        <v>187500</v>
      </c>
      <c r="O31" s="352">
        <f>(L31-N31)/N31</f>
        <v>-3.9919999999999997E-2</v>
      </c>
      <c r="P31" s="349">
        <f>SUM(P32:P33)</f>
        <v>1081059</v>
      </c>
      <c r="Q31" s="351">
        <f>SUM(Q32:Q33)</f>
        <v>1103642</v>
      </c>
      <c r="R31" s="352">
        <f>(P31-Q31)/Q31</f>
        <v>-2.0462251345998068E-2</v>
      </c>
      <c r="T31" s="20"/>
    </row>
    <row r="32" spans="1:23" ht="14.1" customHeight="1" x14ac:dyDescent="0.2">
      <c r="A32" s="360"/>
      <c r="B32" s="57" t="s">
        <v>145</v>
      </c>
      <c r="C32" s="453">
        <f>[3]Southwest!$ED$19</f>
        <v>1479</v>
      </c>
      <c r="D32" s="454">
        <f>C32/$C$56</f>
        <v>4.341062518344585E-2</v>
      </c>
      <c r="E32" s="290">
        <f>[3]Southwest!$DP$19</f>
        <v>1340</v>
      </c>
      <c r="F32" s="455">
        <f>(C32-E32)/E32</f>
        <v>0.10373134328358209</v>
      </c>
      <c r="G32" s="290">
        <f>SUM([3]Southwest!$DX$19:$ED$19)</f>
        <v>9095</v>
      </c>
      <c r="H32" s="290">
        <f>SUM([3]Southwest!$DJ$19:$DP$19)</f>
        <v>8537</v>
      </c>
      <c r="I32" s="455">
        <f>(G32-H32)/H32</f>
        <v>6.5362539533794076E-2</v>
      </c>
      <c r="J32" s="348"/>
      <c r="K32" s="57" t="s">
        <v>145</v>
      </c>
      <c r="L32" s="453">
        <f>[3]Southwest!$ED$41</f>
        <v>180015</v>
      </c>
      <c r="M32" s="454">
        <f>L32/$L$56</f>
        <v>5.1981814811157143E-2</v>
      </c>
      <c r="N32" s="290">
        <f>[3]Southwest!$DP$41</f>
        <v>167382</v>
      </c>
      <c r="O32" s="455">
        <f>(L32-N32)/N32</f>
        <v>7.5474065311682256E-2</v>
      </c>
      <c r="P32" s="290">
        <f>SUM([3]Southwest!$DX$41:$ED$41)</f>
        <v>1081059</v>
      </c>
      <c r="Q32" s="290">
        <f>SUM([3]Southwest!$DJ$41:$DP$41)</f>
        <v>953206</v>
      </c>
      <c r="R32" s="455">
        <f>(P32-Q32)/Q32</f>
        <v>0.13412945365429929</v>
      </c>
      <c r="T32" s="20"/>
    </row>
    <row r="33" spans="1:21" ht="14.1" customHeight="1" x14ac:dyDescent="0.2">
      <c r="A33" s="360"/>
      <c r="B33" s="57" t="s">
        <v>195</v>
      </c>
      <c r="C33" s="453">
        <f>[3]AirTran!$ED$19</f>
        <v>0</v>
      </c>
      <c r="D33" s="454">
        <f>C33/$C$56</f>
        <v>0</v>
      </c>
      <c r="E33" s="290">
        <f>[3]AirTran!$DP$19</f>
        <v>184</v>
      </c>
      <c r="F33" s="455">
        <f>(C33-E33)/E33</f>
        <v>-1</v>
      </c>
      <c r="G33" s="290">
        <f>SUM([3]AirTran!$DX$19:$ED$19)</f>
        <v>0</v>
      </c>
      <c r="H33" s="290">
        <f>SUM([3]AirTran!$DJ$19:$DP$19)</f>
        <v>1502</v>
      </c>
      <c r="I33" s="455">
        <f>(G33-H33)/H33</f>
        <v>-1</v>
      </c>
      <c r="J33" s="348"/>
      <c r="K33" s="57" t="s">
        <v>195</v>
      </c>
      <c r="L33" s="453">
        <f>[3]AirTran!$ED$41</f>
        <v>0</v>
      </c>
      <c r="M33" s="454">
        <f>L33/$L$56</f>
        <v>0</v>
      </c>
      <c r="N33" s="290">
        <f>[3]AirTran!$DP$41</f>
        <v>20118</v>
      </c>
      <c r="O33" s="455">
        <f>(L33-N33)/N33</f>
        <v>-1</v>
      </c>
      <c r="P33" s="290">
        <f>SUM([3]AirTran!$DX$41:$ED$41)</f>
        <v>0</v>
      </c>
      <c r="Q33" s="290">
        <f>SUM([3]AirTran!$DJ$41:$DP$41)</f>
        <v>150436</v>
      </c>
      <c r="R33" s="455">
        <f>(P33-Q33)/Q33</f>
        <v>-1</v>
      </c>
      <c r="T33" s="20"/>
    </row>
    <row r="34" spans="1:21" ht="14.1" customHeight="1" x14ac:dyDescent="0.2">
      <c r="A34" s="348"/>
      <c r="B34" s="57"/>
      <c r="C34" s="349"/>
      <c r="D34" s="350"/>
      <c r="E34" s="174"/>
      <c r="F34" s="352"/>
      <c r="G34" s="351"/>
      <c r="H34" s="351"/>
      <c r="I34" s="352"/>
      <c r="J34" s="348"/>
      <c r="K34" s="57"/>
      <c r="L34" s="353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8" t="s">
        <v>181</v>
      </c>
      <c r="B35" s="57"/>
      <c r="C35" s="349">
        <f>[3]Spirit!$ED$19</f>
        <v>610</v>
      </c>
      <c r="D35" s="350">
        <f>C35/$C$56</f>
        <v>1.7904314646316408E-2</v>
      </c>
      <c r="E35" s="351">
        <f>[3]Spirit!$DP$19</f>
        <v>620</v>
      </c>
      <c r="F35" s="352">
        <f>(C35-E35)/E35</f>
        <v>-1.6129032258064516E-2</v>
      </c>
      <c r="G35" s="351">
        <f>SUM([3]Spirit!$DX$19:$ED$19)</f>
        <v>4356</v>
      </c>
      <c r="H35" s="351">
        <f>SUM([3]Spirit!$DJ$19:$DP$19)</f>
        <v>4417</v>
      </c>
      <c r="I35" s="352">
        <f>(G35-H35)/H35</f>
        <v>-1.3810278469549468E-2</v>
      </c>
      <c r="J35" s="348" t="s">
        <v>181</v>
      </c>
      <c r="K35" s="57"/>
      <c r="L35" s="349">
        <f>[3]Spirit!$ED$41</f>
        <v>79618</v>
      </c>
      <c r="M35" s="350">
        <f>L35/$L$56</f>
        <v>2.2990795942753155E-2</v>
      </c>
      <c r="N35" s="351">
        <f>[3]Spirit!$DP$41</f>
        <v>84353</v>
      </c>
      <c r="O35" s="352">
        <f>(L35-N35)/N35</f>
        <v>-5.6133154718860032E-2</v>
      </c>
      <c r="P35" s="351">
        <f>SUM([3]Spirit!$DX$41:$ED$41)</f>
        <v>587322</v>
      </c>
      <c r="Q35" s="351">
        <f>SUM([3]Spirit!$DJ$41:$DP$41)</f>
        <v>585219</v>
      </c>
      <c r="R35" s="352">
        <f>(P35-Q35)/Q35</f>
        <v>3.5935265259672022E-3</v>
      </c>
      <c r="T35" s="20"/>
      <c r="U35" s="7"/>
    </row>
    <row r="36" spans="1:21" ht="14.1" customHeight="1" x14ac:dyDescent="0.2">
      <c r="A36" s="348"/>
      <c r="B36" s="57"/>
      <c r="C36" s="349"/>
      <c r="D36" s="350"/>
      <c r="E36" s="174"/>
      <c r="F36" s="352"/>
      <c r="G36" s="351"/>
      <c r="H36" s="351"/>
      <c r="I36" s="352"/>
      <c r="J36" s="348"/>
      <c r="K36" s="57"/>
      <c r="L36" s="353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8" t="s">
        <v>53</v>
      </c>
      <c r="B37" s="364"/>
      <c r="C37" s="349">
        <f>'[3]Sun Country'!$ED$19</f>
        <v>1570</v>
      </c>
      <c r="D37" s="350">
        <f>C37/$C$56</f>
        <v>4.6081596712650427E-2</v>
      </c>
      <c r="E37" s="351">
        <f>'[3]Sun Country'!$DP$19</f>
        <v>1415</v>
      </c>
      <c r="F37" s="352">
        <f>(C37-E37)/E37</f>
        <v>0.10954063604240283</v>
      </c>
      <c r="G37" s="351">
        <f>SUM('[3]Sun Country'!$DX$19:$ED$19)</f>
        <v>11235</v>
      </c>
      <c r="H37" s="351">
        <f>SUM('[3]Sun Country'!$DJ$19:$DP$19)</f>
        <v>10339</v>
      </c>
      <c r="I37" s="352">
        <f>(G37-H37)/H37</f>
        <v>8.666215301286391E-2</v>
      </c>
      <c r="J37" s="348" t="s">
        <v>53</v>
      </c>
      <c r="K37" s="364"/>
      <c r="L37" s="349">
        <f>'[3]Sun Country'!$ED$41</f>
        <v>187210</v>
      </c>
      <c r="M37" s="350">
        <f>L37/$L$56</f>
        <v>5.405947032634352E-2</v>
      </c>
      <c r="N37" s="351">
        <f>'[3]Sun Country'!$DP$41</f>
        <v>143767</v>
      </c>
      <c r="O37" s="352">
        <f>(L37-N37)/N37</f>
        <v>0.30217643826469215</v>
      </c>
      <c r="P37" s="351">
        <f>SUM('[3]Sun Country'!$DX$41:$ED$41)</f>
        <v>1260684</v>
      </c>
      <c r="Q37" s="351">
        <f>SUM('[3]Sun Country'!$DJ$41:$DP$41)</f>
        <v>1017467</v>
      </c>
      <c r="R37" s="352">
        <f>(P37-Q37)/Q37</f>
        <v>0.23904165933637159</v>
      </c>
      <c r="T37" s="20"/>
    </row>
    <row r="38" spans="1:21" s="7" customFormat="1" ht="14.1" customHeight="1" x14ac:dyDescent="0.2">
      <c r="A38" s="348"/>
      <c r="B38" s="364"/>
      <c r="C38" s="349"/>
      <c r="D38" s="350"/>
      <c r="E38" s="174"/>
      <c r="F38" s="352"/>
      <c r="G38" s="351"/>
      <c r="H38" s="351"/>
      <c r="I38" s="352"/>
      <c r="J38" s="348"/>
      <c r="K38" s="364"/>
      <c r="L38" s="353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8" t="s">
        <v>21</v>
      </c>
      <c r="B39" s="356"/>
      <c r="C39" s="349">
        <f>SUM(C40:C46)</f>
        <v>1748</v>
      </c>
      <c r="D39" s="350">
        <f>C39/$C$56</f>
        <v>5.1306134429116523E-2</v>
      </c>
      <c r="E39" s="174">
        <f>SUM(E40:E46)</f>
        <v>1952</v>
      </c>
      <c r="F39" s="352">
        <f t="shared" ref="F39:F46" si="6">(C39-E39)/E39</f>
        <v>-0.10450819672131148</v>
      </c>
      <c r="G39" s="351">
        <f>SUM(G40:G46)</f>
        <v>10974</v>
      </c>
      <c r="H39" s="351">
        <f>SUM(H40:H46)</f>
        <v>11426</v>
      </c>
      <c r="I39" s="352">
        <f t="shared" ref="I39:I46" si="7">(G39-H39)/H39</f>
        <v>-3.9558900752669351E-2</v>
      </c>
      <c r="J39" s="348" t="s">
        <v>21</v>
      </c>
      <c r="K39" s="356"/>
      <c r="L39" s="349">
        <f>SUM(L40:L46)</f>
        <v>149021</v>
      </c>
      <c r="M39" s="350">
        <f>L39/$L$56</f>
        <v>4.3031869705154838E-2</v>
      </c>
      <c r="N39" s="351">
        <f>SUM(N40:N46)</f>
        <v>126290</v>
      </c>
      <c r="O39" s="352">
        <f t="shared" ref="O39:O46" si="8">(L39-N39)/N39</f>
        <v>0.1799904980600206</v>
      </c>
      <c r="P39" s="351">
        <f>SUM(P40:P46)</f>
        <v>852893</v>
      </c>
      <c r="Q39" s="351">
        <f>SUM(Q40:Q46)</f>
        <v>735725</v>
      </c>
      <c r="R39" s="352">
        <f t="shared" ref="R39:R46" si="9">(P39-Q39)/Q39</f>
        <v>0.15925515647830371</v>
      </c>
      <c r="T39" s="20"/>
      <c r="U39"/>
    </row>
    <row r="40" spans="1:21" s="7" customFormat="1" ht="14.1" customHeight="1" x14ac:dyDescent="0.2">
      <c r="A40" s="365"/>
      <c r="B40" s="357" t="s">
        <v>183</v>
      </c>
      <c r="C40" s="353">
        <f>[3]United!$ED$19</f>
        <v>764</v>
      </c>
      <c r="D40" s="40">
        <f>C40/$C$56</f>
        <v>2.2424420311124155E-2</v>
      </c>
      <c r="E40" s="9">
        <f>[3]United!$DP$19+[3]Continental!$DP$19</f>
        <v>174</v>
      </c>
      <c r="F40" s="84">
        <f t="shared" si="6"/>
        <v>3.3908045977011496</v>
      </c>
      <c r="G40" s="9">
        <f>SUM([3]United!$DX$19:$ED$19)</f>
        <v>3932</v>
      </c>
      <c r="H40" s="9">
        <f>SUM([3]United!$DJ$19:$DP$19)+SUM([3]Continental!$DJ$19:$DP$19)</f>
        <v>1872</v>
      </c>
      <c r="I40" s="84">
        <f t="shared" si="7"/>
        <v>1.1004273504273505</v>
      </c>
      <c r="J40" s="365"/>
      <c r="K40" s="357" t="s">
        <v>183</v>
      </c>
      <c r="L40" s="353">
        <f>[3]United!$ED$41</f>
        <v>89684</v>
      </c>
      <c r="M40" s="40">
        <f>L40/$L$56</f>
        <v>2.5897492317439198E-2</v>
      </c>
      <c r="N40" s="9">
        <f>[3]United!$DP$41+[3]Continental!$DP$41</f>
        <v>20693</v>
      </c>
      <c r="O40" s="84">
        <f t="shared" si="8"/>
        <v>3.3340259991301404</v>
      </c>
      <c r="P40" s="9">
        <f>SUM([3]United!$DX$41:$ED$41)</f>
        <v>459808</v>
      </c>
      <c r="Q40" s="9">
        <f>SUM([3]United!$DJ$41:$DP$41)+SUM([3]Continental!$DJ$41:$DP$41)</f>
        <v>205362</v>
      </c>
      <c r="R40" s="84">
        <f t="shared" si="9"/>
        <v>1.23901208597501</v>
      </c>
      <c r="T40" s="20"/>
    </row>
    <row r="41" spans="1:21" s="7" customFormat="1" ht="14.1" customHeight="1" x14ac:dyDescent="0.2">
      <c r="A41" s="365"/>
      <c r="B41" s="357" t="s">
        <v>182</v>
      </c>
      <c r="C41" s="353">
        <f>[3]Chautaqua_Continental!$ED$19</f>
        <v>0</v>
      </c>
      <c r="D41" s="40">
        <f>C41/$C$56</f>
        <v>0</v>
      </c>
      <c r="E41" s="9">
        <f>[3]Chautaqua_Continental!$DP$19</f>
        <v>0</v>
      </c>
      <c r="F41" s="84" t="e">
        <f t="shared" si="6"/>
        <v>#DIV/0!</v>
      </c>
      <c r="G41" s="9">
        <f>SUM([3]Chautaqua_Continental!$DX$19:$ED$19)</f>
        <v>0</v>
      </c>
      <c r="H41" s="9">
        <f>SUM([3]Chautaqua_Continental!$DJ$19:$DP$19)</f>
        <v>58</v>
      </c>
      <c r="I41" s="84">
        <f t="shared" si="7"/>
        <v>-1</v>
      </c>
      <c r="J41" s="54"/>
      <c r="K41" s="358" t="s">
        <v>131</v>
      </c>
      <c r="L41" s="353">
        <f>[3]Chautaqua_Continental!$ED$41</f>
        <v>0</v>
      </c>
      <c r="M41" s="40">
        <f>L41/$L$56</f>
        <v>0</v>
      </c>
      <c r="N41" s="9">
        <f>[3]Chautaqua_Continental!$DP$41</f>
        <v>0</v>
      </c>
      <c r="O41" s="84" t="e">
        <f t="shared" si="8"/>
        <v>#DIV/0!</v>
      </c>
      <c r="P41" s="9">
        <f>SUM([3]Chautaqua_Continental!$DX$41:$ED$41)</f>
        <v>0</v>
      </c>
      <c r="Q41" s="9">
        <f>SUM([3]Chautaqua_Continental!$DJ$41:$DP$41)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5"/>
      <c r="B42" s="357" t="s">
        <v>199</v>
      </c>
      <c r="C42" s="353">
        <f>'[3]Continental Express'!$ED$19</f>
        <v>166</v>
      </c>
      <c r="D42" s="40">
        <f>C42/$C$55</f>
        <v>1.1558278791254701E-2</v>
      </c>
      <c r="E42" s="9">
        <f>'[3]Continental Express'!$DP$19</f>
        <v>416</v>
      </c>
      <c r="F42" s="84">
        <f t="shared" si="6"/>
        <v>-0.60096153846153844</v>
      </c>
      <c r="G42" s="9">
        <f>SUM('[3]Continental Express'!$DX$19:$ED$19)</f>
        <v>1788</v>
      </c>
      <c r="H42" s="9">
        <f>SUM('[3]Continental Express'!$DJ$19:$DP$19)</f>
        <v>2950</v>
      </c>
      <c r="I42" s="84">
        <f t="shared" si="7"/>
        <v>-0.39389830508474577</v>
      </c>
      <c r="J42" s="54"/>
      <c r="K42" s="357" t="s">
        <v>199</v>
      </c>
      <c r="L42" s="353">
        <f>'[3]Continental Express'!$ED$41</f>
        <v>6994</v>
      </c>
      <c r="M42" s="40">
        <f>L42/$L$55</f>
        <v>9.0479005739996406E-3</v>
      </c>
      <c r="N42" s="9">
        <f>'[3]Continental Express'!$DP$41</f>
        <v>18493</v>
      </c>
      <c r="O42" s="84">
        <f t="shared" si="8"/>
        <v>-0.62180284431947219</v>
      </c>
      <c r="P42" s="9">
        <f>SUM('[3]Continental Express'!$DX$41:$ED$41)</f>
        <v>71263</v>
      </c>
      <c r="Q42" s="9">
        <f>SUM('[3]Continental Express'!$DJ$41:$DP$41)</f>
        <v>123407</v>
      </c>
      <c r="R42" s="84">
        <f t="shared" si="9"/>
        <v>-0.42253680909510805</v>
      </c>
      <c r="T42" s="20"/>
    </row>
    <row r="43" spans="1:21" s="7" customFormat="1" ht="14.1" customHeight="1" x14ac:dyDescent="0.2">
      <c r="A43" s="365"/>
      <c r="B43" s="357" t="s">
        <v>180</v>
      </c>
      <c r="C43" s="353">
        <f>'[3]Go Jet_UA'!$ED$19</f>
        <v>12</v>
      </c>
      <c r="D43" s="40">
        <f>C43/$C$56</f>
        <v>3.522160258291752E-4</v>
      </c>
      <c r="E43" s="9">
        <f>'[3]Go Jet_UA'!$DP$19</f>
        <v>286</v>
      </c>
      <c r="F43" s="84">
        <f t="shared" si="6"/>
        <v>-0.95804195804195802</v>
      </c>
      <c r="G43" s="9">
        <f>SUM('[3]Go Jet_UA'!$DX$19:$ED$19)</f>
        <v>288</v>
      </c>
      <c r="H43" s="9">
        <f>SUM('[3]Go Jet_UA'!$DJ$19:$DP$19)</f>
        <v>2034</v>
      </c>
      <c r="I43" s="84">
        <f t="shared" si="7"/>
        <v>-0.8584070796460177</v>
      </c>
      <c r="J43" s="365"/>
      <c r="K43" s="358" t="s">
        <v>180</v>
      </c>
      <c r="L43" s="353">
        <f>'[3]Go Jet_UA'!$ED$41</f>
        <v>765</v>
      </c>
      <c r="M43" s="40">
        <f>L43/$L$56</f>
        <v>2.2090430425539655E-4</v>
      </c>
      <c r="N43" s="9">
        <f>'[3]Go Jet_UA'!$DP$41</f>
        <v>18361</v>
      </c>
      <c r="O43" s="84">
        <f t="shared" si="8"/>
        <v>-0.95833560263602202</v>
      </c>
      <c r="P43" s="9">
        <f>SUM('[3]Go Jet_UA'!$DX$41:$ED$41)</f>
        <v>17769</v>
      </c>
      <c r="Q43" s="9">
        <f>SUM('[3]Go Jet_UA'!$DJ$41:$DP$41)</f>
        <v>125565</v>
      </c>
      <c r="R43" s="84">
        <f t="shared" si="9"/>
        <v>-0.85848763588579624</v>
      </c>
      <c r="T43" s="20"/>
    </row>
    <row r="44" spans="1:21" s="7" customFormat="1" ht="14.1" customHeight="1" x14ac:dyDescent="0.2">
      <c r="A44" s="365"/>
      <c r="B44" s="357" t="s">
        <v>57</v>
      </c>
      <c r="C44" s="353">
        <f>[3]MESA_UA!$ED$19</f>
        <v>324</v>
      </c>
      <c r="D44" s="40">
        <f>C44/$C$56</f>
        <v>9.5098326973877319E-3</v>
      </c>
      <c r="E44" s="9">
        <f>[3]MESA_UA!$DP$19</f>
        <v>124</v>
      </c>
      <c r="F44" s="84">
        <f>(C44-E44)/E44</f>
        <v>1.6129032258064515</v>
      </c>
      <c r="G44" s="9">
        <f>SUM([3]MESA_UA!$DX$19:$ED$19)</f>
        <v>1642</v>
      </c>
      <c r="H44" s="9">
        <f>SUM([3]MESA_UA!$DJ$19:$DP$19)</f>
        <v>520</v>
      </c>
      <c r="I44" s="84">
        <f>(G44-H44)/H44</f>
        <v>2.1576923076923076</v>
      </c>
      <c r="J44" s="365"/>
      <c r="K44" s="358" t="s">
        <v>57</v>
      </c>
      <c r="L44" s="353">
        <f>[3]MESA_UA!$ED$41</f>
        <v>20578</v>
      </c>
      <c r="M44" s="40">
        <f>L44/$L$56</f>
        <v>5.9421814025719614E-3</v>
      </c>
      <c r="N44" s="9">
        <f>[3]MESA_UA!$DP$41</f>
        <v>8263</v>
      </c>
      <c r="O44" s="84">
        <f>(L44-N44)/N44</f>
        <v>1.4903787970470774</v>
      </c>
      <c r="P44" s="9">
        <f>SUM([3]MESA_UA!$DX$41:$ED$41)</f>
        <v>98531</v>
      </c>
      <c r="Q44" s="9">
        <f>SUM([3]MESA_UA!$DJ$41:$DP$41)</f>
        <v>32396</v>
      </c>
      <c r="R44" s="84">
        <f t="shared" si="9"/>
        <v>2.0414557352759601</v>
      </c>
      <c r="T44" s="20"/>
    </row>
    <row r="45" spans="1:21" s="7" customFormat="1" ht="14.1" customHeight="1" x14ac:dyDescent="0.2">
      <c r="A45" s="365"/>
      <c r="B45" s="357" t="s">
        <v>110</v>
      </c>
      <c r="C45" s="353">
        <f>'[3]Sky West_UA'!$ED$19</f>
        <v>310</v>
      </c>
      <c r="D45" s="40">
        <f>C45/$C$56</f>
        <v>9.0989140005870266E-3</v>
      </c>
      <c r="E45" s="9">
        <f>'[3]Sky West_UA'!$DP$19+'[3]Sky West_CO'!$DP$19</f>
        <v>462</v>
      </c>
      <c r="F45" s="84">
        <f t="shared" si="6"/>
        <v>-0.32900432900432902</v>
      </c>
      <c r="G45" s="9">
        <f>SUM('[3]Sky West_UA'!$DX$19:$ED$19)</f>
        <v>2074</v>
      </c>
      <c r="H45" s="9">
        <f>SUM('[3]Sky West_UA'!$DJ$19:$DP$19)+SUM('[3]Sky West_CO'!$DJ$19:$DP$19)</f>
        <v>1796</v>
      </c>
      <c r="I45" s="84">
        <f t="shared" si="7"/>
        <v>0.15478841870824053</v>
      </c>
      <c r="J45" s="365"/>
      <c r="K45" s="357" t="s">
        <v>110</v>
      </c>
      <c r="L45" s="353">
        <f>'[3]Sky West_UA'!$ED$41</f>
        <v>20083</v>
      </c>
      <c r="M45" s="40">
        <f>L45/$L$56</f>
        <v>5.7992433233478814E-3</v>
      </c>
      <c r="N45" s="9">
        <f>'[3]Sky West_UA'!$DP$41+'[3]Sky West_CO'!$DP$41</f>
        <v>29708</v>
      </c>
      <c r="O45" s="84">
        <f t="shared" si="8"/>
        <v>-0.32398680490103676</v>
      </c>
      <c r="P45" s="9">
        <f>SUM('[3]Sky West_UA'!$DX$41:$ED$41)</f>
        <v>131384</v>
      </c>
      <c r="Q45" s="9">
        <f>SUM('[3]Sky West_UA'!$DJ$41:$DP$41)+SUM('[3]Sky West_CO'!$DJ$41:$DP$41)</f>
        <v>110148</v>
      </c>
      <c r="R45" s="84">
        <f t="shared" si="9"/>
        <v>0.19279514834586192</v>
      </c>
      <c r="T45" s="20"/>
    </row>
    <row r="46" spans="1:21" s="7" customFormat="1" ht="14.1" customHeight="1" x14ac:dyDescent="0.2">
      <c r="A46" s="365"/>
      <c r="B46" s="359" t="s">
        <v>148</v>
      </c>
      <c r="C46" s="353">
        <f>'[3]Shuttle America'!$ED$19</f>
        <v>172</v>
      </c>
      <c r="D46" s="40">
        <f>C46/$C$56</f>
        <v>5.0484297035515114E-3</v>
      </c>
      <c r="E46" s="9">
        <f>'[3]Shuttle America'!$DP$19</f>
        <v>490</v>
      </c>
      <c r="F46" s="84">
        <f t="shared" si="6"/>
        <v>-0.6489795918367347</v>
      </c>
      <c r="G46" s="9">
        <f>SUM('[3]Shuttle America'!$DX$19:$ED$19)</f>
        <v>1250</v>
      </c>
      <c r="H46" s="9">
        <f>SUM('[3]Shuttle America'!$DJ$19:$DP$19)</f>
        <v>2196</v>
      </c>
      <c r="I46" s="84">
        <f t="shared" si="7"/>
        <v>-0.43078324225865211</v>
      </c>
      <c r="J46" s="365"/>
      <c r="K46" s="359" t="s">
        <v>148</v>
      </c>
      <c r="L46" s="353">
        <f>'[3]Shuttle America'!$ED$41</f>
        <v>10917</v>
      </c>
      <c r="M46" s="40">
        <f>L46/$L$56</f>
        <v>3.1524343654328944E-3</v>
      </c>
      <c r="N46" s="9">
        <f>'[3]Shuttle America'!$DP$41</f>
        <v>30772</v>
      </c>
      <c r="O46" s="84">
        <f t="shared" si="8"/>
        <v>-0.64522942935135841</v>
      </c>
      <c r="P46" s="9">
        <f>SUM('[3]Shuttle America'!$DX$41:$ED$41)</f>
        <v>74138</v>
      </c>
      <c r="Q46" s="9">
        <f>SUM('[3]Shuttle America'!$DJ$41:$DP$41)</f>
        <v>136632</v>
      </c>
      <c r="R46" s="84">
        <f t="shared" si="9"/>
        <v>-0.45738919140464901</v>
      </c>
      <c r="T46" s="20"/>
    </row>
    <row r="47" spans="1:21" s="7" customFormat="1" ht="14.1" customHeight="1" x14ac:dyDescent="0.2">
      <c r="A47" s="365"/>
      <c r="B47" s="359"/>
      <c r="C47" s="353"/>
      <c r="D47" s="40"/>
      <c r="E47" s="5"/>
      <c r="F47" s="84"/>
      <c r="G47" s="9"/>
      <c r="H47" s="9"/>
      <c r="I47" s="84"/>
      <c r="J47" s="365"/>
      <c r="K47" s="359"/>
      <c r="L47" s="353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60" t="s">
        <v>22</v>
      </c>
      <c r="B48" s="361"/>
      <c r="C48" s="349">
        <f>SUM(C49:C52)</f>
        <v>757</v>
      </c>
      <c r="D48" s="350">
        <f>C48/$C$56</f>
        <v>2.2218960962723803E-2</v>
      </c>
      <c r="E48" s="351">
        <f>SUM(E49:E52)</f>
        <v>767</v>
      </c>
      <c r="F48" s="352">
        <f>(C48-E48)/E48</f>
        <v>-1.303780964797914E-2</v>
      </c>
      <c r="G48" s="351">
        <f>SUM(G49:G52)</f>
        <v>5114</v>
      </c>
      <c r="H48" s="351">
        <f>SUM(H49:H52)</f>
        <v>6054</v>
      </c>
      <c r="I48" s="352">
        <f>(G48-H48)/H48</f>
        <v>-0.15526924347538817</v>
      </c>
      <c r="J48" s="360" t="s">
        <v>22</v>
      </c>
      <c r="K48" s="361"/>
      <c r="L48" s="349">
        <f>SUM(L49:L52)</f>
        <v>100239</v>
      </c>
      <c r="M48" s="350">
        <f>L48/$L$56</f>
        <v>2.8945394188570846E-2</v>
      </c>
      <c r="N48" s="351">
        <f>SUM(N49:N52)</f>
        <v>100559</v>
      </c>
      <c r="O48" s="352">
        <f>(L48-N48)/N48</f>
        <v>-3.1822114380612378E-3</v>
      </c>
      <c r="P48" s="351">
        <f>SUM(P49:P52)</f>
        <v>663843</v>
      </c>
      <c r="Q48" s="351">
        <f>SUM(Q49:Q52)</f>
        <v>734806</v>
      </c>
      <c r="R48" s="352">
        <f>(P48-Q48)/Q48</f>
        <v>-9.6573789544451186E-2</v>
      </c>
      <c r="T48" s="20"/>
      <c r="U48"/>
    </row>
    <row r="49" spans="1:21" s="7" customFormat="1" ht="14.1" customHeight="1" x14ac:dyDescent="0.2">
      <c r="A49" s="365"/>
      <c r="B49" s="357" t="s">
        <v>22</v>
      </c>
      <c r="C49" s="353">
        <f>'[3]US Airways'!$ED$19</f>
        <v>755</v>
      </c>
      <c r="D49" s="40">
        <f>C49/$C$56</f>
        <v>2.2160258291752274E-2</v>
      </c>
      <c r="E49" s="9">
        <f>'[3]US Airways'!$DP$19</f>
        <v>738</v>
      </c>
      <c r="F49" s="84">
        <f>(C49-E49)/E49</f>
        <v>2.3035230352303523E-2</v>
      </c>
      <c r="G49" s="9">
        <f>SUM('[3]US Airways'!$DX$19:$ED$19)</f>
        <v>4908</v>
      </c>
      <c r="H49" s="9">
        <f>SUM('[3]US Airways'!$DJ$19:$DP$19)</f>
        <v>4879</v>
      </c>
      <c r="I49" s="84">
        <f>(G49-H49)/H49</f>
        <v>5.9438409510145524E-3</v>
      </c>
      <c r="J49" s="365"/>
      <c r="K49" s="357" t="s">
        <v>22</v>
      </c>
      <c r="L49" s="353">
        <f>'[3]US Airways'!$ED$41</f>
        <v>100124</v>
      </c>
      <c r="M49" s="40">
        <f>L49/$L$56</f>
        <v>2.8912186351983431E-2</v>
      </c>
      <c r="N49" s="9">
        <f>'[3]US Airways'!$DP$41</f>
        <v>98579</v>
      </c>
      <c r="O49" s="84">
        <f>(L49-N49)/N49</f>
        <v>1.5672709197699308E-2</v>
      </c>
      <c r="P49" s="9">
        <f>SUM('[3]US Airways'!$DX$41:$ED$41)</f>
        <v>650658</v>
      </c>
      <c r="Q49" s="9">
        <f>SUM('[3]US Airways'!$DJ$41:$DP$41)</f>
        <v>664194</v>
      </c>
      <c r="R49" s="84">
        <f>(P49-Q49)/Q49</f>
        <v>-2.0379587891489536E-2</v>
      </c>
      <c r="T49" s="324"/>
    </row>
    <row r="50" spans="1:21" s="7" customFormat="1" ht="14.1" customHeight="1" x14ac:dyDescent="0.2">
      <c r="A50" s="365"/>
      <c r="B50" s="359" t="s">
        <v>58</v>
      </c>
      <c r="C50" s="353">
        <f>[3]Republic!$ED$19</f>
        <v>2</v>
      </c>
      <c r="D50" s="40">
        <f>C50/$C$56</f>
        <v>5.8702670971529207E-5</v>
      </c>
      <c r="E50" s="9">
        <f>[3]Republic!$DP$19</f>
        <v>29</v>
      </c>
      <c r="F50" s="84">
        <f>(C50-E50)/E50</f>
        <v>-0.93103448275862066</v>
      </c>
      <c r="G50" s="9">
        <f>SUM([3]Republic!$DX$19:$ED$19)</f>
        <v>194</v>
      </c>
      <c r="H50" s="9">
        <f>SUM([3]Republic!$DJ$19:$DP$19)</f>
        <v>1006</v>
      </c>
      <c r="I50" s="84">
        <f>(G50-H50)/H50</f>
        <v>-0.80715705765407553</v>
      </c>
      <c r="J50" s="365"/>
      <c r="K50" s="359" t="s">
        <v>58</v>
      </c>
      <c r="L50" s="353">
        <f>[3]Republic!$ED$41</f>
        <v>115</v>
      </c>
      <c r="M50" s="40">
        <f>L50/$L$56</f>
        <v>3.3207836587412554E-5</v>
      </c>
      <c r="N50" s="9">
        <f>[3]Republic!$DP$41</f>
        <v>1980</v>
      </c>
      <c r="O50" s="84">
        <f>(L50-N50)/N50</f>
        <v>-0.94191919191919193</v>
      </c>
      <c r="P50" s="9">
        <f>SUM([3]Republic!$DX$41:$ED$41)</f>
        <v>12488</v>
      </c>
      <c r="Q50" s="9">
        <f>SUM([3]Republic!$DJ$41:$DP$41)</f>
        <v>60546</v>
      </c>
      <c r="R50" s="84">
        <f>(P50-Q50)/Q50</f>
        <v>-0.79374359990750831</v>
      </c>
      <c r="T50" s="321"/>
    </row>
    <row r="51" spans="1:21" s="7" customFormat="1" ht="14.1" customHeight="1" x14ac:dyDescent="0.2">
      <c r="A51" s="365"/>
      <c r="B51" s="358" t="s">
        <v>109</v>
      </c>
      <c r="C51" s="353">
        <f>[3]MESA!$ED$19</f>
        <v>0</v>
      </c>
      <c r="D51" s="40">
        <f>C51/$C$56</f>
        <v>0</v>
      </c>
      <c r="E51" s="9">
        <f>[3]MESA!$DP$19</f>
        <v>0</v>
      </c>
      <c r="F51" s="84" t="e">
        <f>(C51-E51)/E51</f>
        <v>#DIV/0!</v>
      </c>
      <c r="G51" s="9">
        <f>SUM([3]MESA!$DX$19:$ED$19)</f>
        <v>12</v>
      </c>
      <c r="H51" s="9">
        <f>SUM([3]MESA!$DJ$19:$DP$19)</f>
        <v>128</v>
      </c>
      <c r="I51" s="84">
        <f>(G51-H51)/H51</f>
        <v>-0.90625</v>
      </c>
      <c r="J51" s="365"/>
      <c r="K51" s="358" t="s">
        <v>109</v>
      </c>
      <c r="L51" s="353">
        <f>[3]MESA!$ED$41</f>
        <v>0</v>
      </c>
      <c r="M51" s="40">
        <f>L51/$L$56</f>
        <v>0</v>
      </c>
      <c r="N51" s="9">
        <f>[3]MESA!$DP$41</f>
        <v>0</v>
      </c>
      <c r="O51" s="84" t="e">
        <f>(L51-N51)/N51</f>
        <v>#DIV/0!</v>
      </c>
      <c r="P51" s="9">
        <f>SUM([3]MESA!$DX$41:$ED$41)</f>
        <v>697</v>
      </c>
      <c r="Q51" s="9">
        <f>SUM([3]MESA!$DJ$41:$DP$41)</f>
        <v>8394</v>
      </c>
      <c r="R51" s="84">
        <f>(P51-Q51)/Q51</f>
        <v>-0.9169644984512747</v>
      </c>
      <c r="T51" s="321"/>
      <c r="U51"/>
    </row>
    <row r="52" spans="1:21" ht="14.1" customHeight="1" thickBot="1" x14ac:dyDescent="0.25">
      <c r="A52" s="366"/>
      <c r="B52" s="367" t="s">
        <v>54</v>
      </c>
      <c r="C52" s="368">
        <f>'[3]Air Wisconsin'!$ED$19</f>
        <v>0</v>
      </c>
      <c r="D52" s="369">
        <f>C52/$C$56</f>
        <v>0</v>
      </c>
      <c r="E52" s="370">
        <f>'[3]Air Wisconsin'!$DP$19</f>
        <v>0</v>
      </c>
      <c r="F52" s="371" t="e">
        <f>(C52-E52)/E52</f>
        <v>#DIV/0!</v>
      </c>
      <c r="G52" s="372">
        <f>SUM('[3]Air Wisconsin'!$DX$19:$ED$19)</f>
        <v>0</v>
      </c>
      <c r="H52" s="372">
        <f>SUM('[3]Air Wisconsin'!$DJ$19:$DP$19)</f>
        <v>41</v>
      </c>
      <c r="I52" s="396">
        <f>(G52-H52)/H52</f>
        <v>-1</v>
      </c>
      <c r="J52" s="366"/>
      <c r="K52" s="367" t="s">
        <v>54</v>
      </c>
      <c r="L52" s="368">
        <f>'[3]Air Wisconsin'!$ED$41</f>
        <v>0</v>
      </c>
      <c r="M52" s="369">
        <f>L52/$L$56</f>
        <v>0</v>
      </c>
      <c r="N52" s="372">
        <f>'[3]Air Wisconsin'!$DP$41</f>
        <v>0</v>
      </c>
      <c r="O52" s="371" t="e">
        <f>(L52-N52)/N52</f>
        <v>#DIV/0!</v>
      </c>
      <c r="P52" s="372">
        <f>SUM('[3]Air Wisconsin'!$DX$41:$ED$41)</f>
        <v>0</v>
      </c>
      <c r="Q52" s="372">
        <f>SUM('[3]Air Wisconsin'!$DJ$41:$DP$41)</f>
        <v>1672</v>
      </c>
      <c r="R52" s="371">
        <f>(P52-Q52)/Q52</f>
        <v>-1</v>
      </c>
      <c r="T52" s="20"/>
      <c r="U52" s="215"/>
    </row>
    <row r="53" spans="1:21" s="218" customFormat="1" ht="14.1" customHeight="1" x14ac:dyDescent="0.2">
      <c r="B53" s="253"/>
      <c r="C53" s="373"/>
      <c r="D53" s="350"/>
      <c r="E53" s="351"/>
      <c r="F53" s="350"/>
      <c r="G53" s="374"/>
      <c r="H53" s="351"/>
      <c r="I53" s="375"/>
      <c r="J53" s="376"/>
      <c r="K53" s="253"/>
      <c r="L53" s="377"/>
      <c r="M53" s="376"/>
      <c r="N53" s="378"/>
      <c r="O53" s="376"/>
      <c r="P53" s="219"/>
      <c r="Q53" s="219"/>
      <c r="R53" s="219"/>
      <c r="T53" s="217"/>
      <c r="U53"/>
    </row>
    <row r="54" spans="1:21" ht="14.1" customHeight="1" x14ac:dyDescent="0.2">
      <c r="B54" s="379" t="s">
        <v>150</v>
      </c>
      <c r="C54" s="380">
        <f>+C56-C55</f>
        <v>19708</v>
      </c>
      <c r="D54" s="450">
        <f>C54/$C$56</f>
        <v>0.57845611975344879</v>
      </c>
      <c r="E54" s="380">
        <f>+E56-E55</f>
        <v>17846</v>
      </c>
      <c r="F54" s="382">
        <f>(C54-E54)/E54</f>
        <v>0.10433710635436512</v>
      </c>
      <c r="G54" s="380">
        <f>+G56-G55</f>
        <v>118232</v>
      </c>
      <c r="H54" s="380">
        <f>+H56-H55</f>
        <v>110215</v>
      </c>
      <c r="I54" s="383">
        <f>(G54-H54)/H54</f>
        <v>7.2739645238851333E-2</v>
      </c>
      <c r="K54" s="379" t="s">
        <v>150</v>
      </c>
      <c r="L54" s="380">
        <f>+L56-L55</f>
        <v>2690041</v>
      </c>
      <c r="M54" s="381">
        <f>+L54/L56</f>
        <v>0.7767864516646944</v>
      </c>
      <c r="N54" s="380">
        <f>+N56-N55</f>
        <v>2463711</v>
      </c>
      <c r="O54" s="382">
        <f>(L54-N54)/N54</f>
        <v>9.1865482599217202E-2</v>
      </c>
      <c r="P54" s="380">
        <f>+P56-P55</f>
        <v>15597087</v>
      </c>
      <c r="Q54" s="380">
        <f>+Q56-Q55</f>
        <v>14451329</v>
      </c>
      <c r="R54" s="383">
        <f>(P54-Q54)/Q54</f>
        <v>7.9283919146813417E-2</v>
      </c>
    </row>
    <row r="55" spans="1:21" ht="14.1" customHeight="1" x14ac:dyDescent="0.2">
      <c r="B55" s="322" t="s">
        <v>151</v>
      </c>
      <c r="C55" s="384">
        <f>+C52+C51+C50+C46+C23+C21+C19+C18+C4+C22+C12+C45+C43+C20+C42+C41+C44</f>
        <v>14362</v>
      </c>
      <c r="D55" s="451">
        <f>C55/$C$56</f>
        <v>0.42154388024655121</v>
      </c>
      <c r="E55" s="384">
        <f>+E52+E51+E50+E46+E23+E21+E19+E18+E4+E22+E12+E45+E43+E20+E42+E41+E44</f>
        <v>16493</v>
      </c>
      <c r="F55" s="386">
        <f>(C55-E55)/E55</f>
        <v>-0.12920632995816406</v>
      </c>
      <c r="G55" s="384">
        <f>+G52+G51+G50+G46+G23+G21+G19+G18+G4+G22+G12+G45+G43+G20+G42+G41+G44</f>
        <v>96555</v>
      </c>
      <c r="H55" s="384">
        <f>+H52+H51+H50+H46+H23+H21+H19+H18+H4+H22+H12+H45+H43+H20+H42+H41+H44</f>
        <v>110955</v>
      </c>
      <c r="I55" s="387">
        <f>(G55-H55)/H55</f>
        <v>-0.129782344193592</v>
      </c>
      <c r="K55" s="322" t="s">
        <v>151</v>
      </c>
      <c r="L55" s="384">
        <f>+L52+L51+L50+L46+L23+L21+L19+L18+L4+L22+L12+L45+L43+L20+L42+L41+L44</f>
        <v>772997</v>
      </c>
      <c r="M55" s="385">
        <f>+L55/L56</f>
        <v>0.2232135483353056</v>
      </c>
      <c r="N55" s="384">
        <f>+N52+N51+N50+N46+N23+N21+N19+N18+N4+N22+N12+N45+N43+N20+N42+N41+N44</f>
        <v>870558</v>
      </c>
      <c r="O55" s="386">
        <f>(L55-N55)/N55</f>
        <v>-0.1120672028744782</v>
      </c>
      <c r="P55" s="384">
        <f>+P52+P51+P50+P46+P23+P21+P19+P18+P4+P22+P12+P45+P43+P20+P42+P41+P44</f>
        <v>4994853</v>
      </c>
      <c r="Q55" s="384">
        <f>+Q52+Q51+Q50+Q46+Q23+Q21+Q19+Q18+Q4+Q22+Q12+Q45+Q43+Q20+Q42+Q41+Q44</f>
        <v>5593457</v>
      </c>
      <c r="R55" s="387">
        <f>(P55-Q55)/Q55</f>
        <v>-0.10701861120948994</v>
      </c>
    </row>
    <row r="56" spans="1:21" ht="14.1" customHeight="1" x14ac:dyDescent="0.2">
      <c r="B56" s="322" t="s">
        <v>152</v>
      </c>
      <c r="C56" s="388">
        <f>+C48+C39+C37+C31+C29+C25+C16+C10+C8+C4+C27+C35+C14+C6</f>
        <v>34070</v>
      </c>
      <c r="D56" s="452">
        <f>+C56/C56</f>
        <v>1</v>
      </c>
      <c r="E56" s="388">
        <f>+E48+E39+E37+E31+E29+E25+E16+E10+E8+E4+E27+E35+E14+E6</f>
        <v>34339</v>
      </c>
      <c r="F56" s="390">
        <f>(C56-E56)/E56</f>
        <v>-7.8336585223798012E-3</v>
      </c>
      <c r="G56" s="388">
        <f>+G48+G39+G37+G31+G29+G25+G16+G10+G8+G4+G27+G35+G14+G6</f>
        <v>214787</v>
      </c>
      <c r="H56" s="388">
        <f>+H48+H39+H37+H31+H29+H25+H16+H10+H8+H4+H27+H35+H14+H6</f>
        <v>221170</v>
      </c>
      <c r="I56" s="391">
        <f>(G56-H56)/H56</f>
        <v>-2.8860152823619839E-2</v>
      </c>
      <c r="K56" s="322" t="s">
        <v>152</v>
      </c>
      <c r="L56" s="388">
        <f>+L48+L39+L37+L31+L29+L25+L16+L10+L8+L4+L27+L35+L14+L6</f>
        <v>3463038</v>
      </c>
      <c r="M56" s="389">
        <f>+L56/L56</f>
        <v>1</v>
      </c>
      <c r="N56" s="388">
        <f>+N48+N39+N37+N31+N29+N25+N16+N10+N8+N4+N27+N35+N14+N6</f>
        <v>3334269</v>
      </c>
      <c r="O56" s="390">
        <f>(L56-N56)/N56</f>
        <v>3.8619859405464883E-2</v>
      </c>
      <c r="P56" s="388">
        <f>+P48+P39+P37+P31+P29+P25+P16+P10+P8+P4+P27+P35+P14+P6</f>
        <v>20591940</v>
      </c>
      <c r="Q56" s="388">
        <f>+Q48+Q39+Q37+Q31+Q29+Q25+Q16+Q10+Q8+Q4+Q27+Q35+Q14+Q6</f>
        <v>20044786</v>
      </c>
      <c r="R56" s="391">
        <f>(P56-Q56)/Q56</f>
        <v>2.7296574780094934E-2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4"/>
      <c r="E58" s="216"/>
      <c r="F58" s="216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22"/>
      <c r="D59" s="4"/>
      <c r="E59" s="440"/>
      <c r="F59" s="216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53"/>
      <c r="D60" s="4"/>
      <c r="E60" s="440"/>
      <c r="F60" s="216"/>
      <c r="G60" s="4"/>
      <c r="H60" s="4"/>
      <c r="I60"/>
      <c r="J60"/>
      <c r="K60"/>
      <c r="L60"/>
      <c r="M60"/>
      <c r="O60"/>
      <c r="P60" s="435"/>
      <c r="Q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July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7">
        <v>42186</v>
      </c>
      <c r="B1" s="469" t="s">
        <v>19</v>
      </c>
      <c r="C1" s="469" t="s">
        <v>20</v>
      </c>
      <c r="D1" s="469" t="s">
        <v>21</v>
      </c>
      <c r="E1" s="469" t="s">
        <v>22</v>
      </c>
      <c r="F1" s="469" t="s">
        <v>181</v>
      </c>
      <c r="G1" s="469" t="s">
        <v>211</v>
      </c>
      <c r="H1" s="469" t="s">
        <v>188</v>
      </c>
      <c r="I1" s="469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[3]American!$ED$22</f>
        <v>44174</v>
      </c>
      <c r="C4" s="21">
        <f>[3]Delta!$ED$22+[3]Delta!$ED$32</f>
        <v>932418</v>
      </c>
      <c r="D4" s="21">
        <f>[3]United!$ED$22</f>
        <v>45008</v>
      </c>
      <c r="E4" s="21">
        <f>'[3]US Airways'!$ED$22</f>
        <v>49090</v>
      </c>
      <c r="F4" s="21">
        <f>[3]Spirit!$ED$22</f>
        <v>39906</v>
      </c>
      <c r="G4" s="21">
        <f>[3]Condor!$ED$32</f>
        <v>2240</v>
      </c>
      <c r="H4" s="21">
        <f>'[3]Air France'!$ED$32</f>
        <v>7801</v>
      </c>
      <c r="I4" s="21">
        <f>'Other Major Airline Stats'!I5</f>
        <v>224829</v>
      </c>
      <c r="J4" s="275">
        <f>SUM(B4:I4)</f>
        <v>1345466</v>
      </c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</row>
    <row r="5" spans="1:26" x14ac:dyDescent="0.2">
      <c r="A5" s="64" t="s">
        <v>34</v>
      </c>
      <c r="B5" s="14">
        <f>[3]American!$ED$23</f>
        <v>43781</v>
      </c>
      <c r="C5" s="14">
        <f>[3]Delta!$ED$23+[3]Delta!$ED$33</f>
        <v>928907</v>
      </c>
      <c r="D5" s="14">
        <f>[3]United!$ED$23</f>
        <v>44676</v>
      </c>
      <c r="E5" s="14">
        <f>'[3]US Airways'!$ED$23</f>
        <v>51034</v>
      </c>
      <c r="F5" s="14">
        <f>[3]Spirit!$ED$23</f>
        <v>39712</v>
      </c>
      <c r="G5" s="14">
        <f>[3]Condor!$ED$33</f>
        <v>1894</v>
      </c>
      <c r="H5" s="14">
        <f>'[3]Air France'!$ED$33</f>
        <v>6994</v>
      </c>
      <c r="I5" s="14">
        <f>'Other Major Airline Stats'!I6</f>
        <v>227577</v>
      </c>
      <c r="J5" s="276">
        <f>SUM(B5:I5)</f>
        <v>1344575</v>
      </c>
      <c r="L5" s="462"/>
      <c r="M5" s="462"/>
      <c r="N5" s="462"/>
      <c r="O5" s="462"/>
      <c r="P5" s="462"/>
      <c r="Q5" s="462"/>
      <c r="R5" s="462"/>
      <c r="S5" s="462"/>
    </row>
    <row r="6" spans="1:26" ht="15" x14ac:dyDescent="0.25">
      <c r="A6" s="62" t="s">
        <v>7</v>
      </c>
      <c r="B6" s="35">
        <f t="shared" ref="B6:I6" si="0">SUM(B4:B5)</f>
        <v>87955</v>
      </c>
      <c r="C6" s="35">
        <f t="shared" si="0"/>
        <v>1861325</v>
      </c>
      <c r="D6" s="35">
        <f t="shared" si="0"/>
        <v>89684</v>
      </c>
      <c r="E6" s="35">
        <f t="shared" si="0"/>
        <v>100124</v>
      </c>
      <c r="F6" s="35">
        <f t="shared" si="0"/>
        <v>79618</v>
      </c>
      <c r="G6" s="35">
        <f>SUM(G4:G5)</f>
        <v>4134</v>
      </c>
      <c r="H6" s="35">
        <f>SUM(H4:H5)</f>
        <v>14795</v>
      </c>
      <c r="I6" s="35">
        <f t="shared" si="0"/>
        <v>452406</v>
      </c>
      <c r="J6" s="277">
        <f>SUM(B6:I6)</f>
        <v>2690041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[3]American!$ED$27</f>
        <v>1558</v>
      </c>
      <c r="C9" s="21">
        <f>[3]Delta!$ED$27+[3]Delta!$ED$37</f>
        <v>30435</v>
      </c>
      <c r="D9" s="21">
        <f>[3]United!$ED$27</f>
        <v>1595</v>
      </c>
      <c r="E9" s="21">
        <f>'[3]US Airways'!$ED$27</f>
        <v>1777</v>
      </c>
      <c r="F9" s="21">
        <f>[3]Spirit!$ED$27</f>
        <v>419</v>
      </c>
      <c r="G9" s="21">
        <f>[3]Condor!$ED$37</f>
        <v>9</v>
      </c>
      <c r="H9" s="21">
        <f>'[3]Air France'!$ED$37</f>
        <v>32</v>
      </c>
      <c r="I9" s="21">
        <f>'Other Major Airline Stats'!I10</f>
        <v>3972</v>
      </c>
      <c r="J9" s="275">
        <f>SUM(B9:I9)</f>
        <v>39797</v>
      </c>
    </row>
    <row r="10" spans="1:26" x14ac:dyDescent="0.2">
      <c r="A10" s="64" t="s">
        <v>36</v>
      </c>
      <c r="B10" s="14">
        <f>[3]American!$ED$28</f>
        <v>1483</v>
      </c>
      <c r="C10" s="14">
        <f>[3]Delta!$ED$28+[3]Delta!$ED$38</f>
        <v>29968</v>
      </c>
      <c r="D10" s="14">
        <f>[3]United!$ED$28</f>
        <v>1666</v>
      </c>
      <c r="E10" s="14">
        <f>'[3]US Airways'!$ED$28</f>
        <v>1769</v>
      </c>
      <c r="F10" s="14">
        <f>[3]Spirit!$ED$28</f>
        <v>373</v>
      </c>
      <c r="G10" s="14">
        <f>[3]Condor!$ED$38</f>
        <v>12</v>
      </c>
      <c r="H10" s="14">
        <f>'[3]Air France'!$ED$38</f>
        <v>3</v>
      </c>
      <c r="I10" s="14">
        <f>'Other Major Airline Stats'!I11</f>
        <v>3998</v>
      </c>
      <c r="J10" s="276">
        <f>SUM(B10:I10)</f>
        <v>39272</v>
      </c>
    </row>
    <row r="11" spans="1:26" ht="15.75" thickBot="1" x14ac:dyDescent="0.3">
      <c r="A11" s="65" t="s">
        <v>37</v>
      </c>
      <c r="B11" s="278">
        <f t="shared" ref="B11:I11" si="1">SUM(B9:B10)</f>
        <v>3041</v>
      </c>
      <c r="C11" s="278">
        <f t="shared" si="1"/>
        <v>60403</v>
      </c>
      <c r="D11" s="278">
        <f t="shared" si="1"/>
        <v>3261</v>
      </c>
      <c r="E11" s="278">
        <f t="shared" si="1"/>
        <v>3546</v>
      </c>
      <c r="F11" s="278">
        <f t="shared" si="1"/>
        <v>792</v>
      </c>
      <c r="G11" s="278">
        <f>SUM(G9:G10)</f>
        <v>21</v>
      </c>
      <c r="H11" s="278">
        <f>SUM(H9:H10)</f>
        <v>35</v>
      </c>
      <c r="I11" s="278">
        <f t="shared" si="1"/>
        <v>7970</v>
      </c>
      <c r="J11" s="279">
        <f>SUM(B11:I11)</f>
        <v>79069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3">
        <f>[3]American!$ED$4</f>
        <v>328</v>
      </c>
      <c r="C15" s="463">
        <f>[3]Delta!$ED$4+[3]Delta!$ED$15</f>
        <v>6474</v>
      </c>
      <c r="D15" s="463">
        <f>[3]United!$ED$4+[3]United!$ED$15</f>
        <v>382</v>
      </c>
      <c r="E15" s="463">
        <f>'[3]US Airways'!$ED$4</f>
        <v>376</v>
      </c>
      <c r="F15" s="463">
        <f>[3]Spirit!$ED$4</f>
        <v>305</v>
      </c>
      <c r="G15" s="463">
        <f>[3]Condor!$ED$15</f>
        <v>9</v>
      </c>
      <c r="H15" s="463">
        <f>'[3]Air France'!$ED$15</f>
        <v>30</v>
      </c>
      <c r="I15" s="21">
        <f>'Other Major Airline Stats'!I16</f>
        <v>1889</v>
      </c>
      <c r="J15" s="28">
        <f>SUM(B15:I15)</f>
        <v>9793</v>
      </c>
    </row>
    <row r="16" spans="1:26" x14ac:dyDescent="0.2">
      <c r="A16" s="64" t="s">
        <v>26</v>
      </c>
      <c r="B16" s="14">
        <f>[3]American!$ED$5</f>
        <v>329</v>
      </c>
      <c r="C16" s="465">
        <f>[3]Delta!$ED$5+[3]Delta!$ED$16</f>
        <v>6467</v>
      </c>
      <c r="D16" s="465">
        <f>[3]United!$ED$5+[3]United!$ED$16</f>
        <v>382</v>
      </c>
      <c r="E16" s="465">
        <f>'[3]US Airways'!$ED$5</f>
        <v>379</v>
      </c>
      <c r="F16" s="465">
        <f>[3]Spirit!$ED$5</f>
        <v>305</v>
      </c>
      <c r="G16" s="14">
        <f>[3]Condor!$ED$16</f>
        <v>9</v>
      </c>
      <c r="H16" s="14">
        <f>'[3]Air France'!$ED$16</f>
        <v>30</v>
      </c>
      <c r="I16" s="14">
        <f>'Other Major Airline Stats'!I17</f>
        <v>1897</v>
      </c>
      <c r="J16" s="34">
        <f>SUM(B16:I16)</f>
        <v>9798</v>
      </c>
    </row>
    <row r="17" spans="1:10" x14ac:dyDescent="0.2">
      <c r="A17" s="64" t="s">
        <v>27</v>
      </c>
      <c r="B17" s="282">
        <f t="shared" ref="B17:I17" si="2">SUM(B15:B16)</f>
        <v>657</v>
      </c>
      <c r="C17" s="280">
        <f t="shared" si="2"/>
        <v>12941</v>
      </c>
      <c r="D17" s="280">
        <f t="shared" si="2"/>
        <v>764</v>
      </c>
      <c r="E17" s="280">
        <f t="shared" si="2"/>
        <v>755</v>
      </c>
      <c r="F17" s="280">
        <f t="shared" si="2"/>
        <v>610</v>
      </c>
      <c r="G17" s="280">
        <f>SUM(G15:G16)</f>
        <v>18</v>
      </c>
      <c r="H17" s="280">
        <f>SUM(H15:H16)</f>
        <v>60</v>
      </c>
      <c r="I17" s="280">
        <f t="shared" si="2"/>
        <v>3786</v>
      </c>
      <c r="J17" s="281">
        <f>SUM(B17:I17)</f>
        <v>19591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[3]American!$ED$8</f>
        <v>0</v>
      </c>
      <c r="C19" s="21">
        <f>[3]Delta!$ED$8</f>
        <v>4</v>
      </c>
      <c r="D19" s="21">
        <f>[3]United!$ED$8</f>
        <v>0</v>
      </c>
      <c r="E19" s="21">
        <f>'[3]US Airways'!$ED$8</f>
        <v>0</v>
      </c>
      <c r="F19" s="21">
        <f>[3]Spirit!$ED$8</f>
        <v>0</v>
      </c>
      <c r="G19" s="21">
        <f>[3]Condor!$ED$8</f>
        <v>0</v>
      </c>
      <c r="H19" s="21">
        <f>'[3]Air France'!$ED$8</f>
        <v>0</v>
      </c>
      <c r="I19" s="21">
        <f>'Other Major Airline Stats'!I20</f>
        <v>50</v>
      </c>
      <c r="J19" s="28">
        <f>SUM(B19:I19)</f>
        <v>54</v>
      </c>
    </row>
    <row r="20" spans="1:10" x14ac:dyDescent="0.2">
      <c r="A20" s="64" t="s">
        <v>29</v>
      </c>
      <c r="B20" s="14">
        <f>[3]American!$ED$9</f>
        <v>0</v>
      </c>
      <c r="C20" s="14">
        <f>[3]Delta!$ED$9</f>
        <v>16</v>
      </c>
      <c r="D20" s="14">
        <f>[3]United!$ED$9</f>
        <v>0</v>
      </c>
      <c r="E20" s="14">
        <f>'[3]US Airways'!$ED$9</f>
        <v>0</v>
      </c>
      <c r="F20" s="14">
        <f>[3]Spirit!$ED$9</f>
        <v>0</v>
      </c>
      <c r="G20" s="14">
        <f>[3]Condor!$ED$9</f>
        <v>0</v>
      </c>
      <c r="H20" s="14">
        <f>'[3]Air France'!$ED$9</f>
        <v>0</v>
      </c>
      <c r="I20" s="14">
        <f>'Other Major Airline Stats'!I21</f>
        <v>47</v>
      </c>
      <c r="J20" s="34">
        <f>SUM(B20:I20)</f>
        <v>63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20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97</v>
      </c>
      <c r="J21" s="172">
        <f>SUM(B21:I21)</f>
        <v>117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657</v>
      </c>
      <c r="C23" s="29">
        <f t="shared" si="4"/>
        <v>12961</v>
      </c>
      <c r="D23" s="29">
        <f t="shared" si="4"/>
        <v>764</v>
      </c>
      <c r="E23" s="29">
        <f t="shared" si="4"/>
        <v>755</v>
      </c>
      <c r="F23" s="29">
        <f>F17+F21</f>
        <v>610</v>
      </c>
      <c r="G23" s="29">
        <f>G17+G21</f>
        <v>18</v>
      </c>
      <c r="H23" s="29">
        <f>H17+H21</f>
        <v>60</v>
      </c>
      <c r="I23" s="29">
        <f t="shared" si="4"/>
        <v>3883</v>
      </c>
      <c r="J23" s="30">
        <f>SUM(B23:I23)</f>
        <v>19708</v>
      </c>
    </row>
    <row r="25" spans="1:10" ht="13.5" thickBot="1" x14ac:dyDescent="0.25">
      <c r="B25" s="439"/>
      <c r="C25" s="439"/>
      <c r="D25" s="439"/>
      <c r="E25" s="439"/>
      <c r="F25" s="439"/>
      <c r="G25" s="439"/>
      <c r="H25" s="439"/>
      <c r="I25" s="439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[3]American!$ED$47</f>
        <v>26703</v>
      </c>
      <c r="C28" s="21">
        <f>[3]Delta!$ED$47</f>
        <v>3897556</v>
      </c>
      <c r="D28" s="21">
        <f>[3]United!$ED$47</f>
        <v>44630</v>
      </c>
      <c r="E28" s="21">
        <f>'[3]US Airways'!$ED$47</f>
        <v>23482</v>
      </c>
      <c r="F28" s="21">
        <f>[3]Spirit!$ED$47</f>
        <v>0</v>
      </c>
      <c r="G28" s="21">
        <f>[3]Condor!$ED$47</f>
        <v>53141</v>
      </c>
      <c r="H28" s="21">
        <f>'[3]Air France'!$ED$47</f>
        <v>130960</v>
      </c>
      <c r="I28" s="21">
        <f>'Other Major Airline Stats'!I28</f>
        <v>428576</v>
      </c>
      <c r="J28" s="28">
        <f>SUM(B28:I28)</f>
        <v>4605048</v>
      </c>
    </row>
    <row r="29" spans="1:10" x14ac:dyDescent="0.2">
      <c r="A29" s="64" t="s">
        <v>41</v>
      </c>
      <c r="B29" s="14">
        <f>[3]American!$ED$48</f>
        <v>1363</v>
      </c>
      <c r="C29" s="14">
        <f>[3]Delta!$ED$48</f>
        <v>1201848</v>
      </c>
      <c r="D29" s="14">
        <f>[3]United!$ED$48</f>
        <v>256519</v>
      </c>
      <c r="E29" s="14">
        <f>'[3]US Airways'!$ED$48</f>
        <v>24514</v>
      </c>
      <c r="F29" s="14">
        <f>[3]Spirit!$ED$48</f>
        <v>0</v>
      </c>
      <c r="G29" s="14">
        <f>[3]Condor!$ED$48</f>
        <v>0</v>
      </c>
      <c r="H29" s="14">
        <f>'[3]Air France'!$ED$48</f>
        <v>0</v>
      </c>
      <c r="I29" s="14">
        <f>'Other Major Airline Stats'!I29</f>
        <v>158937</v>
      </c>
      <c r="J29" s="34">
        <f>SUM(B29:I29)</f>
        <v>1643181</v>
      </c>
    </row>
    <row r="30" spans="1:10" x14ac:dyDescent="0.2">
      <c r="A30" s="68" t="s">
        <v>42</v>
      </c>
      <c r="B30" s="282">
        <f t="shared" ref="B30:I30" si="5">SUM(B28:B29)</f>
        <v>28066</v>
      </c>
      <c r="C30" s="282">
        <f t="shared" si="5"/>
        <v>5099404</v>
      </c>
      <c r="D30" s="282">
        <f t="shared" si="5"/>
        <v>301149</v>
      </c>
      <c r="E30" s="282">
        <f t="shared" si="5"/>
        <v>47996</v>
      </c>
      <c r="F30" s="282">
        <f t="shared" si="5"/>
        <v>0</v>
      </c>
      <c r="G30" s="282">
        <f>SUM(G28:G29)</f>
        <v>53141</v>
      </c>
      <c r="H30" s="282">
        <f>SUM(H28:H29)</f>
        <v>130960</v>
      </c>
      <c r="I30" s="282">
        <f t="shared" si="5"/>
        <v>587513</v>
      </c>
      <c r="J30" s="28">
        <f>SUM(B30:I30)</f>
        <v>6248229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[3]American!$ED$52</f>
        <v>9531</v>
      </c>
      <c r="C33" s="21">
        <f>[3]Delta!$ED$52</f>
        <v>2296525</v>
      </c>
      <c r="D33" s="21">
        <f>[3]United!$ED$52</f>
        <v>66826</v>
      </c>
      <c r="E33" s="21">
        <f>'[3]US Airways'!$ED$52</f>
        <v>4726</v>
      </c>
      <c r="F33" s="21">
        <f>[3]Spirit!$ED$52</f>
        <v>0</v>
      </c>
      <c r="G33" s="21">
        <f>[3]Condor!$ED$52</f>
        <v>802</v>
      </c>
      <c r="H33" s="21">
        <f>'[3]Air France'!$ED$52</f>
        <v>920</v>
      </c>
      <c r="I33" s="21">
        <f>'Other Major Airline Stats'!I33</f>
        <v>209468</v>
      </c>
      <c r="J33" s="28">
        <f t="shared" si="6"/>
        <v>2588798</v>
      </c>
    </row>
    <row r="34" spans="1:10" x14ac:dyDescent="0.2">
      <c r="A34" s="64" t="s">
        <v>41</v>
      </c>
      <c r="B34" s="14">
        <f>[3]American!$ED$53</f>
        <v>6191</v>
      </c>
      <c r="C34" s="14">
        <f>[3]Delta!$ED$53</f>
        <v>1744852</v>
      </c>
      <c r="D34" s="14">
        <f>[3]United!$ED$53</f>
        <v>306870</v>
      </c>
      <c r="E34" s="14">
        <f>'[3]US Airways'!$ED$53</f>
        <v>20770</v>
      </c>
      <c r="F34" s="14">
        <f>[3]Spirit!$ED$53</f>
        <v>0</v>
      </c>
      <c r="G34" s="14">
        <f>[3]Condor!$ED$53</f>
        <v>0</v>
      </c>
      <c r="H34" s="14">
        <f>'[3]Air France'!$ED$53</f>
        <v>0</v>
      </c>
      <c r="I34" s="14">
        <f>'Other Major Airline Stats'!I34</f>
        <v>444136</v>
      </c>
      <c r="J34" s="34">
        <f t="shared" si="6"/>
        <v>2522819</v>
      </c>
    </row>
    <row r="35" spans="1:10" x14ac:dyDescent="0.2">
      <c r="A35" s="68" t="s">
        <v>44</v>
      </c>
      <c r="B35" s="282">
        <f t="shared" ref="B35:I35" si="7">SUM(B33:B34)</f>
        <v>15722</v>
      </c>
      <c r="C35" s="282">
        <f t="shared" si="7"/>
        <v>4041377</v>
      </c>
      <c r="D35" s="282">
        <f t="shared" si="7"/>
        <v>373696</v>
      </c>
      <c r="E35" s="282">
        <f t="shared" si="7"/>
        <v>25496</v>
      </c>
      <c r="F35" s="282">
        <f t="shared" si="7"/>
        <v>0</v>
      </c>
      <c r="G35" s="282">
        <f>SUM(G33:G34)</f>
        <v>802</v>
      </c>
      <c r="H35" s="282">
        <f>SUM(H33:H34)</f>
        <v>920</v>
      </c>
      <c r="I35" s="282">
        <f t="shared" si="7"/>
        <v>653604</v>
      </c>
      <c r="J35" s="28">
        <f t="shared" si="6"/>
        <v>5111617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[3]American!$ED$57</f>
        <v>0</v>
      </c>
      <c r="C38" s="21">
        <f>[3]Delta!$ED$57</f>
        <v>0</v>
      </c>
      <c r="D38" s="21">
        <f>[3]United!$ED$57</f>
        <v>0</v>
      </c>
      <c r="E38" s="21">
        <f>'[3]US Airways'!$ED$57</f>
        <v>0</v>
      </c>
      <c r="F38" s="21">
        <f>[3]Spirit!$ED$57</f>
        <v>0</v>
      </c>
      <c r="G38" s="21">
        <f>[3]Condor!$ED$57</f>
        <v>0</v>
      </c>
      <c r="H38" s="21">
        <f>'[3]Air France'!$ED$57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[3]American!$ED$58</f>
        <v>0</v>
      </c>
      <c r="C39" s="14">
        <f>[3]Delta!$ED$58</f>
        <v>0</v>
      </c>
      <c r="D39" s="14">
        <f>[3]United!$ED$58</f>
        <v>0</v>
      </c>
      <c r="E39" s="14">
        <f>'[3]US Airways'!$ED$58</f>
        <v>0</v>
      </c>
      <c r="F39" s="14">
        <f>[3]Spirit!$ED$58</f>
        <v>0</v>
      </c>
      <c r="G39" s="14">
        <f>[3]Condor!$ED$58</f>
        <v>0</v>
      </c>
      <c r="H39" s="14">
        <f>'[3]Air France'!$ED$58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36234</v>
      </c>
      <c r="C43" s="21">
        <f t="shared" si="9"/>
        <v>6194081</v>
      </c>
      <c r="D43" s="21">
        <f t="shared" si="9"/>
        <v>111456</v>
      </c>
      <c r="E43" s="21">
        <f t="shared" si="9"/>
        <v>28208</v>
      </c>
      <c r="F43" s="21">
        <f t="shared" ref="F43:H44" si="10">F28+F33+F38</f>
        <v>0</v>
      </c>
      <c r="G43" s="21">
        <f t="shared" si="10"/>
        <v>53943</v>
      </c>
      <c r="H43" s="21">
        <f t="shared" si="10"/>
        <v>131880</v>
      </c>
      <c r="I43" s="21">
        <f t="shared" si="9"/>
        <v>638044</v>
      </c>
      <c r="J43" s="28">
        <f>SUM(B43:I43)</f>
        <v>7193846</v>
      </c>
    </row>
    <row r="44" spans="1:10" x14ac:dyDescent="0.2">
      <c r="A44" s="64" t="s">
        <v>41</v>
      </c>
      <c r="B44" s="14">
        <f t="shared" si="9"/>
        <v>7554</v>
      </c>
      <c r="C44" s="14">
        <f t="shared" si="9"/>
        <v>2946700</v>
      </c>
      <c r="D44" s="14">
        <f t="shared" si="9"/>
        <v>563389</v>
      </c>
      <c r="E44" s="14">
        <f t="shared" si="9"/>
        <v>45284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603073</v>
      </c>
      <c r="J44" s="28">
        <f>SUM(B44:I44)</f>
        <v>4166000</v>
      </c>
    </row>
    <row r="45" spans="1:10" ht="15.75" thickBot="1" x14ac:dyDescent="0.3">
      <c r="A45" s="65" t="s">
        <v>49</v>
      </c>
      <c r="B45" s="283">
        <f t="shared" ref="B45:I45" si="11">SUM(B43:B44)</f>
        <v>43788</v>
      </c>
      <c r="C45" s="283">
        <f t="shared" si="11"/>
        <v>9140781</v>
      </c>
      <c r="D45" s="283">
        <f t="shared" si="11"/>
        <v>674845</v>
      </c>
      <c r="E45" s="283">
        <f t="shared" si="11"/>
        <v>73492</v>
      </c>
      <c r="F45" s="283">
        <f t="shared" si="11"/>
        <v>0</v>
      </c>
      <c r="G45" s="283">
        <f>SUM(G43:G44)</f>
        <v>53943</v>
      </c>
      <c r="H45" s="283">
        <f>SUM(H43:H44)</f>
        <v>131880</v>
      </c>
      <c r="I45" s="283">
        <f t="shared" si="11"/>
        <v>1241117</v>
      </c>
      <c r="J45" s="284">
        <f>SUM(B45:I45)</f>
        <v>11359846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2" t="s">
        <v>136</v>
      </c>
      <c r="C47" s="312">
        <f>[3]Delta!$ED$70+[3]Delta!$ED$73</f>
        <v>350198</v>
      </c>
      <c r="D47" s="300"/>
      <c r="E47" s="300"/>
      <c r="F47" s="300"/>
      <c r="G47" s="300"/>
      <c r="H47" s="300"/>
      <c r="I47" s="300"/>
      <c r="J47" s="301">
        <f>SUM(B47:I47)</f>
        <v>350198</v>
      </c>
    </row>
    <row r="48" spans="1:10" hidden="1" x14ac:dyDescent="0.2">
      <c r="A48" s="393" t="s">
        <v>137</v>
      </c>
      <c r="C48" s="312">
        <f>[3]Delta!$ED$71+[3]Delta!$ED$74</f>
        <v>578709</v>
      </c>
      <c r="D48" s="300"/>
      <c r="E48" s="300"/>
      <c r="F48" s="300"/>
      <c r="G48" s="300"/>
      <c r="H48" s="300"/>
      <c r="I48" s="300"/>
      <c r="J48" s="301">
        <f>SUM(B48:I48)</f>
        <v>578709</v>
      </c>
    </row>
    <row r="49" spans="1:10" hidden="1" x14ac:dyDescent="0.2">
      <c r="A49" s="394" t="s">
        <v>138</v>
      </c>
      <c r="C49" s="313">
        <f>SUM(C47:C48)</f>
        <v>928907</v>
      </c>
      <c r="J49" s="301">
        <f>SUM(B49:I49)</f>
        <v>928907</v>
      </c>
    </row>
    <row r="50" spans="1:10" x14ac:dyDescent="0.2">
      <c r="A50" s="392" t="s">
        <v>136</v>
      </c>
      <c r="B50" s="406"/>
      <c r="C50" s="315">
        <f>[3]Delta!$ED$70+[3]Delta!$ED$73</f>
        <v>350198</v>
      </c>
      <c r="D50" s="406"/>
      <c r="E50" s="406"/>
      <c r="F50" s="406"/>
      <c r="G50" s="406"/>
      <c r="H50" s="406"/>
      <c r="I50" s="314">
        <f>'Other Major Airline Stats'!I48</f>
        <v>169902</v>
      </c>
      <c r="J50" s="304">
        <f>SUM(B50:I50)</f>
        <v>520100</v>
      </c>
    </row>
    <row r="51" spans="1:10" x14ac:dyDescent="0.2">
      <c r="A51" s="408" t="s">
        <v>137</v>
      </c>
      <c r="B51" s="406"/>
      <c r="C51" s="315">
        <f>[3]Delta!$ED$71+[3]Delta!$ED$74</f>
        <v>578709</v>
      </c>
      <c r="D51" s="406"/>
      <c r="E51" s="406"/>
      <c r="F51" s="406"/>
      <c r="G51" s="406"/>
      <c r="H51" s="406"/>
      <c r="I51" s="314">
        <f>+'Other Major Airline Stats'!I49</f>
        <v>14830</v>
      </c>
      <c r="J51" s="304">
        <f>SUM(B51:I51)</f>
        <v>593539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G20" sqref="G20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397">
        <v>42186</v>
      </c>
      <c r="B2" s="23" t="s">
        <v>50</v>
      </c>
      <c r="C2" s="470" t="s">
        <v>51</v>
      </c>
      <c r="D2" s="470" t="s">
        <v>179</v>
      </c>
      <c r="E2" s="470" t="s">
        <v>52</v>
      </c>
      <c r="F2" s="471" t="s">
        <v>145</v>
      </c>
      <c r="G2" s="471" t="s">
        <v>53</v>
      </c>
      <c r="H2" s="471" t="s">
        <v>143</v>
      </c>
      <c r="I2" s="472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[3]AirTran!$ED$22</f>
        <v>0</v>
      </c>
      <c r="C5" s="143">
        <f>[3]Frontier!$ED$22</f>
        <v>27038</v>
      </c>
      <c r="D5" s="143">
        <f>'[3]Great Lakes'!$ED$22</f>
        <v>391</v>
      </c>
      <c r="E5" s="143">
        <f>[3]Icelandair!$ED$32</f>
        <v>5333</v>
      </c>
      <c r="F5" s="115">
        <f>[3]Southwest!$ED$22</f>
        <v>90360</v>
      </c>
      <c r="G5" s="115">
        <f>'[3]Sun Country'!$ED$22+'[3]Sun Country'!$ED$32</f>
        <v>92133</v>
      </c>
      <c r="H5" s="115">
        <f>[3]Alaska!$ED$22</f>
        <v>9574</v>
      </c>
      <c r="I5" s="144">
        <f>SUM(B5:H5)</f>
        <v>224829</v>
      </c>
      <c r="K5" s="462"/>
      <c r="L5" s="462"/>
      <c r="M5" s="462"/>
      <c r="N5" s="462"/>
      <c r="O5" s="462"/>
      <c r="P5" s="462"/>
      <c r="Q5" s="462"/>
    </row>
    <row r="6" spans="1:17" x14ac:dyDescent="0.2">
      <c r="A6" s="64" t="s">
        <v>34</v>
      </c>
      <c r="B6" s="285">
        <f>[3]AirTran!$ED$23</f>
        <v>0</v>
      </c>
      <c r="C6" s="143">
        <f>[3]Frontier!$ED$23</f>
        <v>27238</v>
      </c>
      <c r="D6" s="143">
        <f>'[3]Great Lakes'!$ED$23</f>
        <v>458</v>
      </c>
      <c r="E6" s="143">
        <f>[3]Icelandair!$ED$33</f>
        <v>5143</v>
      </c>
      <c r="F6" s="115">
        <f>[3]Southwest!$ED$23</f>
        <v>89655</v>
      </c>
      <c r="G6" s="115">
        <f>'[3]Sun Country'!$ED$23+'[3]Sun Country'!$ED$33</f>
        <v>95077</v>
      </c>
      <c r="H6" s="115">
        <f>[3]Alaska!$ED$23</f>
        <v>10006</v>
      </c>
      <c r="I6" s="144">
        <f>SUM(B6:H6)</f>
        <v>227577</v>
      </c>
      <c r="K6" s="462"/>
      <c r="L6" s="462"/>
      <c r="M6" s="462"/>
      <c r="N6" s="462"/>
      <c r="O6" s="462"/>
      <c r="P6" s="462"/>
      <c r="Q6" s="462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54276</v>
      </c>
      <c r="D7" s="152">
        <f t="shared" si="0"/>
        <v>849</v>
      </c>
      <c r="E7" s="152">
        <f t="shared" si="0"/>
        <v>10476</v>
      </c>
      <c r="F7" s="152">
        <f t="shared" si="0"/>
        <v>180015</v>
      </c>
      <c r="G7" s="152">
        <f>SUM(G5:G6)</f>
        <v>187210</v>
      </c>
      <c r="H7" s="152">
        <f t="shared" si="0"/>
        <v>19580</v>
      </c>
      <c r="I7" s="153">
        <f>SUM(B7:H7)</f>
        <v>452406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[3]AirTran!$ED$27</f>
        <v>0</v>
      </c>
      <c r="C10" s="151">
        <f>[3]Frontier!$ED$27</f>
        <v>187</v>
      </c>
      <c r="D10" s="151">
        <f>'[3]Great Lakes'!$ED$27</f>
        <v>38</v>
      </c>
      <c r="E10" s="151">
        <f>[3]Icelandair!$ED$37</f>
        <v>58</v>
      </c>
      <c r="F10" s="151">
        <f>[3]Southwest!$ED$27</f>
        <v>1241</v>
      </c>
      <c r="G10" s="151">
        <f>'[3]Sun Country'!$ED$27+'[3]Sun Country'!$ED$37</f>
        <v>2041</v>
      </c>
      <c r="H10" s="151">
        <f>[3]Alaska!$ED$27</f>
        <v>407</v>
      </c>
      <c r="I10" s="144">
        <f>SUM(B10:H10)</f>
        <v>3972</v>
      </c>
    </row>
    <row r="11" spans="1:17" x14ac:dyDescent="0.2">
      <c r="A11" s="64" t="s">
        <v>36</v>
      </c>
      <c r="B11" s="14">
        <f>[3]AirTran!$ED$28</f>
        <v>0</v>
      </c>
      <c r="C11" s="154">
        <f>[3]Frontier!$ED$28</f>
        <v>229</v>
      </c>
      <c r="D11" s="154">
        <f>'[3]Great Lakes'!$ED$28</f>
        <v>28</v>
      </c>
      <c r="E11" s="154">
        <f>[3]Icelandair!$ED$38</f>
        <v>50</v>
      </c>
      <c r="F11" s="154">
        <f>[3]Southwest!$ED$28</f>
        <v>1309</v>
      </c>
      <c r="G11" s="154">
        <f>'[3]Sun Country'!$ED$28+'[3]Sun Country'!$ED$38</f>
        <v>1892</v>
      </c>
      <c r="H11" s="154">
        <f>[3]Alaska!$ED$28</f>
        <v>490</v>
      </c>
      <c r="I11" s="144">
        <f>SUM(B11:H11)</f>
        <v>3998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416</v>
      </c>
      <c r="D12" s="147">
        <f t="shared" si="1"/>
        <v>66</v>
      </c>
      <c r="E12" s="147">
        <f t="shared" si="1"/>
        <v>108</v>
      </c>
      <c r="F12" s="147">
        <f t="shared" si="1"/>
        <v>2550</v>
      </c>
      <c r="G12" s="147">
        <f>SUM(G10:G11)</f>
        <v>3933</v>
      </c>
      <c r="H12" s="147">
        <f t="shared" si="1"/>
        <v>897</v>
      </c>
      <c r="I12" s="155">
        <f>SUM(B12:H12)</f>
        <v>7970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[3]AirTran!$ED$4</f>
        <v>0</v>
      </c>
      <c r="C16" s="143">
        <f>[3]Frontier!$ED$4</f>
        <v>201</v>
      </c>
      <c r="D16" s="143">
        <f>'[3]Great Lakes'!$ED$4</f>
        <v>123</v>
      </c>
      <c r="E16" s="143">
        <f>[3]Icelandair!$ED$15</f>
        <v>31</v>
      </c>
      <c r="F16" s="464">
        <f>[3]Southwest!$ED$4</f>
        <v>738</v>
      </c>
      <c r="G16" s="143">
        <f>'[3]Sun Country'!$ED$4+'[3]Sun Country'!$ED$15</f>
        <v>735</v>
      </c>
      <c r="H16" s="143">
        <f>[3]Alaska!$ED$4</f>
        <v>61</v>
      </c>
      <c r="I16" s="144">
        <f>SUM(B16:H16)</f>
        <v>1889</v>
      </c>
    </row>
    <row r="17" spans="1:256" x14ac:dyDescent="0.2">
      <c r="A17" s="64" t="s">
        <v>26</v>
      </c>
      <c r="B17" s="14">
        <f>[3]AirTran!$ED$5</f>
        <v>0</v>
      </c>
      <c r="C17" s="143">
        <f>[3]Frontier!$ED$5</f>
        <v>202</v>
      </c>
      <c r="D17" s="143">
        <f>'[3]Great Lakes'!$ED$5</f>
        <v>124</v>
      </c>
      <c r="E17" s="143">
        <f>[3]Icelandair!$ED$16</f>
        <v>31</v>
      </c>
      <c r="F17" s="103">
        <f>[3]Southwest!$ED$5</f>
        <v>738</v>
      </c>
      <c r="G17" s="115">
        <f>'[3]Sun Country'!$ED$5+'[3]Sun Country'!$ED$16</f>
        <v>741</v>
      </c>
      <c r="H17" s="115">
        <f>[3]Alaska!$ED$5</f>
        <v>61</v>
      </c>
      <c r="I17" s="144">
        <f>SUM(B17:H17)</f>
        <v>1897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403</v>
      </c>
      <c r="D18" s="145">
        <f t="shared" si="2"/>
        <v>247</v>
      </c>
      <c r="E18" s="145">
        <f t="shared" si="2"/>
        <v>62</v>
      </c>
      <c r="F18" s="145">
        <f t="shared" si="2"/>
        <v>1476</v>
      </c>
      <c r="G18" s="145">
        <f t="shared" si="2"/>
        <v>1476</v>
      </c>
      <c r="H18" s="145">
        <f t="shared" si="2"/>
        <v>122</v>
      </c>
      <c r="I18" s="146">
        <f>SUM(B18:H18)</f>
        <v>3786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[3]AirTran!$ED$8</f>
        <v>0</v>
      </c>
      <c r="C20" s="143">
        <f>[3]Frontier!$ED$8</f>
        <v>0</v>
      </c>
      <c r="D20" s="143">
        <f>'[3]Great Lakes'!$ED$8</f>
        <v>0</v>
      </c>
      <c r="E20" s="143">
        <f>[3]Icelandair!$ED$8</f>
        <v>0</v>
      </c>
      <c r="F20" s="115">
        <f>[3]Southwest!$ED$8</f>
        <v>1</v>
      </c>
      <c r="G20" s="143">
        <f>'[3]Sun Country'!$ED$8</f>
        <v>49</v>
      </c>
      <c r="H20" s="115">
        <f>[3]Alaska!$ED$8</f>
        <v>0</v>
      </c>
      <c r="I20" s="144">
        <f>SUM(B20:H20)</f>
        <v>50</v>
      </c>
    </row>
    <row r="21" spans="1:256" x14ac:dyDescent="0.2">
      <c r="A21" s="64" t="s">
        <v>29</v>
      </c>
      <c r="B21" s="14">
        <f>[3]AirTran!$ED$9</f>
        <v>0</v>
      </c>
      <c r="C21" s="143">
        <f>[3]Frontier!$ED$9</f>
        <v>0</v>
      </c>
      <c r="D21" s="143">
        <f>'[3]Great Lakes'!$ED$9</f>
        <v>0</v>
      </c>
      <c r="E21" s="143">
        <f>[3]Icelandair!$ED$9</f>
        <v>0</v>
      </c>
      <c r="F21" s="115">
        <f>[3]Southwest!$ED$9</f>
        <v>2</v>
      </c>
      <c r="G21" s="115">
        <f>'[3]Sun Country'!$ED$9</f>
        <v>45</v>
      </c>
      <c r="H21" s="115">
        <f>[3]Alaska!$ED$9</f>
        <v>0</v>
      </c>
      <c r="I21" s="144">
        <f>SUM(B21:H21)</f>
        <v>47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3</v>
      </c>
      <c r="G22" s="145">
        <f t="shared" si="3"/>
        <v>94</v>
      </c>
      <c r="H22" s="145">
        <f t="shared" si="3"/>
        <v>0</v>
      </c>
      <c r="I22" s="146">
        <f>SUM(B22:H22)</f>
        <v>97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403</v>
      </c>
      <c r="D23" s="147">
        <f t="shared" si="4"/>
        <v>247</v>
      </c>
      <c r="E23" s="147">
        <f t="shared" si="4"/>
        <v>62</v>
      </c>
      <c r="F23" s="147">
        <f t="shared" si="4"/>
        <v>1479</v>
      </c>
      <c r="G23" s="147">
        <f t="shared" si="4"/>
        <v>1570</v>
      </c>
      <c r="H23" s="147">
        <f t="shared" si="4"/>
        <v>122</v>
      </c>
      <c r="I23" s="148">
        <f>SUM(B23:H23)</f>
        <v>3883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9"/>
      <c r="C25" s="439"/>
      <c r="D25" s="439"/>
      <c r="E25" s="439"/>
      <c r="F25" s="439"/>
      <c r="G25" s="439"/>
      <c r="H25" s="439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[3]AirTran!$ED$47</f>
        <v>0</v>
      </c>
      <c r="C28" s="143">
        <f>[3]Frontier!$ED$47</f>
        <v>0</v>
      </c>
      <c r="D28" s="143">
        <f>'[3]Great Lakes'!$ED$47</f>
        <v>58</v>
      </c>
      <c r="E28" s="143">
        <f>[3]Icelandair!$ED$47</f>
        <v>40048</v>
      </c>
      <c r="F28" s="115">
        <f>[3]Southwest!$ED$47</f>
        <v>218354</v>
      </c>
      <c r="G28" s="115">
        <f>'[3]Sun Country'!$ED$47</f>
        <v>124213</v>
      </c>
      <c r="H28" s="115">
        <f>[3]Alaska!$ED$47</f>
        <v>45903</v>
      </c>
      <c r="I28" s="144">
        <f>SUM(B28:H28)</f>
        <v>428576</v>
      </c>
    </row>
    <row r="29" spans="1:256" x14ac:dyDescent="0.2">
      <c r="A29" s="64" t="s">
        <v>41</v>
      </c>
      <c r="B29" s="14">
        <f>[3]AirTran!$ED$48</f>
        <v>0</v>
      </c>
      <c r="C29" s="143">
        <f>[3]Frontier!$ED$48</f>
        <v>0</v>
      </c>
      <c r="D29" s="143">
        <f>'[3]Great Lakes'!$ED$48</f>
        <v>0</v>
      </c>
      <c r="E29" s="143">
        <f>[3]Icelandair!$ED$48</f>
        <v>0</v>
      </c>
      <c r="F29" s="115">
        <f>[3]Southwest!$ED$48</f>
        <v>0</v>
      </c>
      <c r="G29" s="115">
        <f>'[3]Sun Country'!$ED$48</f>
        <v>158937</v>
      </c>
      <c r="H29" s="115">
        <f>[3]Alaska!$ED$48</f>
        <v>0</v>
      </c>
      <c r="I29" s="144">
        <f>SUM(B29:H29)</f>
        <v>158937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58</v>
      </c>
      <c r="E30" s="159">
        <f t="shared" si="5"/>
        <v>40048</v>
      </c>
      <c r="F30" s="159">
        <f t="shared" si="5"/>
        <v>218354</v>
      </c>
      <c r="G30" s="159">
        <f t="shared" si="5"/>
        <v>283150</v>
      </c>
      <c r="H30" s="159">
        <f t="shared" si="5"/>
        <v>45903</v>
      </c>
      <c r="I30" s="162">
        <f>SUM(B30:H30)</f>
        <v>587513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[3]AirTran!$ED$52</f>
        <v>0</v>
      </c>
      <c r="C33" s="143">
        <f>[3]Frontier!$ED$52</f>
        <v>0</v>
      </c>
      <c r="D33" s="143">
        <f>'[3]Great Lakes'!$ED$52</f>
        <v>0</v>
      </c>
      <c r="E33" s="143">
        <f>[3]Icelandair!$ED$52</f>
        <v>242</v>
      </c>
      <c r="F33" s="115">
        <f>[3]Southwest!$ED$52</f>
        <v>137184</v>
      </c>
      <c r="G33" s="115">
        <f>'[3]Sun Country'!$ED$52</f>
        <v>63010</v>
      </c>
      <c r="H33" s="115">
        <f>[3]Alaska!$ED$52</f>
        <v>9032</v>
      </c>
      <c r="I33" s="144">
        <f>SUM(B33:H33)</f>
        <v>209468</v>
      </c>
    </row>
    <row r="34" spans="1:9" x14ac:dyDescent="0.2">
      <c r="A34" s="64" t="s">
        <v>41</v>
      </c>
      <c r="B34" s="14">
        <f>[3]AirTran!$ED$53</f>
        <v>0</v>
      </c>
      <c r="C34" s="143">
        <f>[3]Frontier!$ED$53</f>
        <v>0</v>
      </c>
      <c r="D34" s="143">
        <f>'[3]Great Lakes'!$ED$53</f>
        <v>0</v>
      </c>
      <c r="E34" s="143">
        <f>[3]Icelandair!$ED$53</f>
        <v>0</v>
      </c>
      <c r="F34" s="115">
        <f>[3]Southwest!$ED$53</f>
        <v>0</v>
      </c>
      <c r="G34" s="115">
        <f>'[3]Sun Country'!$ED$53</f>
        <v>444136</v>
      </c>
      <c r="H34" s="115">
        <f>[3]Alaska!$ED$53</f>
        <v>0</v>
      </c>
      <c r="I34" s="160">
        <f>SUM(B34:H34)</f>
        <v>444136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0</v>
      </c>
      <c r="E35" s="161">
        <f t="shared" si="6"/>
        <v>242</v>
      </c>
      <c r="F35" s="161">
        <f t="shared" si="6"/>
        <v>137184</v>
      </c>
      <c r="G35" s="161">
        <f t="shared" si="6"/>
        <v>507146</v>
      </c>
      <c r="H35" s="161">
        <f t="shared" si="6"/>
        <v>9032</v>
      </c>
      <c r="I35" s="162">
        <f>SUM(B35:H35)</f>
        <v>653604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[3]AirTran!$ED$57</f>
        <v>0</v>
      </c>
      <c r="C38" s="151">
        <f>[3]Frontier!$ED$57</f>
        <v>0</v>
      </c>
      <c r="D38" s="151">
        <f>'[3]Great Lakes'!$ED$57</f>
        <v>0</v>
      </c>
      <c r="E38" s="151">
        <f>[3]Icelandair!$ED$57</f>
        <v>0</v>
      </c>
      <c r="F38" s="151">
        <f>[3]Southwest!$ED$57</f>
        <v>0</v>
      </c>
      <c r="G38" s="151">
        <f>'[3]Sun Country'!$ED$57</f>
        <v>0</v>
      </c>
      <c r="H38" s="151">
        <f>[3]Alaska!$ED$57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[3]AirTran!$ED$58</f>
        <v>0</v>
      </c>
      <c r="C39" s="154">
        <f>[3]Frontier!$ED$58</f>
        <v>0</v>
      </c>
      <c r="D39" s="154">
        <f>'[3]Great Lakes'!$ED$58</f>
        <v>0</v>
      </c>
      <c r="E39" s="154">
        <f>[3]Icelandair!$ED$58</f>
        <v>0</v>
      </c>
      <c r="F39" s="154">
        <f>[3]Southwest!$ED$58</f>
        <v>0</v>
      </c>
      <c r="G39" s="154">
        <f>'[3]Sun Country'!$ED$58</f>
        <v>0</v>
      </c>
      <c r="H39" s="154">
        <f>[3]Alaska!$ED$58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58</v>
      </c>
      <c r="E43" s="151">
        <f t="shared" si="8"/>
        <v>40290</v>
      </c>
      <c r="F43" s="151">
        <f t="shared" si="8"/>
        <v>355538</v>
      </c>
      <c r="G43" s="151">
        <f t="shared" si="8"/>
        <v>187223</v>
      </c>
      <c r="H43" s="151">
        <f t="shared" si="8"/>
        <v>54935</v>
      </c>
      <c r="I43" s="144">
        <f>SUM(B43:H43)</f>
        <v>638044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603073</v>
      </c>
      <c r="H44" s="154">
        <f t="shared" si="9"/>
        <v>0</v>
      </c>
      <c r="I44" s="144">
        <f>SUM(B44:H44)</f>
        <v>603073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58</v>
      </c>
      <c r="E45" s="164">
        <f t="shared" si="10"/>
        <v>40290</v>
      </c>
      <c r="F45" s="164">
        <f t="shared" si="10"/>
        <v>355538</v>
      </c>
      <c r="G45" s="164">
        <f t="shared" si="10"/>
        <v>790296</v>
      </c>
      <c r="H45" s="164">
        <f t="shared" si="10"/>
        <v>54935</v>
      </c>
      <c r="I45" s="165">
        <f>SUM(B45:H45)</f>
        <v>1241117</v>
      </c>
    </row>
    <row r="48" spans="1:9" x14ac:dyDescent="0.2">
      <c r="A48" s="392" t="s">
        <v>136</v>
      </c>
      <c r="B48" s="406"/>
      <c r="C48" s="406"/>
      <c r="D48" s="406"/>
      <c r="F48" s="315">
        <f>[3]Southwest!$ED$70+[3]Southwest!$ED$73</f>
        <v>89271</v>
      </c>
      <c r="G48" s="315">
        <f>'[3]Sun Country'!$ED$70+'[3]Sun Country'!$ED$73</f>
        <v>80631</v>
      </c>
      <c r="H48" s="406"/>
      <c r="I48" s="304">
        <f>SUM(B48:H48)</f>
        <v>169902</v>
      </c>
    </row>
    <row r="49" spans="1:9" x14ac:dyDescent="0.2">
      <c r="A49" s="408" t="s">
        <v>137</v>
      </c>
      <c r="B49" s="406"/>
      <c r="C49" s="406"/>
      <c r="D49" s="406"/>
      <c r="F49" s="315">
        <f>[3]Southwest!$ED$71+[3]Southwest!$ED$74</f>
        <v>384</v>
      </c>
      <c r="G49" s="315">
        <f>'[3]Sun Country'!$ED$71+'[3]Sun Country'!$ED$74</f>
        <v>14446</v>
      </c>
      <c r="H49" s="406"/>
      <c r="I49" s="304">
        <f>SUM(B49:H49)</f>
        <v>14830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July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zoomScaleNormal="100" workbookViewId="0">
      <selection activeCell="B15" sqref="B15:J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4"/>
    </row>
    <row r="2" spans="1:20" s="7" customFormat="1" ht="39" thickBot="1" x14ac:dyDescent="0.25">
      <c r="A2" s="397">
        <v>42186</v>
      </c>
      <c r="B2" s="468" t="s">
        <v>193</v>
      </c>
      <c r="C2" s="468" t="s">
        <v>198</v>
      </c>
      <c r="D2" s="468" t="s">
        <v>212</v>
      </c>
      <c r="E2" s="468" t="s">
        <v>197</v>
      </c>
      <c r="F2" s="468" t="s">
        <v>170</v>
      </c>
      <c r="G2" s="468" t="s">
        <v>171</v>
      </c>
      <c r="H2" s="467" t="s">
        <v>58</v>
      </c>
      <c r="I2" s="468" t="s">
        <v>174</v>
      </c>
      <c r="J2" s="468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[3]Pinnacle!$ED$22+[3]Pinnacle!$ED$32</f>
        <v>149317</v>
      </c>
      <c r="C5" s="129">
        <f>[3]Chautaqua_Continental!$ED$22</f>
        <v>0</v>
      </c>
      <c r="D5" s="129">
        <f>[3]Chautaqua_AA!$ED$22</f>
        <v>0</v>
      </c>
      <c r="E5" s="129">
        <f>[3]MESA_UA!$ED$22</f>
        <v>10592</v>
      </c>
      <c r="F5" s="127">
        <f>'[3]Sky West'!$ED$22+'[3]Sky West'!$ED$32</f>
        <v>114065</v>
      </c>
      <c r="G5" s="127">
        <f>'[3]Sky West_UA'!$ED$22</f>
        <v>10041</v>
      </c>
      <c r="H5" s="127">
        <f>[3]Republic!$ED$22</f>
        <v>56</v>
      </c>
      <c r="I5" s="127">
        <f>'[3]American Eagle'!$ED$22</f>
        <v>6357</v>
      </c>
      <c r="J5" s="127">
        <f>'Other Regional'!L5</f>
        <v>98403</v>
      </c>
      <c r="K5" s="106">
        <f>SUM(B5:J5)</f>
        <v>388831</v>
      </c>
      <c r="M5" s="462"/>
      <c r="N5" s="462"/>
      <c r="O5" s="462"/>
      <c r="P5" s="462"/>
      <c r="Q5" s="462"/>
      <c r="R5" s="462"/>
      <c r="S5" s="462"/>
      <c r="T5" s="462"/>
    </row>
    <row r="6" spans="1:20" s="10" customFormat="1" x14ac:dyDescent="0.2">
      <c r="A6" s="64" t="s">
        <v>34</v>
      </c>
      <c r="B6" s="128">
        <f>[3]Pinnacle!$ED$23+[3]Pinnacle!$ED$33</f>
        <v>147353</v>
      </c>
      <c r="C6" s="129">
        <f>[3]Chautaqua_Continental!$ED$23</f>
        <v>0</v>
      </c>
      <c r="D6" s="129">
        <f>[3]Chautaqua_AA!$ED$23</f>
        <v>0</v>
      </c>
      <c r="E6" s="129">
        <f>[3]MESA_UA!$ED$23</f>
        <v>9986</v>
      </c>
      <c r="F6" s="127">
        <f>'[3]Sky West'!$ED$23+'[3]Sky West'!$ED$33</f>
        <v>113631</v>
      </c>
      <c r="G6" s="127">
        <f>'[3]Sky West_UA'!$ED$23</f>
        <v>10042</v>
      </c>
      <c r="H6" s="127">
        <f>[3]Republic!$ED$23</f>
        <v>59</v>
      </c>
      <c r="I6" s="127">
        <f>'[3]American Eagle'!$ED$23</f>
        <v>5874</v>
      </c>
      <c r="J6" s="127">
        <f>'Other Regional'!L6</f>
        <v>97221</v>
      </c>
      <c r="K6" s="112">
        <f>SUM(B6:J6)</f>
        <v>384166</v>
      </c>
      <c r="M6" s="462"/>
      <c r="N6" s="462"/>
      <c r="O6" s="462"/>
      <c r="P6" s="462"/>
      <c r="Q6" s="462"/>
      <c r="R6" s="462"/>
      <c r="S6" s="462"/>
      <c r="T6" s="462"/>
    </row>
    <row r="7" spans="1:20" ht="15" thickBot="1" x14ac:dyDescent="0.25">
      <c r="A7" s="75" t="s">
        <v>7</v>
      </c>
      <c r="B7" s="130">
        <f>SUM(B5:B6)</f>
        <v>296670</v>
      </c>
      <c r="C7" s="130">
        <f t="shared" ref="C7:J7" si="0">SUM(C5:C6)</f>
        <v>0</v>
      </c>
      <c r="D7" s="130">
        <f>SUM(D5:D6)</f>
        <v>0</v>
      </c>
      <c r="E7" s="130">
        <f t="shared" si="0"/>
        <v>20578</v>
      </c>
      <c r="F7" s="130">
        <f t="shared" si="0"/>
        <v>227696</v>
      </c>
      <c r="G7" s="130">
        <f t="shared" si="0"/>
        <v>20083</v>
      </c>
      <c r="H7" s="130">
        <f t="shared" si="0"/>
        <v>115</v>
      </c>
      <c r="I7" s="130">
        <f t="shared" si="0"/>
        <v>12231</v>
      </c>
      <c r="J7" s="130">
        <f t="shared" si="0"/>
        <v>195624</v>
      </c>
      <c r="K7" s="131">
        <f>SUM(B7:J7)</f>
        <v>772997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[3]Pinnacle!$ED$27+[3]Pinnacle!$ED$37</f>
        <v>5236</v>
      </c>
      <c r="C10" s="129">
        <f>[3]Chautaqua_Continental!$ED$27</f>
        <v>0</v>
      </c>
      <c r="D10" s="129">
        <f>[3]Chautaqua_AA!$ED$27</f>
        <v>0</v>
      </c>
      <c r="E10" s="129">
        <f>[3]MESA_UA!$ED$27</f>
        <v>458</v>
      </c>
      <c r="F10" s="127">
        <f>'[3]Sky West'!$ED$27+'[3]Sky West'!$ED$37</f>
        <v>3906</v>
      </c>
      <c r="G10" s="127">
        <f>'[3]Sky West_UA'!$ED$27</f>
        <v>280</v>
      </c>
      <c r="H10" s="127">
        <f>[3]Republic!$ED$27</f>
        <v>0</v>
      </c>
      <c r="I10" s="127">
        <f>'[3]American Eagle'!$ED$27</f>
        <v>0</v>
      </c>
      <c r="J10" s="127">
        <f>'Other Regional'!L10</f>
        <v>2976</v>
      </c>
      <c r="K10" s="106">
        <f>SUM(B10:J10)</f>
        <v>12856</v>
      </c>
    </row>
    <row r="11" spans="1:20" x14ac:dyDescent="0.2">
      <c r="A11" s="64" t="s">
        <v>36</v>
      </c>
      <c r="B11" s="128">
        <f>[3]Pinnacle!$ED$28+[3]Pinnacle!$ED$38</f>
        <v>5339</v>
      </c>
      <c r="C11" s="129">
        <f>[3]Chautaqua_Continental!$ED$28</f>
        <v>0</v>
      </c>
      <c r="D11" s="129">
        <f>[3]Chautaqua_AA!$ED$28</f>
        <v>0</v>
      </c>
      <c r="E11" s="129">
        <f>[3]MESA_UA!$ED$28</f>
        <v>475</v>
      </c>
      <c r="F11" s="127">
        <f>'[3]Sky West'!$ED$28+'[3]Sky West'!$ED$38</f>
        <v>4133</v>
      </c>
      <c r="G11" s="127">
        <f>'[3]Sky West_UA'!$ED$28</f>
        <v>245</v>
      </c>
      <c r="H11" s="127">
        <f>[3]Republic!$ED$28</f>
        <v>0</v>
      </c>
      <c r="I11" s="127">
        <f>'[3]American Eagle'!$ED$28</f>
        <v>0</v>
      </c>
      <c r="J11" s="127">
        <f>'Other Regional'!L11</f>
        <v>3260</v>
      </c>
      <c r="K11" s="112">
        <f>SUM(B11:J11)</f>
        <v>13452</v>
      </c>
    </row>
    <row r="12" spans="1:20" ht="15" thickBot="1" x14ac:dyDescent="0.25">
      <c r="A12" s="76" t="s">
        <v>37</v>
      </c>
      <c r="B12" s="133">
        <f t="shared" ref="B12:J12" si="1">SUM(B10:B11)</f>
        <v>10575</v>
      </c>
      <c r="C12" s="133">
        <f t="shared" si="1"/>
        <v>0</v>
      </c>
      <c r="D12" s="133">
        <f>SUM(D10:D11)</f>
        <v>0</v>
      </c>
      <c r="E12" s="133">
        <f t="shared" si="1"/>
        <v>933</v>
      </c>
      <c r="F12" s="133">
        <f t="shared" si="1"/>
        <v>8039</v>
      </c>
      <c r="G12" s="133">
        <f t="shared" si="1"/>
        <v>525</v>
      </c>
      <c r="H12" s="133">
        <f t="shared" si="1"/>
        <v>0</v>
      </c>
      <c r="I12" s="133">
        <f t="shared" si="1"/>
        <v>0</v>
      </c>
      <c r="J12" s="133">
        <f t="shared" si="1"/>
        <v>6236</v>
      </c>
      <c r="K12" s="134">
        <f>SUM(B12:J12)</f>
        <v>26308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3">
        <f>[3]Pinnacle!$ED$4+[3]Pinnacle!$ED$15</f>
        <v>2530</v>
      </c>
      <c r="C15" s="104">
        <f>[3]Chautaqua_Continental!$ED$4</f>
        <v>0</v>
      </c>
      <c r="D15" s="104">
        <f>[3]Chautaqua_AA!$ED$4</f>
        <v>0</v>
      </c>
      <c r="E15" s="104">
        <f>[3]MESA_UA!$ED$4</f>
        <v>162</v>
      </c>
      <c r="F15" s="464">
        <f>'[3]Sky West'!$ED$4+'[3]Sky West'!$ED$15</f>
        <v>2553</v>
      </c>
      <c r="G15" s="464">
        <f>'[3]Sky West_UA'!$ED$4</f>
        <v>155</v>
      </c>
      <c r="H15" s="116">
        <f>[3]Republic!$ED$4</f>
        <v>1</v>
      </c>
      <c r="I15" s="116">
        <f>'[3]American Eagle'!$ED$4</f>
        <v>90</v>
      </c>
      <c r="J15" s="104">
        <f>'Other Regional'!L15</f>
        <v>1688</v>
      </c>
      <c r="K15" s="106">
        <f t="shared" si="2"/>
        <v>7179</v>
      </c>
    </row>
    <row r="16" spans="1:20" x14ac:dyDescent="0.2">
      <c r="A16" s="64" t="s">
        <v>60</v>
      </c>
      <c r="B16" s="465">
        <f>[3]Pinnacle!$ED$5+[3]Pinnacle!$ED$16</f>
        <v>2531</v>
      </c>
      <c r="C16" s="109">
        <f>[3]Chautaqua_Continental!$ED$5</f>
        <v>0</v>
      </c>
      <c r="D16" s="109">
        <f>[3]Chautaqua_AA!$ED$5</f>
        <v>0</v>
      </c>
      <c r="E16" s="109">
        <f>[3]MESA_UA!$ED$5</f>
        <v>162</v>
      </c>
      <c r="F16" s="466">
        <f>'[3]Sky West'!$ED$5+'[3]Sky West'!$ED$16</f>
        <v>2547</v>
      </c>
      <c r="G16" s="466">
        <f>'[3]Sky West_UA'!$ED$5</f>
        <v>155</v>
      </c>
      <c r="H16" s="118">
        <f>[3]Republic!$ED$5</f>
        <v>1</v>
      </c>
      <c r="I16" s="118">
        <f>'[3]American Eagle'!$ED$5</f>
        <v>89</v>
      </c>
      <c r="J16" s="108">
        <f>'Other Regional'!L16</f>
        <v>1681</v>
      </c>
      <c r="K16" s="112">
        <f t="shared" si="2"/>
        <v>7166</v>
      </c>
    </row>
    <row r="17" spans="1:11" x14ac:dyDescent="0.2">
      <c r="A17" s="73" t="s">
        <v>61</v>
      </c>
      <c r="B17" s="113">
        <f t="shared" ref="B17:I17" si="3">SUM(B15:B16)</f>
        <v>5061</v>
      </c>
      <c r="C17" s="113">
        <f t="shared" si="3"/>
        <v>0</v>
      </c>
      <c r="D17" s="113">
        <f>SUM(D15:D16)</f>
        <v>0</v>
      </c>
      <c r="E17" s="113">
        <f t="shared" si="3"/>
        <v>324</v>
      </c>
      <c r="F17" s="113">
        <f t="shared" si="3"/>
        <v>5100</v>
      </c>
      <c r="G17" s="113">
        <f t="shared" si="3"/>
        <v>310</v>
      </c>
      <c r="H17" s="113">
        <f t="shared" si="3"/>
        <v>2</v>
      </c>
      <c r="I17" s="113">
        <f t="shared" si="3"/>
        <v>179</v>
      </c>
      <c r="J17" s="113">
        <f>SUM(J15:J16)</f>
        <v>3369</v>
      </c>
      <c r="K17" s="114">
        <f t="shared" si="2"/>
        <v>14345</v>
      </c>
    </row>
    <row r="18" spans="1:11" x14ac:dyDescent="0.2">
      <c r="A18" s="64" t="s">
        <v>62</v>
      </c>
      <c r="B18" s="115">
        <f>[3]Pinnacle!$ED$8</f>
        <v>1</v>
      </c>
      <c r="C18" s="116">
        <f>[3]Chautaqua_Continental!$ED$8</f>
        <v>0</v>
      </c>
      <c r="D18" s="116">
        <f>[3]Chautaqua_AA!$ED$8</f>
        <v>0</v>
      </c>
      <c r="E18" s="116">
        <f>[3]MESA_UA!$ED$8</f>
        <v>0</v>
      </c>
      <c r="F18" s="115">
        <f>'[3]Sky West'!$ED$8</f>
        <v>0</v>
      </c>
      <c r="G18" s="115">
        <f>'[3]Sky West_UA'!$ED$8</f>
        <v>0</v>
      </c>
      <c r="H18" s="115">
        <f>[3]Republic!$ED$8</f>
        <v>0</v>
      </c>
      <c r="I18" s="115">
        <f>'[3]American Eagle'!$ED$8</f>
        <v>0</v>
      </c>
      <c r="J18" s="115">
        <f>'Other Regional'!L18</f>
        <v>0</v>
      </c>
      <c r="K18" s="106">
        <f t="shared" si="2"/>
        <v>1</v>
      </c>
    </row>
    <row r="19" spans="1:11" x14ac:dyDescent="0.2">
      <c r="A19" s="64" t="s">
        <v>63</v>
      </c>
      <c r="B19" s="117">
        <f>[3]Pinnacle!$ED$9</f>
        <v>4</v>
      </c>
      <c r="C19" s="118">
        <f>[3]Chautaqua_Continental!$ED$9</f>
        <v>0</v>
      </c>
      <c r="D19" s="118">
        <f>[3]Chautaqua_AA!$ED$9</f>
        <v>0</v>
      </c>
      <c r="E19" s="118">
        <f>[3]MESA_UA!$ED$9</f>
        <v>0</v>
      </c>
      <c r="F19" s="117">
        <f>'[3]Sky West'!$ED$9</f>
        <v>6</v>
      </c>
      <c r="G19" s="117">
        <f>'[3]Sky West_UA'!$ED$9</f>
        <v>0</v>
      </c>
      <c r="H19" s="117">
        <f>[3]Republic!$ED$9</f>
        <v>0</v>
      </c>
      <c r="I19" s="117">
        <f>'[3]American Eagle'!$ED$9</f>
        <v>0</v>
      </c>
      <c r="J19" s="117">
        <f>'Other Regional'!L19</f>
        <v>6</v>
      </c>
      <c r="K19" s="112">
        <f t="shared" si="2"/>
        <v>16</v>
      </c>
    </row>
    <row r="20" spans="1:11" x14ac:dyDescent="0.2">
      <c r="A20" s="73" t="s">
        <v>64</v>
      </c>
      <c r="B20" s="113">
        <f t="shared" ref="B20:J20" si="4">SUM(B18:B19)</f>
        <v>5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6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6</v>
      </c>
      <c r="K20" s="114">
        <f t="shared" si="2"/>
        <v>17</v>
      </c>
    </row>
    <row r="21" spans="1:11" ht="15.75" thickBot="1" x14ac:dyDescent="0.3">
      <c r="A21" s="74" t="s">
        <v>31</v>
      </c>
      <c r="B21" s="119">
        <f t="shared" ref="B21:I21" si="5">SUM(B20,B17)</f>
        <v>5066</v>
      </c>
      <c r="C21" s="119">
        <f t="shared" si="5"/>
        <v>0</v>
      </c>
      <c r="D21" s="119">
        <f>SUM(D20,D17)</f>
        <v>0</v>
      </c>
      <c r="E21" s="119">
        <f t="shared" si="5"/>
        <v>324</v>
      </c>
      <c r="F21" s="119">
        <f t="shared" si="5"/>
        <v>5106</v>
      </c>
      <c r="G21" s="119">
        <f t="shared" si="5"/>
        <v>310</v>
      </c>
      <c r="H21" s="119">
        <f t="shared" si="5"/>
        <v>2</v>
      </c>
      <c r="I21" s="119">
        <f t="shared" si="5"/>
        <v>179</v>
      </c>
      <c r="J21" s="119">
        <f>SUM(J20,J17)</f>
        <v>3375</v>
      </c>
      <c r="K21" s="120">
        <f t="shared" si="2"/>
        <v>14362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[3]Pinnacle!$ED$47</f>
        <v>0</v>
      </c>
      <c r="C25" s="129">
        <f>[3]Chautaqua_Continental!$ED$47</f>
        <v>0</v>
      </c>
      <c r="D25" s="129">
        <f>[3]Chautaqua_AA!$ED$47</f>
        <v>0</v>
      </c>
      <c r="E25" s="129">
        <f>[3]MESA_UA!$ED$47</f>
        <v>0</v>
      </c>
      <c r="F25" s="127">
        <f>'[3]Sky West'!$ED$47</f>
        <v>0</v>
      </c>
      <c r="G25" s="127">
        <f>'[3]Sky West_UA'!$ED$47</f>
        <v>0</v>
      </c>
      <c r="H25" s="127">
        <f>[3]Republic!$ED$47</f>
        <v>0</v>
      </c>
      <c r="I25" s="127">
        <f>'[3]American Eagle'!$ED$47</f>
        <v>0</v>
      </c>
      <c r="J25" s="127">
        <f>'Other Regional'!L25</f>
        <v>0</v>
      </c>
      <c r="K25" s="106">
        <f>SUM(B25:J25)</f>
        <v>0</v>
      </c>
    </row>
    <row r="26" spans="1:11" x14ac:dyDescent="0.2">
      <c r="A26" s="77" t="s">
        <v>41</v>
      </c>
      <c r="B26" s="127">
        <f>[3]Pinnacle!$ED$48</f>
        <v>0</v>
      </c>
      <c r="C26" s="129">
        <f>[3]Chautaqua_Continental!$ED$48</f>
        <v>0</v>
      </c>
      <c r="D26" s="129">
        <f>[3]Chautaqua_AA!$ED$48</f>
        <v>0</v>
      </c>
      <c r="E26" s="129">
        <f>[3]MESA_UA!$ED$48</f>
        <v>0</v>
      </c>
      <c r="F26" s="127">
        <f>'[3]Sky West'!$ED$48</f>
        <v>0</v>
      </c>
      <c r="G26" s="127">
        <f>'[3]Sky West_UA'!$ED$48</f>
        <v>0</v>
      </c>
      <c r="H26" s="127">
        <f>[3]Republic!$ED$48</f>
        <v>0</v>
      </c>
      <c r="I26" s="127">
        <f>'[3]American Eagle'!$ED$48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0</v>
      </c>
      <c r="J27" s="130">
        <f t="shared" si="6"/>
        <v>0</v>
      </c>
      <c r="K27" s="131">
        <f>SUM(B27:J27)</f>
        <v>0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[3]Pinnacle!$ED$52</f>
        <v>0</v>
      </c>
      <c r="C30" s="129">
        <f>[3]Chautaqua_Continental!$ED$52</f>
        <v>0</v>
      </c>
      <c r="D30" s="129">
        <f>[3]Chautaqua_AA!$ED$52</f>
        <v>0</v>
      </c>
      <c r="E30" s="129">
        <f>[3]MESA_UA!$ED$52</f>
        <v>0</v>
      </c>
      <c r="F30" s="127">
        <f>'[3]Sky West'!$ED$52</f>
        <v>0</v>
      </c>
      <c r="G30" s="127">
        <f>'[3]Sky West_UA'!$ED$52</f>
        <v>0</v>
      </c>
      <c r="H30" s="127">
        <f>[3]Republic!$ED$52</f>
        <v>0</v>
      </c>
      <c r="I30" s="127">
        <f>'[3]American Eagle'!$ED$52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[3]Pinnacle!$ED$53</f>
        <v>0</v>
      </c>
      <c r="C31" s="129">
        <f>[3]Chautaqua_Continental!$ED$53</f>
        <v>0</v>
      </c>
      <c r="D31" s="129">
        <f>[3]Chautaqua_AA!$ED$53</f>
        <v>0</v>
      </c>
      <c r="E31" s="129">
        <f>[3]MESA_UA!$ED$53</f>
        <v>0</v>
      </c>
      <c r="F31" s="127">
        <f>'[3]Sky West'!$ED$53</f>
        <v>0</v>
      </c>
      <c r="G31" s="127">
        <f>'[3]Sky West_UA'!$ED$53</f>
        <v>0</v>
      </c>
      <c r="H31" s="127">
        <f>[3]Republic!$ED$53</f>
        <v>0</v>
      </c>
      <c r="I31" s="127">
        <f>'[3]American Eagle'!$ED$53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[3]Pinnacle!$ED$57</f>
        <v>0</v>
      </c>
      <c r="C35" s="129">
        <f>[3]Chautaqua_Continental!$ED$57</f>
        <v>0</v>
      </c>
      <c r="D35" s="129">
        <f>[3]Chautaqua_AA!$ED$57</f>
        <v>0</v>
      </c>
      <c r="E35" s="129">
        <f>[3]MESA_UA!$ED$57</f>
        <v>0</v>
      </c>
      <c r="F35" s="127">
        <f>'[3]Sky West'!$ED$57</f>
        <v>0</v>
      </c>
      <c r="G35" s="127">
        <f>'[3]Sky West_UA'!$ED$57</f>
        <v>0</v>
      </c>
      <c r="H35" s="127">
        <f>[3]Republic!$ED$57</f>
        <v>0</v>
      </c>
      <c r="I35" s="127">
        <f>'[3]American Eagle'!$ED$57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[3]Pinnacle!$ED$58</f>
        <v>0</v>
      </c>
      <c r="C36" s="129">
        <f>[3]Chautaqua_Continental!$ED$58</f>
        <v>0</v>
      </c>
      <c r="D36" s="129">
        <f>[3]Chautaqua_AA!$ED$58</f>
        <v>0</v>
      </c>
      <c r="E36" s="129">
        <f>[3]MESA_UA!$ED$58</f>
        <v>0</v>
      </c>
      <c r="F36" s="127">
        <f>'[3]Sky West'!$ED$58</f>
        <v>0</v>
      </c>
      <c r="G36" s="127">
        <f>'[3]Sky West_UA'!$ED$58</f>
        <v>0</v>
      </c>
      <c r="H36" s="127">
        <f>[3]Republic!$ED$58</f>
        <v>0</v>
      </c>
      <c r="I36" s="127">
        <f>'[3]American Eagle'!$ED$58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0</v>
      </c>
      <c r="J40" s="127">
        <f>J35+J30+J25</f>
        <v>0</v>
      </c>
      <c r="K40" s="106">
        <f>SUM(B40:J40)</f>
        <v>0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0</v>
      </c>
      <c r="J42" s="133">
        <f>SUM(J37,J32,J27)</f>
        <v>0</v>
      </c>
      <c r="K42" s="134">
        <f>SUM(B42:J42)</f>
        <v>0</v>
      </c>
    </row>
    <row r="44" spans="1:11" x14ac:dyDescent="0.2">
      <c r="A44" s="392" t="s">
        <v>136</v>
      </c>
      <c r="B44" s="314">
        <f>[3]Pinnacle!$ED$70+[3]Pinnacle!$ED$73</f>
        <v>38165</v>
      </c>
      <c r="F44" s="315">
        <f>'[3]Sky West'!$ED$70+'[3]Sky West'!$ED$73</f>
        <v>20681</v>
      </c>
      <c r="G44" s="315">
        <f>'[3]Sky West_UA'!$ED$70+'[3]Sky West_UA'!$ED$73</f>
        <v>0</v>
      </c>
      <c r="J44" s="315">
        <f>+'Other Regional'!L46</f>
        <v>26645</v>
      </c>
      <c r="K44" s="304">
        <f>SUM(B44:J44)</f>
        <v>85491</v>
      </c>
    </row>
    <row r="45" spans="1:11" x14ac:dyDescent="0.2">
      <c r="A45" s="408" t="s">
        <v>137</v>
      </c>
      <c r="B45" s="314">
        <f>[3]Pinnacle!$ED$71+[3]Pinnacle!$ED$74</f>
        <v>109188</v>
      </c>
      <c r="F45" s="315">
        <f>'[3]Sky West'!$ED$71+'[3]Sky West'!$ED$74</f>
        <v>92950</v>
      </c>
      <c r="G45" s="315">
        <f>'[3]Sky West_UA'!$ED$71+'[3]Sky West_UA'!$ED$74</f>
        <v>0</v>
      </c>
      <c r="J45" s="315">
        <f>+'Other Regional'!L47</f>
        <v>56842</v>
      </c>
      <c r="K45" s="304">
        <f>SUM(B45:J45)</f>
        <v>258980</v>
      </c>
    </row>
    <row r="46" spans="1:11" x14ac:dyDescent="0.2">
      <c r="A46" s="306" t="s">
        <v>138</v>
      </c>
      <c r="B46" s="307">
        <f>SUM(B44:B45)</f>
        <v>147353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July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C15" sqref="C15:J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4"/>
    </row>
    <row r="2" spans="1:12" s="7" customFormat="1" ht="55.5" customHeight="1" thickBot="1" x14ac:dyDescent="0.25">
      <c r="A2" s="397">
        <v>42186</v>
      </c>
      <c r="B2" s="468" t="s">
        <v>144</v>
      </c>
      <c r="C2" s="468" t="s">
        <v>169</v>
      </c>
      <c r="D2" s="468" t="s">
        <v>168</v>
      </c>
      <c r="E2" s="468" t="s">
        <v>147</v>
      </c>
      <c r="F2" s="468" t="s">
        <v>55</v>
      </c>
      <c r="G2" s="468" t="s">
        <v>199</v>
      </c>
      <c r="H2" s="468" t="s">
        <v>196</v>
      </c>
      <c r="I2" s="468" t="s">
        <v>213</v>
      </c>
      <c r="J2" s="468" t="s">
        <v>129</v>
      </c>
      <c r="K2" s="468" t="s">
        <v>200</v>
      </c>
      <c r="L2" s="473" t="s">
        <v>24</v>
      </c>
    </row>
    <row r="3" spans="1:12" ht="15.75" thickTop="1" x14ac:dyDescent="0.25">
      <c r="A3" s="273" t="s">
        <v>3</v>
      </c>
      <c r="B3" s="420"/>
      <c r="C3" s="420"/>
      <c r="D3" s="420"/>
      <c r="E3" s="420"/>
      <c r="F3" s="421"/>
      <c r="G3" s="421"/>
      <c r="H3" s="421"/>
      <c r="I3" s="421"/>
      <c r="J3" s="421"/>
      <c r="K3" s="420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'[3]Shuttle America'!$ED$22+'[3]Shuttle America'!$ED$32</f>
        <v>5466</v>
      </c>
      <c r="C5" s="128">
        <f>'[3]Shuttle America_Delta'!$ED$22+'[3]Shuttle America_Delta'!$ED$32</f>
        <v>5884</v>
      </c>
      <c r="D5" s="128">
        <f>[3]AirCanada!$ED$32</f>
        <v>4815</v>
      </c>
      <c r="E5" s="21">
        <f>[3]Compass!$ED$22+[3]Compass!$ED$32</f>
        <v>46495</v>
      </c>
      <c r="F5" s="128">
        <f>'[3]Atlantic Southeast'!$ED$22+'[3]Atlantic Southeast'!$ED$32</f>
        <v>31679</v>
      </c>
      <c r="G5" s="128">
        <f>'[3]Continental Express'!$ED$22</f>
        <v>3499</v>
      </c>
      <c r="H5" s="127">
        <f>'[3]Go Jet_UA'!$ED$22</f>
        <v>386</v>
      </c>
      <c r="I5" s="21">
        <f>'[3]Go Jet'!$ED$22+'[3]Go Jet'!$ED$32</f>
        <v>179</v>
      </c>
      <c r="J5" s="129">
        <f>'[3]Air Wisconsin'!$ED$22</f>
        <v>0</v>
      </c>
      <c r="K5" s="127">
        <f>[3]MESA!$ED$22</f>
        <v>0</v>
      </c>
      <c r="L5" s="106">
        <f>SUM(B5:K5)</f>
        <v>98403</v>
      </c>
    </row>
    <row r="6" spans="1:12" s="10" customFormat="1" x14ac:dyDescent="0.2">
      <c r="A6" s="64" t="s">
        <v>34</v>
      </c>
      <c r="B6" s="128">
        <f>'[3]Shuttle America'!$ED$23+'[3]Shuttle America'!$ED$33</f>
        <v>5451</v>
      </c>
      <c r="C6" s="128">
        <f>'[3]Shuttle America_Delta'!$ED$23+'[3]Shuttle America_Delta'!$ED$33</f>
        <v>5614</v>
      </c>
      <c r="D6" s="128">
        <f>[3]AirCanada!$ED$33</f>
        <v>4409</v>
      </c>
      <c r="E6" s="14">
        <f>[3]Compass!$ED$23+[3]Compass!$ED$33</f>
        <v>46307</v>
      </c>
      <c r="F6" s="128">
        <f>'[3]Atlantic Southeast'!$ED$23+'[3]Atlantic Southeast'!$ED$33</f>
        <v>31395</v>
      </c>
      <c r="G6" s="128">
        <f>'[3]Continental Express'!$ED$23</f>
        <v>3495</v>
      </c>
      <c r="H6" s="127">
        <f>'[3]Go Jet_UA'!$ED$23</f>
        <v>379</v>
      </c>
      <c r="I6" s="14">
        <f>'[3]Go Jet'!$ED$23+'[3]Go Jet'!$ED$33</f>
        <v>171</v>
      </c>
      <c r="J6" s="129">
        <f>'[3]Air Wisconsin'!$ED$23</f>
        <v>0</v>
      </c>
      <c r="K6" s="127">
        <f>[3]MESA!$ED$23</f>
        <v>0</v>
      </c>
      <c r="L6" s="112">
        <f>SUM(B6:K6)</f>
        <v>97221</v>
      </c>
    </row>
    <row r="7" spans="1:12" ht="15" thickBot="1" x14ac:dyDescent="0.25">
      <c r="A7" s="75" t="s">
        <v>7</v>
      </c>
      <c r="B7" s="130">
        <f>SUM(B5:B6)</f>
        <v>10917</v>
      </c>
      <c r="C7" s="130">
        <f>SUM(C5:C6)</f>
        <v>11498</v>
      </c>
      <c r="D7" s="130">
        <f t="shared" ref="D7:K7" si="0">SUM(D5:D6)</f>
        <v>9224</v>
      </c>
      <c r="E7" s="130">
        <f>SUM(E5:E6)</f>
        <v>92802</v>
      </c>
      <c r="F7" s="130">
        <f t="shared" si="0"/>
        <v>63074</v>
      </c>
      <c r="G7" s="130">
        <f t="shared" si="0"/>
        <v>6994</v>
      </c>
      <c r="H7" s="130">
        <f t="shared" si="0"/>
        <v>765</v>
      </c>
      <c r="I7" s="130">
        <f>SUM(I5:I6)</f>
        <v>350</v>
      </c>
      <c r="J7" s="130">
        <f t="shared" si="0"/>
        <v>0</v>
      </c>
      <c r="K7" s="130">
        <f t="shared" si="0"/>
        <v>0</v>
      </c>
      <c r="L7" s="131">
        <f>SUM(L5:L6)</f>
        <v>195624</v>
      </c>
    </row>
    <row r="8" spans="1:12" ht="13.5" thickTop="1" x14ac:dyDescent="0.2">
      <c r="A8" s="64"/>
      <c r="B8" s="128"/>
      <c r="C8" s="128"/>
      <c r="D8" s="128"/>
      <c r="E8" s="338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'[3]Shuttle America'!$ED$27+'[3]Shuttle America'!$ED$37</f>
        <v>0</v>
      </c>
      <c r="C10" s="128">
        <f>'[3]Shuttle America_Delta'!$ED$27+'[3]Shuttle America_Delta'!$ED$37</f>
        <v>150</v>
      </c>
      <c r="D10" s="128">
        <f>[3]AirCanada!$ED$37</f>
        <v>42</v>
      </c>
      <c r="E10" s="21">
        <f>[3]Compass!$ED$27+[3]Compass!$ED$37</f>
        <v>1749</v>
      </c>
      <c r="F10" s="21">
        <f>'[3]Atlantic Southeast'!$ED$27+'[3]Atlantic Southeast'!$ED$37</f>
        <v>849</v>
      </c>
      <c r="G10" s="128">
        <f>'[3]Continental Express'!$ED$27</f>
        <v>155</v>
      </c>
      <c r="H10" s="127">
        <f>'[3]Go Jet_UA'!$ED$27</f>
        <v>24</v>
      </c>
      <c r="I10" s="21">
        <f>'[3]Go Jet'!$ED$27+'[3]Go Jet'!$ED$37</f>
        <v>7</v>
      </c>
      <c r="J10" s="129">
        <f>'[3]Air Wisconsin'!$ED$27</f>
        <v>0</v>
      </c>
      <c r="K10" s="127">
        <f>[3]MESA!$ED$27</f>
        <v>0</v>
      </c>
      <c r="L10" s="106">
        <f>SUM(B10:K10)</f>
        <v>2976</v>
      </c>
    </row>
    <row r="11" spans="1:12" x14ac:dyDescent="0.2">
      <c r="A11" s="64" t="s">
        <v>36</v>
      </c>
      <c r="B11" s="128">
        <f>'[3]Shuttle America'!$ED$28+'[3]Shuttle America'!$ED$38</f>
        <v>0</v>
      </c>
      <c r="C11" s="128">
        <f>'[3]Shuttle America_Delta'!$ED$28+'[3]Shuttle America_Delta'!$ED$38</f>
        <v>169</v>
      </c>
      <c r="D11" s="128">
        <f>[3]AirCanada!$ED$38</f>
        <v>54</v>
      </c>
      <c r="E11" s="14">
        <f>[3]Compass!$ED$28+[3]Compass!$ED$38</f>
        <v>1947</v>
      </c>
      <c r="F11" s="14">
        <f>'[3]Atlantic Southeast'!$ED$28+'[3]Atlantic Southeast'!$ED$38</f>
        <v>944</v>
      </c>
      <c r="G11" s="128">
        <f>'[3]Continental Express'!$ED$28</f>
        <v>130</v>
      </c>
      <c r="H11" s="127">
        <f>'[3]Go Jet_UA'!$ED$28</f>
        <v>14</v>
      </c>
      <c r="I11" s="14">
        <f>'[3]Go Jet'!$ED$28+'[3]Go Jet'!$ED$38</f>
        <v>2</v>
      </c>
      <c r="J11" s="129">
        <f>'[3]Air Wisconsin'!$ED$28</f>
        <v>0</v>
      </c>
      <c r="K11" s="127">
        <f>[3]MESA!$ED$28</f>
        <v>0</v>
      </c>
      <c r="L11" s="112">
        <f>SUM(B11:K11)</f>
        <v>3260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319</v>
      </c>
      <c r="D12" s="133">
        <f t="shared" ref="D12:K12" si="1">SUM(D10:D11)</f>
        <v>96</v>
      </c>
      <c r="E12" s="133">
        <f t="shared" si="1"/>
        <v>3696</v>
      </c>
      <c r="F12" s="133">
        <f t="shared" si="1"/>
        <v>1793</v>
      </c>
      <c r="G12" s="133">
        <f t="shared" si="1"/>
        <v>285</v>
      </c>
      <c r="H12" s="133">
        <f t="shared" si="1"/>
        <v>38</v>
      </c>
      <c r="I12" s="133">
        <f>SUM(I10:I11)</f>
        <v>9</v>
      </c>
      <c r="J12" s="133">
        <f t="shared" si="1"/>
        <v>0</v>
      </c>
      <c r="K12" s="133">
        <f t="shared" si="1"/>
        <v>0</v>
      </c>
      <c r="L12" s="134">
        <f>SUM(B12:K12)</f>
        <v>6236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4">
        <f>'[3]Shuttle America'!$ED$4+'[3]Shuttle America'!$ED$15</f>
        <v>86</v>
      </c>
      <c r="C15" s="464">
        <f>'[3]Shuttle America_Delta'!$ED$4+'[3]Shuttle America_Delta'!$ED$15</f>
        <v>127</v>
      </c>
      <c r="D15" s="104">
        <f>[3]AirCanada!$ED$15</f>
        <v>92</v>
      </c>
      <c r="E15" s="463">
        <f>[3]Compass!$ED$4+[3]Compass!$ED$15</f>
        <v>759</v>
      </c>
      <c r="F15" s="104">
        <f>'[3]Atlantic Southeast'!$ED$4+'[3]Atlantic Southeast'!$ED$15</f>
        <v>532</v>
      </c>
      <c r="G15" s="104">
        <f>'[3]Continental Express'!$ED$4</f>
        <v>83</v>
      </c>
      <c r="H15" s="464">
        <f>'[3]Go Jet_UA'!$ED$4</f>
        <v>6</v>
      </c>
      <c r="I15" s="463">
        <f>'[3]Go Jet'!$ED$4+'[3]Go Jet'!$ED$15</f>
        <v>3</v>
      </c>
      <c r="J15" s="104">
        <f>'[3]Air Wisconsin'!$ED$4</f>
        <v>0</v>
      </c>
      <c r="K15" s="103">
        <f>[3]MESA!$ED$4</f>
        <v>0</v>
      </c>
      <c r="L15" s="106">
        <f t="shared" ref="L15:L21" si="2">SUM(B15:K15)</f>
        <v>1688</v>
      </c>
    </row>
    <row r="16" spans="1:12" x14ac:dyDescent="0.2">
      <c r="A16" s="64" t="s">
        <v>60</v>
      </c>
      <c r="B16" s="466">
        <f>'[3]Shuttle America'!$ED$5+'[3]Shuttle America'!$ED$16</f>
        <v>86</v>
      </c>
      <c r="C16" s="466">
        <f>'[3]Shuttle America_Delta'!$ED$5+'[3]Shuttle America_Delta'!$ED$16</f>
        <v>125</v>
      </c>
      <c r="D16" s="109">
        <f>[3]AirCanada!$ED$16</f>
        <v>92</v>
      </c>
      <c r="E16" s="465">
        <f>[3]Compass!$ED$5+[3]Compass!$ED$16</f>
        <v>755</v>
      </c>
      <c r="F16" s="109">
        <f>'[3]Atlantic Southeast'!$ED$5+'[3]Atlantic Southeast'!$ED$16</f>
        <v>531</v>
      </c>
      <c r="G16" s="109">
        <f>'[3]Continental Express'!$ED$5</f>
        <v>83</v>
      </c>
      <c r="H16" s="466">
        <f>'[3]Go Jet_UA'!$ED$5</f>
        <v>6</v>
      </c>
      <c r="I16" s="465">
        <f>'[3]Go Jet'!$ED$5+'[3]Go Jet'!$ED$16</f>
        <v>3</v>
      </c>
      <c r="J16" s="109">
        <f>'[3]Air Wisconsin'!$ED$5</f>
        <v>0</v>
      </c>
      <c r="K16" s="107">
        <f>[3]MESA!$ED$5</f>
        <v>0</v>
      </c>
      <c r="L16" s="112">
        <f t="shared" si="2"/>
        <v>1681</v>
      </c>
    </row>
    <row r="17" spans="1:12" x14ac:dyDescent="0.2">
      <c r="A17" s="73" t="s">
        <v>61</v>
      </c>
      <c r="B17" s="113">
        <f>SUM(B15:B16)</f>
        <v>172</v>
      </c>
      <c r="C17" s="113">
        <f>SUM(C15:C16)</f>
        <v>252</v>
      </c>
      <c r="D17" s="113">
        <f t="shared" ref="D17:K17" si="3">SUM(D15:D16)</f>
        <v>184</v>
      </c>
      <c r="E17" s="280">
        <f>SUM(E15:E16)</f>
        <v>1514</v>
      </c>
      <c r="F17" s="113">
        <f t="shared" si="3"/>
        <v>1063</v>
      </c>
      <c r="G17" s="113">
        <f t="shared" si="3"/>
        <v>166</v>
      </c>
      <c r="H17" s="113">
        <f t="shared" si="3"/>
        <v>12</v>
      </c>
      <c r="I17" s="113">
        <f>SUM(I15:I16)</f>
        <v>6</v>
      </c>
      <c r="J17" s="113">
        <f t="shared" si="3"/>
        <v>0</v>
      </c>
      <c r="K17" s="113">
        <f t="shared" si="3"/>
        <v>0</v>
      </c>
      <c r="L17" s="114">
        <f t="shared" si="2"/>
        <v>3369</v>
      </c>
    </row>
    <row r="18" spans="1:12" x14ac:dyDescent="0.2">
      <c r="A18" s="64" t="s">
        <v>62</v>
      </c>
      <c r="B18" s="115">
        <f>'[3]Shuttle America'!$ED$8</f>
        <v>0</v>
      </c>
      <c r="C18" s="115">
        <f>'[3]Shuttle America_Delta'!$ED$8</f>
        <v>0</v>
      </c>
      <c r="D18" s="115">
        <f>[3]AirCanada!$ED$8</f>
        <v>0</v>
      </c>
      <c r="E18" s="21">
        <f>[3]Compass!$ED$8</f>
        <v>0</v>
      </c>
      <c r="F18" s="105">
        <f>'[3]Atlantic Southeast'!$ED$8</f>
        <v>0</v>
      </c>
      <c r="G18" s="105">
        <f>'[3]Continental Express'!$ED$8</f>
        <v>0</v>
      </c>
      <c r="H18" s="115">
        <f>'[3]Go Jet_UA'!$ED$8</f>
        <v>0</v>
      </c>
      <c r="I18" s="21">
        <f>'[3]Go Jet'!$ED$8</f>
        <v>0</v>
      </c>
      <c r="J18" s="116">
        <f>'[3]Air Wisconsin'!$ED$8</f>
        <v>0</v>
      </c>
      <c r="K18" s="115">
        <f>[3]MESA!$ED$8</f>
        <v>0</v>
      </c>
      <c r="L18" s="106">
        <f t="shared" si="2"/>
        <v>0</v>
      </c>
    </row>
    <row r="19" spans="1:12" x14ac:dyDescent="0.2">
      <c r="A19" s="64" t="s">
        <v>63</v>
      </c>
      <c r="B19" s="117">
        <f>'[3]Shuttle America'!$ED$9</f>
        <v>0</v>
      </c>
      <c r="C19" s="117">
        <f>'[3]Shuttle America_Delta'!$ED$9</f>
        <v>2</v>
      </c>
      <c r="D19" s="117">
        <f>[3]AirCanada!$ED$9</f>
        <v>0</v>
      </c>
      <c r="E19" s="14">
        <f>[3]Compass!$ED$9</f>
        <v>1</v>
      </c>
      <c r="F19" s="110">
        <f>'[3]Atlantic Southeast'!$ED$9</f>
        <v>3</v>
      </c>
      <c r="G19" s="110">
        <f>'[3]Continental Express'!$ED$9</f>
        <v>0</v>
      </c>
      <c r="H19" s="117">
        <f>'[3]Go Jet_UA'!$ED$9</f>
        <v>0</v>
      </c>
      <c r="I19" s="14">
        <f>'[3]Go Jet'!$ED$9</f>
        <v>0</v>
      </c>
      <c r="J19" s="118">
        <f>'[3]Air Wisconsin'!$ED$9</f>
        <v>0</v>
      </c>
      <c r="K19" s="117">
        <f>[3]MESA!$ED$9</f>
        <v>0</v>
      </c>
      <c r="L19" s="112">
        <f t="shared" si="2"/>
        <v>6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2</v>
      </c>
      <c r="D20" s="113">
        <f t="shared" ref="D20:K20" si="4">SUM(D18:D19)</f>
        <v>0</v>
      </c>
      <c r="E20" s="280">
        <f>SUM(E18:E19)</f>
        <v>1</v>
      </c>
      <c r="F20" s="113">
        <f t="shared" si="4"/>
        <v>3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2"/>
        <v>6</v>
      </c>
    </row>
    <row r="21" spans="1:12" ht="15.75" thickBot="1" x14ac:dyDescent="0.3">
      <c r="A21" s="74" t="s">
        <v>31</v>
      </c>
      <c r="B21" s="119">
        <f>SUM(B20,B17)</f>
        <v>172</v>
      </c>
      <c r="C21" s="119">
        <f>SUM(C20,C17)</f>
        <v>254</v>
      </c>
      <c r="D21" s="119">
        <f t="shared" ref="D21:K21" si="5">SUM(D20,D17)</f>
        <v>184</v>
      </c>
      <c r="E21" s="119">
        <f t="shared" si="5"/>
        <v>1515</v>
      </c>
      <c r="F21" s="119">
        <f t="shared" si="5"/>
        <v>1066</v>
      </c>
      <c r="G21" s="119">
        <f t="shared" si="5"/>
        <v>166</v>
      </c>
      <c r="H21" s="119">
        <f t="shared" si="5"/>
        <v>12</v>
      </c>
      <c r="I21" s="119">
        <f>SUM(I20,I17)</f>
        <v>6</v>
      </c>
      <c r="J21" s="119">
        <f t="shared" si="5"/>
        <v>0</v>
      </c>
      <c r="K21" s="119">
        <f t="shared" si="5"/>
        <v>0</v>
      </c>
      <c r="L21" s="120">
        <f t="shared" si="2"/>
        <v>3375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'[3]Shuttle America'!$ED$47</f>
        <v>0</v>
      </c>
      <c r="C25" s="127">
        <f>'[3]Shuttle America_Delta'!$ED$47</f>
        <v>0</v>
      </c>
      <c r="D25" s="127">
        <f>[3]AirCanada!$ED$47</f>
        <v>0</v>
      </c>
      <c r="E25" s="127">
        <f>[3]Compass!$ED$47</f>
        <v>0</v>
      </c>
      <c r="F25" s="128">
        <f>'[3]Atlantic Southeast'!$ED$47</f>
        <v>0</v>
      </c>
      <c r="G25" s="128">
        <f>'[3]Continental Express'!$ED$47</f>
        <v>0</v>
      </c>
      <c r="H25" s="127">
        <f>'[3]Go Jet_UA'!$ED$47</f>
        <v>0</v>
      </c>
      <c r="I25" s="127">
        <f>'[3]Go Jet'!$ED$47</f>
        <v>0</v>
      </c>
      <c r="J25" s="129">
        <f>'[3]Air Wisconsin'!$ED$47</f>
        <v>0</v>
      </c>
      <c r="K25" s="127">
        <f>[3]MESA!$ED$47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'[3]Shuttle America'!$ED$48</f>
        <v>0</v>
      </c>
      <c r="C26" s="127">
        <f>'[3]Shuttle America_Delta'!$ED$48</f>
        <v>0</v>
      </c>
      <c r="D26" s="127">
        <f>[3]AirCanada!$ED$48</f>
        <v>0</v>
      </c>
      <c r="E26" s="127">
        <f>[3]Compass!$ED$48</f>
        <v>0</v>
      </c>
      <c r="F26" s="128">
        <f>'[3]Atlantic Southeast'!$ED$48</f>
        <v>0</v>
      </c>
      <c r="G26" s="128">
        <f>'[3]Continental Express'!$ED$48</f>
        <v>0</v>
      </c>
      <c r="H26" s="127">
        <f>'[3]Go Jet_UA'!$ED$48</f>
        <v>0</v>
      </c>
      <c r="I26" s="127">
        <f>'[3]Go Jet'!$ED$48</f>
        <v>0</v>
      </c>
      <c r="J26" s="129">
        <f>'[3]Air Wisconsin'!$ED$48</f>
        <v>0</v>
      </c>
      <c r="K26" s="127">
        <f>[3]MESA!$ED$48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'[3]Shuttle America'!$ED$52</f>
        <v>0</v>
      </c>
      <c r="C30" s="127">
        <f>'[3]Shuttle America_Delta'!$ED$52</f>
        <v>0</v>
      </c>
      <c r="D30" s="127">
        <f>[3]AirCanada!$ED$52</f>
        <v>0</v>
      </c>
      <c r="E30" s="127">
        <f>[3]Compass!$ED$52</f>
        <v>0</v>
      </c>
      <c r="F30" s="128">
        <f>'[3]Atlantic Southeast'!$ED$52</f>
        <v>0</v>
      </c>
      <c r="G30" s="128">
        <f>'[3]Continental Express'!$ED$52</f>
        <v>0</v>
      </c>
      <c r="H30" s="127">
        <f>'[3]Go Jet_UA'!$ED$52</f>
        <v>0</v>
      </c>
      <c r="I30" s="127">
        <f>'[3]Go Jet'!$ED$52</f>
        <v>0</v>
      </c>
      <c r="J30" s="129">
        <f>'[3]Air Wisconsin'!BH$52</f>
        <v>0</v>
      </c>
      <c r="K30" s="127">
        <f>[3]MESA!$ED$52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'[3]Shuttle America'!$ED$53</f>
        <v>0</v>
      </c>
      <c r="C31" s="127">
        <f>'[3]Shuttle America_Delta'!$ED$53</f>
        <v>0</v>
      </c>
      <c r="D31" s="127">
        <f>[3]AirCanada!$ED$53</f>
        <v>0</v>
      </c>
      <c r="E31" s="127">
        <f>[3]Compass!$ED$53</f>
        <v>0</v>
      </c>
      <c r="F31" s="128">
        <f>'[3]Atlantic Southeast'!$ED$53</f>
        <v>0</v>
      </c>
      <c r="G31" s="128">
        <f>'[3]Continental Express'!$ED$53</f>
        <v>0</v>
      </c>
      <c r="H31" s="127">
        <f>'[3]Go Jet_UA'!$ED$53</f>
        <v>0</v>
      </c>
      <c r="I31" s="127">
        <f>'[3]Go Jet'!$ED$53</f>
        <v>0</v>
      </c>
      <c r="J31" s="129">
        <f>'[3]Air Wisconsin'!$ED$53</f>
        <v>0</v>
      </c>
      <c r="K31" s="127">
        <f>[3]MESA!$ED$53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'[3]Shuttle America'!$ED$57</f>
        <v>0</v>
      </c>
      <c r="C35" s="127">
        <f>'[3]Shuttle America_Delta'!$ED$57</f>
        <v>0</v>
      </c>
      <c r="D35" s="127">
        <f>[3]AirCanada!$ED$57</f>
        <v>0</v>
      </c>
      <c r="E35" s="127">
        <f>[3]Compass!$ED$57</f>
        <v>0</v>
      </c>
      <c r="F35" s="128">
        <f>'[3]Atlantic Southeast'!$ED$57</f>
        <v>0</v>
      </c>
      <c r="G35" s="128">
        <f>'[3]Continental Express'!$ED$57</f>
        <v>0</v>
      </c>
      <c r="H35" s="127">
        <f>'[3]Go Jet_UA'!$AJ$57</f>
        <v>0</v>
      </c>
      <c r="I35" s="127">
        <f>'[3]Go Jet'!$AJ$57</f>
        <v>0</v>
      </c>
      <c r="J35" s="129">
        <f>'[3]Air Wisconsin'!BG$57</f>
        <v>0</v>
      </c>
      <c r="K35" s="127">
        <f>[3]MESA!$AJ$57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'[3]Shuttle America'!BG$58</f>
        <v>0</v>
      </c>
      <c r="C36" s="127">
        <f>'[3]Shuttle America_Delta'!BH$58</f>
        <v>0</v>
      </c>
      <c r="D36" s="127">
        <f>[3]AirCanada!BG$58</f>
        <v>0</v>
      </c>
      <c r="E36" s="127">
        <f>[3]Compass!BG$58</f>
        <v>0</v>
      </c>
      <c r="F36" s="128">
        <f>'[3]Atlantic Southeast'!BG$58</f>
        <v>0</v>
      </c>
      <c r="G36" s="128">
        <f>'[3]Continental Express'!BG$58</f>
        <v>0</v>
      </c>
      <c r="H36" s="127">
        <f>'[3]Go Jet_UA'!$AJ$58</f>
        <v>0</v>
      </c>
      <c r="I36" s="127">
        <f>'[3]Go Jet'!$AJ$58</f>
        <v>0</v>
      </c>
      <c r="J36" s="129">
        <f>'[3]Air Wisconsin'!BG$58</f>
        <v>0</v>
      </c>
      <c r="K36" s="127">
        <f>[3]MESA!$AJ$58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139</v>
      </c>
      <c r="E44" s="315">
        <f>[3]Compass!BG$70+[3]Compass!BG$73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140</v>
      </c>
      <c r="E45" s="315">
        <f>[3]Compass!BG$71+[3]Compass!BG$74</f>
        <v>47176</v>
      </c>
      <c r="F45" s="319"/>
      <c r="L45" s="304">
        <f>SUM(E45:E45)</f>
        <v>47176</v>
      </c>
    </row>
    <row r="46" spans="1:12" x14ac:dyDescent="0.2">
      <c r="A46" s="392" t="s">
        <v>136</v>
      </c>
      <c r="C46" s="315">
        <f>'[3]Shuttle America_Delta'!$ED$70+'[3]Shuttle America_Delta'!$ED$73</f>
        <v>1426</v>
      </c>
      <c r="E46" s="315">
        <f>[3]Compass!$ED$70+[3]Compass!$ED$73</f>
        <v>16578</v>
      </c>
      <c r="F46" s="315">
        <f>'[3]Atlantic Southeast'!$ED$70+'[3]Atlantic Southeast'!$ED$73</f>
        <v>8571</v>
      </c>
      <c r="H46" s="315">
        <f>'[3]Go Jet'!$ED$70+'[3]Go Jet'!$ED$73</f>
        <v>70</v>
      </c>
      <c r="I46" s="5"/>
      <c r="L46" s="407">
        <f>SUM(B46:K46)</f>
        <v>26645</v>
      </c>
    </row>
    <row r="47" spans="1:12" x14ac:dyDescent="0.2">
      <c r="A47" s="408" t="s">
        <v>137</v>
      </c>
      <c r="C47" s="315">
        <f>'[3]Shuttle America_Delta'!$ED$71+'[3]Shuttle America_Delta'!$ED$74</f>
        <v>4188</v>
      </c>
      <c r="E47" s="315">
        <f>[3]Compass!$ED$71+[3]Compass!$ED$74</f>
        <v>29729</v>
      </c>
      <c r="F47" s="315">
        <f>'[3]Atlantic Southeast'!$ED$71+'[3]Atlantic Southeast'!$ED$74</f>
        <v>22824</v>
      </c>
      <c r="H47" s="315">
        <f>'[3]Go Jet'!$ED$71+'[3]Go Jet'!$ED$74</f>
        <v>101</v>
      </c>
      <c r="I47" s="5"/>
      <c r="L47" s="407">
        <f>SUM(B47:K47)</f>
        <v>56842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July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D5" sqref="D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7">
        <v>42186</v>
      </c>
      <c r="B2" s="474" t="s">
        <v>130</v>
      </c>
      <c r="C2" s="474" t="s">
        <v>177</v>
      </c>
      <c r="D2" s="475" t="s">
        <v>84</v>
      </c>
      <c r="E2" s="475" t="s">
        <v>178</v>
      </c>
      <c r="F2" s="474" t="s">
        <v>146</v>
      </c>
      <c r="G2" s="476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4"/>
      <c r="C4" s="179"/>
      <c r="D4" s="179"/>
      <c r="E4" s="179"/>
      <c r="F4" s="179"/>
      <c r="G4" s="243"/>
    </row>
    <row r="5" spans="1:17" x14ac:dyDescent="0.2">
      <c r="A5" s="64" t="s">
        <v>33</v>
      </c>
      <c r="B5" s="444">
        <f>'[3]Charter Misc'!$ED$22</f>
        <v>318</v>
      </c>
      <c r="C5" s="179">
        <f>[3]Ryan!$ED$22</f>
        <v>0</v>
      </c>
      <c r="D5" s="179">
        <f>'[3]Charter Misc'!$ED$32</f>
        <v>0</v>
      </c>
      <c r="E5" s="179">
        <f>[3]Omni!$ED$32</f>
        <v>0</v>
      </c>
      <c r="F5" s="179">
        <f>[3]Xtra!$ED$32+[3]Xtra!$ED$22</f>
        <v>0</v>
      </c>
      <c r="G5" s="337">
        <f>SUM(B5:F5)</f>
        <v>318</v>
      </c>
    </row>
    <row r="6" spans="1:17" x14ac:dyDescent="0.2">
      <c r="A6" s="64" t="s">
        <v>34</v>
      </c>
      <c r="B6" s="445">
        <f>'[3]Charter Misc'!$ED$23</f>
        <v>305</v>
      </c>
      <c r="C6" s="182">
        <f>[3]Ryan!$ED$23</f>
        <v>0</v>
      </c>
      <c r="D6" s="182">
        <f>'[3]Charter Misc'!$ED$33</f>
        <v>0</v>
      </c>
      <c r="E6" s="182">
        <f>[3]Omni!$ED$33</f>
        <v>0</v>
      </c>
      <c r="F6" s="182">
        <f>[3]Xtra!$ED$33+[3]Xtra!$ED$23</f>
        <v>0</v>
      </c>
      <c r="G6" s="336">
        <f>SUM(B6:F6)</f>
        <v>305</v>
      </c>
    </row>
    <row r="7" spans="1:17" ht="15.75" thickBot="1" x14ac:dyDescent="0.3">
      <c r="A7" s="178" t="s">
        <v>7</v>
      </c>
      <c r="B7" s="446">
        <f>SUM(B5:B6)</f>
        <v>623</v>
      </c>
      <c r="C7" s="292">
        <f>SUM(C5:C6)</f>
        <v>0</v>
      </c>
      <c r="D7" s="292">
        <f>SUM(D5:D6)</f>
        <v>0</v>
      </c>
      <c r="E7" s="292">
        <f>SUM(E5:E6)</f>
        <v>0</v>
      </c>
      <c r="F7" s="292">
        <f>SUM(F5:F6)</f>
        <v>0</v>
      </c>
      <c r="G7" s="293">
        <f>SUM(B7:F7)</f>
        <v>623</v>
      </c>
    </row>
    <row r="8" spans="1:17" ht="13.5" thickBot="1" x14ac:dyDescent="0.25"/>
    <row r="9" spans="1:17" x14ac:dyDescent="0.2">
      <c r="A9" s="176" t="s">
        <v>9</v>
      </c>
      <c r="B9" s="447"/>
      <c r="C9" s="46"/>
      <c r="D9" s="46"/>
      <c r="E9" s="46"/>
      <c r="F9" s="46"/>
      <c r="G9" s="59"/>
    </row>
    <row r="10" spans="1:17" x14ac:dyDescent="0.2">
      <c r="A10" s="177" t="s">
        <v>86</v>
      </c>
      <c r="B10" s="444">
        <f>'[3]Charter Misc'!$ED$4</f>
        <v>5</v>
      </c>
      <c r="C10" s="179">
        <f>[3]Ryan!$ED$4</f>
        <v>0</v>
      </c>
      <c r="D10" s="179">
        <f>'[3]Charter Misc'!$ED$15</f>
        <v>0</v>
      </c>
      <c r="E10" s="179">
        <f>[3]Omni!$ED$15</f>
        <v>0</v>
      </c>
      <c r="F10" s="179">
        <f>[3]Xtra!$ED$15+[3]Xtra!$ED$4</f>
        <v>0</v>
      </c>
      <c r="G10" s="336">
        <f>SUM(B10:F10)</f>
        <v>5</v>
      </c>
    </row>
    <row r="11" spans="1:17" x14ac:dyDescent="0.2">
      <c r="A11" s="177" t="s">
        <v>87</v>
      </c>
      <c r="B11" s="444">
        <f>'[3]Charter Misc'!$ED$5</f>
        <v>5</v>
      </c>
      <c r="C11" s="179">
        <f>[3]Ryan!$ED$5</f>
        <v>0</v>
      </c>
      <c r="D11" s="179">
        <f>'[3]Charter Misc'!$ED$16</f>
        <v>0</v>
      </c>
      <c r="E11" s="179">
        <f>[3]Omni!$ED$16</f>
        <v>0</v>
      </c>
      <c r="F11" s="179">
        <f>[3]Xtra!$ED$16+[3]Xtra!$ED$5</f>
        <v>0</v>
      </c>
      <c r="G11" s="336">
        <f>SUM(B11:F11)</f>
        <v>5</v>
      </c>
    </row>
    <row r="12" spans="1:17" ht="15.75" thickBot="1" x14ac:dyDescent="0.3">
      <c r="A12" s="271" t="s">
        <v>31</v>
      </c>
      <c r="B12" s="448">
        <f>SUM(B10:B11)</f>
        <v>10</v>
      </c>
      <c r="C12" s="294">
        <f>SUM(C10:C11)</f>
        <v>0</v>
      </c>
      <c r="D12" s="294">
        <f>SUM(D10:D11)</f>
        <v>0</v>
      </c>
      <c r="E12" s="294">
        <f>SUM(E10:E11)</f>
        <v>0</v>
      </c>
      <c r="F12" s="294">
        <f>SUM(F10:F11)</f>
        <v>0</v>
      </c>
      <c r="G12" s="295">
        <f>SUM(B12:F12)</f>
        <v>10</v>
      </c>
      <c r="Q12" s="127"/>
    </row>
    <row r="17" spans="1:16" x14ac:dyDescent="0.2">
      <c r="B17" s="493" t="s">
        <v>175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5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2"/>
      <c r="B19" s="496" t="s">
        <v>133</v>
      </c>
      <c r="C19" s="497"/>
      <c r="D19" s="497"/>
      <c r="E19" s="498"/>
      <c r="G19" s="496" t="s">
        <v>134</v>
      </c>
      <c r="H19" s="499"/>
      <c r="I19" s="499"/>
      <c r="J19" s="500"/>
      <c r="L19" s="501" t="s">
        <v>135</v>
      </c>
      <c r="M19" s="502"/>
      <c r="N19" s="502"/>
      <c r="O19" s="503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208</v>
      </c>
      <c r="E20" s="8" t="s">
        <v>186</v>
      </c>
      <c r="F20" s="23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32" t="s">
        <v>108</v>
      </c>
      <c r="L20" s="231" t="s">
        <v>113</v>
      </c>
      <c r="M20" s="225" t="s">
        <v>114</v>
      </c>
      <c r="N20" s="8" t="s">
        <v>208</v>
      </c>
      <c r="O20" s="8" t="s">
        <v>186</v>
      </c>
      <c r="P20" s="232" t="s">
        <v>108</v>
      </c>
    </row>
    <row r="21" spans="1:16" ht="14.1" customHeight="1" x14ac:dyDescent="0.2">
      <c r="A21" s="235" t="s">
        <v>115</v>
      </c>
      <c r="B21" s="330">
        <f>[4]Charter!$B$21</f>
        <v>118818</v>
      </c>
      <c r="C21" s="331">
        <f>[4]Charter!$C$21</f>
        <v>117747</v>
      </c>
      <c r="D21" s="331">
        <f t="shared" ref="D21:D32" si="0">SUM(B21:C21)</f>
        <v>236565</v>
      </c>
      <c r="E21" s="332">
        <f>[5]Charter!$D$21</f>
        <v>216467</v>
      </c>
      <c r="F21" s="335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[5]Charter!$I$21</f>
        <v>2341884</v>
      </c>
      <c r="K21" s="236">
        <f t="shared" ref="K21:K32" si="4">(I21-J21)/J21</f>
        <v>6.6403801383843096E-3</v>
      </c>
      <c r="L21" s="330">
        <f>[4]Charter!$L$21</f>
        <v>1288513</v>
      </c>
      <c r="M21" s="331">
        <f>[4]Charter!$M$21</f>
        <v>1305487</v>
      </c>
      <c r="N21" s="331">
        <f t="shared" ref="N21:N32" si="5">SUM(L21:M21)</f>
        <v>2594000</v>
      </c>
      <c r="O21" s="332">
        <f>[5]Charter!$N$21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[6]Charter!$B$22</f>
        <v>125389</v>
      </c>
      <c r="C22" s="328">
        <f>[6]Charter!$C$22</f>
        <v>126341</v>
      </c>
      <c r="D22" s="327">
        <f t="shared" ref="D22:D27" si="6">SUM(B22:C22)</f>
        <v>251730</v>
      </c>
      <c r="E22" s="334">
        <f>[7]Charter!$D$22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4">
        <f>[7]Charter!$I$22</f>
        <v>2230304</v>
      </c>
      <c r="K22" s="239">
        <f t="shared" si="4"/>
        <v>2.1647721566208016E-2</v>
      </c>
      <c r="L22" s="326">
        <f>[6]Charter!$L$22</f>
        <v>1252095</v>
      </c>
      <c r="M22" s="328">
        <f>[6]Charter!$M$22</f>
        <v>1278220</v>
      </c>
      <c r="N22" s="327">
        <f t="shared" ref="N22:N27" si="7">SUM(L22:M22)</f>
        <v>2530315</v>
      </c>
      <c r="O22" s="334">
        <f>[7]Charter!$N$22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[8]Charter!$B$23</f>
        <v>156527</v>
      </c>
      <c r="C23" s="328">
        <f>[8]Charter!$C$23</f>
        <v>155705</v>
      </c>
      <c r="D23" s="327">
        <f t="shared" si="6"/>
        <v>312232</v>
      </c>
      <c r="E23" s="334">
        <f>[9]Charter!$D$23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4">
        <f>[9]Charter!$I$23</f>
        <v>2929019</v>
      </c>
      <c r="K23" s="239">
        <f t="shared" si="4"/>
        <v>-5.7169311636421612E-3</v>
      </c>
      <c r="L23" s="326">
        <f>[8]Charter!$L$23</f>
        <v>1594951</v>
      </c>
      <c r="M23" s="328">
        <f>[8]Charter!$M$23</f>
        <v>1629555</v>
      </c>
      <c r="N23" s="327">
        <f t="shared" si="7"/>
        <v>3224506</v>
      </c>
      <c r="O23" s="334">
        <f>[9]Charter!$N$23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[10]Charter!$B$24</f>
        <v>110964</v>
      </c>
      <c r="C24" s="328">
        <f>[10]Charter!$C$24</f>
        <v>94306</v>
      </c>
      <c r="D24" s="327">
        <f t="shared" si="6"/>
        <v>205270</v>
      </c>
      <c r="E24" s="334">
        <f>[11]Charter!$D$24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4">
        <f>[11]Charter!$I$24</f>
        <v>2635560</v>
      </c>
      <c r="K24" s="239">
        <f t="shared" si="4"/>
        <v>2.4231282915205876E-2</v>
      </c>
      <c r="L24" s="326">
        <f>[10]Charter!$L$24</f>
        <v>1510326</v>
      </c>
      <c r="M24" s="328">
        <f>[10]Charter!$M$24</f>
        <v>1394367</v>
      </c>
      <c r="N24" s="327">
        <f t="shared" si="7"/>
        <v>2904693</v>
      </c>
      <c r="O24" s="334">
        <f>[11]Charter!$N$24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[12]Charter!$B$25</f>
        <v>96016</v>
      </c>
      <c r="C25" s="328">
        <f>[12]Charter!$C$25</f>
        <v>102383</v>
      </c>
      <c r="D25" s="327">
        <f t="shared" si="6"/>
        <v>198399</v>
      </c>
      <c r="E25" s="334">
        <f>[13]Charter!$D$25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4">
        <f>[13]Charter!$I$25</f>
        <v>2772364</v>
      </c>
      <c r="K25" s="233">
        <f t="shared" si="4"/>
        <v>2.2771180119205127E-2</v>
      </c>
      <c r="L25" s="326">
        <f>[12]Charter!$L$25</f>
        <v>1528639</v>
      </c>
      <c r="M25" s="328">
        <f>[12]Charter!$M$25</f>
        <v>1505254</v>
      </c>
      <c r="N25" s="327">
        <f t="shared" si="7"/>
        <v>3033893</v>
      </c>
      <c r="O25" s="334">
        <f>[13]Charter!$N$25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[2]Charter!$B$26</f>
        <v>109579</v>
      </c>
      <c r="C26" s="328">
        <f>[2]Charter!$C$26</f>
        <v>112322</v>
      </c>
      <c r="D26" s="327">
        <f t="shared" si="6"/>
        <v>221901</v>
      </c>
      <c r="E26" s="334">
        <f>[14]Charter!$D$26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4">
        <f>[14]Charter!$I$26</f>
        <v>3028988</v>
      </c>
      <c r="K26" s="239">
        <f t="shared" si="4"/>
        <v>4.073043537973739E-2</v>
      </c>
      <c r="L26" s="326">
        <f>[2]Charter!$L$26</f>
        <v>1693407</v>
      </c>
      <c r="M26" s="328">
        <f>[2]Charter!$M$26</f>
        <v>1680854</v>
      </c>
      <c r="N26" s="327">
        <f t="shared" si="7"/>
        <v>3374261</v>
      </c>
      <c r="O26" s="334">
        <f>[14]Charter!$N$26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'Intl Detail'!$N$4+'Intl Detail'!$N$9</f>
        <v>122712</v>
      </c>
      <c r="C27" s="328">
        <f>'Intl Detail'!$N$5+'Intl Detail'!$N$10</f>
        <v>113262</v>
      </c>
      <c r="D27" s="327">
        <f t="shared" si="6"/>
        <v>235974</v>
      </c>
      <c r="E27" s="334">
        <f>[1]Charter!$D$27</f>
        <v>224198</v>
      </c>
      <c r="F27" s="227">
        <f t="shared" si="1"/>
        <v>5.2525000223017156E-2</v>
      </c>
      <c r="G27" s="326">
        <f t="shared" ref="G27" si="18">L27-B27</f>
        <v>1664556</v>
      </c>
      <c r="H27" s="328">
        <f t="shared" ref="H27" si="19">M27-C27</f>
        <v>1668508</v>
      </c>
      <c r="I27" s="327">
        <f t="shared" ref="I27" si="20">SUM(G27:H27)</f>
        <v>3333064</v>
      </c>
      <c r="J27" s="334">
        <f>[1]Charter!$I$27</f>
        <v>3212606</v>
      </c>
      <c r="K27" s="233">
        <f t="shared" si="4"/>
        <v>3.7495416493650326E-2</v>
      </c>
      <c r="L27" s="326">
        <f>'Monthly Summary'!$B$11</f>
        <v>1787268</v>
      </c>
      <c r="M27" s="328">
        <f>'Monthly Summary'!$C$11</f>
        <v>1781770</v>
      </c>
      <c r="N27" s="327">
        <f t="shared" si="7"/>
        <v>3569038</v>
      </c>
      <c r="O27" s="334">
        <f>[14]Charter!$N$26</f>
        <v>3241353</v>
      </c>
      <c r="P27" s="227">
        <f t="shared" si="8"/>
        <v>0.10109512910195217</v>
      </c>
    </row>
    <row r="28" spans="1:16" ht="14.1" customHeight="1" x14ac:dyDescent="0.2">
      <c r="A28" s="237" t="s">
        <v>121</v>
      </c>
      <c r="B28" s="326"/>
      <c r="C28" s="328"/>
      <c r="D28" s="327">
        <f t="shared" si="0"/>
        <v>0</v>
      </c>
      <c r="E28" s="333"/>
      <c r="F28" s="238" t="e">
        <f t="shared" si="1"/>
        <v>#DIV/0!</v>
      </c>
      <c r="G28" s="326"/>
      <c r="H28" s="328"/>
      <c r="I28" s="327">
        <f t="shared" ref="I28:I32" si="21">SUM(G28:H28)</f>
        <v>0</v>
      </c>
      <c r="J28" s="333"/>
      <c r="K28" s="239" t="e">
        <f t="shared" si="4"/>
        <v>#DIV/0!</v>
      </c>
      <c r="L28" s="326"/>
      <c r="M28" s="328"/>
      <c r="N28" s="327">
        <f t="shared" si="5"/>
        <v>0</v>
      </c>
      <c r="O28" s="333"/>
      <c r="P28" s="238" t="e">
        <f t="shared" si="8"/>
        <v>#DIV/0!</v>
      </c>
    </row>
    <row r="29" spans="1:16" ht="14.1" customHeight="1" x14ac:dyDescent="0.2">
      <c r="A29" s="224" t="s">
        <v>122</v>
      </c>
      <c r="B29" s="326"/>
      <c r="C29" s="328"/>
      <c r="D29" s="327">
        <f t="shared" si="0"/>
        <v>0</v>
      </c>
      <c r="E29" s="333"/>
      <c r="F29" s="227" t="e">
        <f t="shared" si="1"/>
        <v>#DIV/0!</v>
      </c>
      <c r="G29" s="326"/>
      <c r="H29" s="328"/>
      <c r="I29" s="327">
        <f t="shared" si="21"/>
        <v>0</v>
      </c>
      <c r="J29" s="333"/>
      <c r="K29" s="233" t="e">
        <f t="shared" si="4"/>
        <v>#DIV/0!</v>
      </c>
      <c r="L29" s="326"/>
      <c r="M29" s="328"/>
      <c r="N29" s="327">
        <f t="shared" si="5"/>
        <v>0</v>
      </c>
      <c r="O29" s="333"/>
      <c r="P29" s="227" t="e">
        <f t="shared" si="8"/>
        <v>#DIV/0!</v>
      </c>
    </row>
    <row r="30" spans="1:16" ht="14.1" customHeight="1" x14ac:dyDescent="0.2">
      <c r="A30" s="237" t="s">
        <v>123</v>
      </c>
      <c r="B30" s="326"/>
      <c r="C30" s="328"/>
      <c r="D30" s="327">
        <f>SUM(B30:C30)</f>
        <v>0</v>
      </c>
      <c r="E30" s="333"/>
      <c r="F30" s="238" t="e">
        <f t="shared" si="1"/>
        <v>#DIV/0!</v>
      </c>
      <c r="G30" s="326"/>
      <c r="H30" s="328"/>
      <c r="I30" s="327">
        <f>SUM(G30:H30)</f>
        <v>0</v>
      </c>
      <c r="J30" s="333"/>
      <c r="K30" s="239" t="e">
        <f t="shared" si="4"/>
        <v>#DIV/0!</v>
      </c>
      <c r="L30" s="326"/>
      <c r="M30" s="328"/>
      <c r="N30" s="327">
        <f>SUM(L30:M30)</f>
        <v>0</v>
      </c>
      <c r="O30" s="333"/>
      <c r="P30" s="238" t="e">
        <f t="shared" si="8"/>
        <v>#DIV/0!</v>
      </c>
    </row>
    <row r="31" spans="1:16" ht="14.1" customHeight="1" x14ac:dyDescent="0.2">
      <c r="A31" s="224" t="s">
        <v>124</v>
      </c>
      <c r="B31" s="326"/>
      <c r="C31" s="328"/>
      <c r="D31" s="327">
        <f>SUM(B31:C31)</f>
        <v>0</v>
      </c>
      <c r="E31" s="333"/>
      <c r="F31" s="227" t="e">
        <f t="shared" si="1"/>
        <v>#DIV/0!</v>
      </c>
      <c r="G31" s="326"/>
      <c r="H31" s="328"/>
      <c r="I31" s="327">
        <f t="shared" si="21"/>
        <v>0</v>
      </c>
      <c r="J31" s="333"/>
      <c r="K31" s="233" t="e">
        <f t="shared" si="4"/>
        <v>#DIV/0!</v>
      </c>
      <c r="L31" s="326"/>
      <c r="M31" s="328"/>
      <c r="N31" s="327">
        <f>SUM(L31:M31)</f>
        <v>0</v>
      </c>
      <c r="O31" s="333"/>
      <c r="P31" s="227" t="e">
        <f t="shared" si="8"/>
        <v>#DIV/0!</v>
      </c>
    </row>
    <row r="32" spans="1:16" ht="14.1" customHeight="1" x14ac:dyDescent="0.2">
      <c r="A32" s="240" t="s">
        <v>125</v>
      </c>
      <c r="B32" s="326"/>
      <c r="C32" s="328"/>
      <c r="D32" s="158">
        <f t="shared" si="0"/>
        <v>0</v>
      </c>
      <c r="E32" s="333"/>
      <c r="F32" s="241" t="e">
        <f t="shared" si="1"/>
        <v>#DIV/0!</v>
      </c>
      <c r="G32" s="242"/>
      <c r="H32" s="158"/>
      <c r="I32" s="158">
        <f t="shared" si="21"/>
        <v>0</v>
      </c>
      <c r="J32" s="333"/>
      <c r="K32" s="241" t="e">
        <f t="shared" si="4"/>
        <v>#DIV/0!</v>
      </c>
      <c r="L32" s="326"/>
      <c r="M32" s="328"/>
      <c r="N32" s="158">
        <f t="shared" si="5"/>
        <v>0</v>
      </c>
      <c r="O32" s="333"/>
      <c r="P32" s="241" t="e">
        <f t="shared" si="8"/>
        <v>#DIV/0!</v>
      </c>
    </row>
    <row r="33" spans="1:16" ht="13.5" thickBot="1" x14ac:dyDescent="0.25">
      <c r="A33" s="234" t="s">
        <v>83</v>
      </c>
      <c r="B33" s="244">
        <f>SUM(B21:B32)</f>
        <v>840005</v>
      </c>
      <c r="C33" s="245">
        <f>SUM(C21:C32)</f>
        <v>822066</v>
      </c>
      <c r="D33" s="245">
        <f>SUM(D21:D32)</f>
        <v>1662071</v>
      </c>
      <c r="E33" s="246">
        <f>SUM(E21:E32)</f>
        <v>1526162</v>
      </c>
      <c r="F33" s="229">
        <f>(D33-E33)/E33</f>
        <v>8.905280042354613E-2</v>
      </c>
      <c r="G33" s="247">
        <f>SUM(G21:G32)</f>
        <v>9815194</v>
      </c>
      <c r="H33" s="245">
        <f>SUM(H21:H32)</f>
        <v>9753441</v>
      </c>
      <c r="I33" s="245">
        <f>SUM(I21:I32)</f>
        <v>19568635</v>
      </c>
      <c r="J33" s="248">
        <f>SUM(J21:J32)</f>
        <v>19150725</v>
      </c>
      <c r="K33" s="230">
        <f>(I33-J33)/J33</f>
        <v>2.1822150336344968E-2</v>
      </c>
      <c r="L33" s="247">
        <f>SUM(L21:L32)</f>
        <v>10655199</v>
      </c>
      <c r="M33" s="245">
        <f>SUM(M21:M32)</f>
        <v>10575507</v>
      </c>
      <c r="N33" s="245">
        <f>SUM(N21:N32)</f>
        <v>21230706</v>
      </c>
      <c r="O33" s="246">
        <f>SUM(O21:O32)</f>
        <v>20481436</v>
      </c>
      <c r="P33" s="228">
        <f>(N33-O33)/O33</f>
        <v>3.6582884129804177E-2</v>
      </c>
    </row>
    <row r="35" spans="1:16" x14ac:dyDescent="0.2">
      <c r="N35" s="127"/>
      <c r="O35" s="127"/>
    </row>
    <row r="36" spans="1:16" x14ac:dyDescent="0.2">
      <c r="D36" s="127"/>
      <c r="O36" s="127"/>
    </row>
    <row r="37" spans="1:16" x14ac:dyDescent="0.2">
      <c r="N37" s="127"/>
      <c r="O37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I5" sqref="I5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7" t="s">
        <v>103</v>
      </c>
      <c r="C1" s="508"/>
      <c r="D1" s="508"/>
      <c r="E1" s="508"/>
      <c r="F1" s="458"/>
      <c r="G1" s="507" t="s">
        <v>102</v>
      </c>
      <c r="H1" s="509"/>
      <c r="I1" s="509"/>
      <c r="J1" s="509"/>
      <c r="K1" s="509"/>
      <c r="L1" s="510"/>
    </row>
    <row r="2" spans="1:20" s="186" customFormat="1" ht="30.75" customHeight="1" thickBot="1" x14ac:dyDescent="0.25">
      <c r="A2" s="397">
        <v>42186</v>
      </c>
      <c r="B2" s="477" t="s">
        <v>88</v>
      </c>
      <c r="C2" s="477" t="s">
        <v>89</v>
      </c>
      <c r="D2" s="477" t="s">
        <v>90</v>
      </c>
      <c r="E2" s="477" t="s">
        <v>91</v>
      </c>
      <c r="F2" s="478"/>
      <c r="G2" s="474" t="s">
        <v>92</v>
      </c>
      <c r="H2" s="474" t="s">
        <v>201</v>
      </c>
      <c r="I2" s="475" t="s">
        <v>93</v>
      </c>
      <c r="J2" s="477" t="s">
        <v>94</v>
      </c>
      <c r="K2" s="474" t="s">
        <v>95</v>
      </c>
      <c r="L2" s="474" t="s">
        <v>142</v>
      </c>
      <c r="M2" s="474" t="s">
        <v>24</v>
      </c>
    </row>
    <row r="3" spans="1:20" ht="15" x14ac:dyDescent="0.25">
      <c r="A3" s="193" t="s">
        <v>9</v>
      </c>
      <c r="B3" s="423"/>
      <c r="C3" s="194"/>
      <c r="D3" s="194"/>
      <c r="E3" s="194"/>
      <c r="F3" s="459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[3]Airborne!$ED$4</f>
        <v>0</v>
      </c>
      <c r="C4" s="486">
        <f>[3]DHL!$ED$4</f>
        <v>23</v>
      </c>
      <c r="D4" s="486">
        <f>[3]FedEx!$ED$4+[3]FedEx!$ED$15</f>
        <v>130</v>
      </c>
      <c r="E4" s="486">
        <f>[3]UPS!$ED$4+[3]UPS!$ED$15</f>
        <v>105</v>
      </c>
      <c r="F4" s="187"/>
      <c r="G4" s="115">
        <f>[3]ATI_BAX!$ED$4</f>
        <v>0</v>
      </c>
      <c r="H4" s="115">
        <f>'[3]Suburban Air Freight'!$ED$15</f>
        <v>22</v>
      </c>
      <c r="I4" s="115">
        <f>[3]Bemidji!$ED$4</f>
        <v>242</v>
      </c>
      <c r="J4" s="115">
        <f>'[3]CSA Air'!$ED$4</f>
        <v>22</v>
      </c>
      <c r="K4" s="115">
        <f>'[3]Mountain Cargo'!$ED$4</f>
        <v>22</v>
      </c>
      <c r="L4" s="115">
        <f>'[3]Misc Cargo'!$ED$4</f>
        <v>24</v>
      </c>
      <c r="M4" s="196">
        <f>SUM(B4:L4)</f>
        <v>590</v>
      </c>
    </row>
    <row r="5" spans="1:20" x14ac:dyDescent="0.2">
      <c r="A5" s="54" t="s">
        <v>60</v>
      </c>
      <c r="B5" s="424">
        <f>[3]Airborne!$ED$5</f>
        <v>0</v>
      </c>
      <c r="C5" s="192">
        <f>[3]DHL!$ED$5</f>
        <v>23</v>
      </c>
      <c r="D5" s="192">
        <f>[3]FedEx!$ED$5</f>
        <v>130</v>
      </c>
      <c r="E5" s="192">
        <f>[3]UPS!$ED$5</f>
        <v>86</v>
      </c>
      <c r="F5" s="187"/>
      <c r="G5" s="117">
        <f>[3]ATI_BAX!$ED$5</f>
        <v>0</v>
      </c>
      <c r="H5" s="117">
        <f>'[3]Suburban Air Freight'!$ED$16</f>
        <v>22</v>
      </c>
      <c r="I5" s="117">
        <f>[3]Bemidji!$ED$5</f>
        <v>242</v>
      </c>
      <c r="J5" s="117">
        <f>'[3]CSA Air'!$ED$5</f>
        <v>22</v>
      </c>
      <c r="K5" s="117">
        <f>'[3]Mountain Cargo'!$ED$5</f>
        <v>22</v>
      </c>
      <c r="L5" s="117">
        <f>'[3]Misc Cargo'!$ED$5</f>
        <v>24</v>
      </c>
      <c r="M5" s="200">
        <f>SUM(B5:L5)</f>
        <v>571</v>
      </c>
    </row>
    <row r="6" spans="1:20" s="184" customFormat="1" x14ac:dyDescent="0.2">
      <c r="A6" s="197" t="s">
        <v>61</v>
      </c>
      <c r="B6" s="425">
        <f>SUM(B4:B5)</f>
        <v>0</v>
      </c>
      <c r="C6" s="198">
        <f>SUM(C4:C5)</f>
        <v>46</v>
      </c>
      <c r="D6" s="198">
        <f>SUM(D4:D5)</f>
        <v>260</v>
      </c>
      <c r="E6" s="198">
        <f>SUM(E4:E5)</f>
        <v>191</v>
      </c>
      <c r="F6" s="188"/>
      <c r="G6" s="183">
        <f t="shared" ref="G6:L6" si="0">SUM(G4:G5)</f>
        <v>0</v>
      </c>
      <c r="H6" s="183">
        <f t="shared" si="0"/>
        <v>44</v>
      </c>
      <c r="I6" s="183">
        <f t="shared" si="0"/>
        <v>484</v>
      </c>
      <c r="J6" s="183">
        <f t="shared" si="0"/>
        <v>44</v>
      </c>
      <c r="K6" s="183">
        <f t="shared" si="0"/>
        <v>44</v>
      </c>
      <c r="L6" s="183">
        <f t="shared" si="0"/>
        <v>48</v>
      </c>
      <c r="M6" s="199">
        <f>SUM(B6:L6)</f>
        <v>1161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[3]Airborne!$ED$8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'[3]Misc Cargo'!$ED$8</f>
        <v>0</v>
      </c>
      <c r="M8" s="196">
        <f>SUM(B8:L8)</f>
        <v>0</v>
      </c>
    </row>
    <row r="9" spans="1:20" ht="15" x14ac:dyDescent="0.25">
      <c r="A9" s="54" t="s">
        <v>63</v>
      </c>
      <c r="B9" s="424">
        <f>[3]Airborne!$ED$9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'[3]Misc Cargo'!$ED$9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5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6">
        <f>B6+B10</f>
        <v>0</v>
      </c>
      <c r="C12" s="202">
        <f>C6+C10</f>
        <v>46</v>
      </c>
      <c r="D12" s="202">
        <f>D6+D10</f>
        <v>260</v>
      </c>
      <c r="E12" s="202">
        <f>E6+E10</f>
        <v>191</v>
      </c>
      <c r="F12" s="460"/>
      <c r="G12" s="203">
        <f t="shared" ref="G12:L12" si="2">G6+G10</f>
        <v>0</v>
      </c>
      <c r="H12" s="203">
        <f t="shared" si="2"/>
        <v>44</v>
      </c>
      <c r="I12" s="203">
        <f t="shared" si="2"/>
        <v>484</v>
      </c>
      <c r="J12" s="203">
        <f t="shared" si="2"/>
        <v>44</v>
      </c>
      <c r="K12" s="203">
        <f t="shared" si="2"/>
        <v>44</v>
      </c>
      <c r="L12" s="203">
        <f t="shared" si="2"/>
        <v>48</v>
      </c>
      <c r="M12" s="204">
        <f>SUM(B12:L12)</f>
        <v>1161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7"/>
      <c r="C14" s="206"/>
      <c r="D14" s="206"/>
      <c r="E14" s="206"/>
      <c r="F14" s="461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[3]Airborne!$ED$47</f>
        <v>0</v>
      </c>
      <c r="C16" s="158">
        <f>[3]DHL!$ED$47</f>
        <v>692440</v>
      </c>
      <c r="D16" s="158">
        <f>[3]FedEx!$ED$47</f>
        <v>5682729</v>
      </c>
      <c r="E16" s="158">
        <f>[3]UPS!$ED$47</f>
        <v>5183794</v>
      </c>
      <c r="F16" s="187"/>
      <c r="G16" s="115">
        <f>[3]ATI_BAX!$ED$47</f>
        <v>0</v>
      </c>
      <c r="H16" s="115">
        <f>'[3]Suburban Air Freight'!$ED$47</f>
        <v>18907</v>
      </c>
      <c r="I16" s="504" t="s">
        <v>96</v>
      </c>
      <c r="J16" s="115">
        <f>'[3]CSA Air'!$ED$47</f>
        <v>26273</v>
      </c>
      <c r="K16" s="115">
        <f>'[3]Mountain Cargo'!$ED$47</f>
        <v>50286</v>
      </c>
      <c r="L16" s="115">
        <f>'[3]Misc Cargo'!$ED$47</f>
        <v>34256</v>
      </c>
      <c r="M16" s="196">
        <f>SUM(B16:H16)+SUM(J16:L16)</f>
        <v>11688685</v>
      </c>
    </row>
    <row r="17" spans="1:14" x14ac:dyDescent="0.2">
      <c r="A17" s="54" t="s">
        <v>41</v>
      </c>
      <c r="B17" s="242">
        <f>[3]Airborne!$ED$48</f>
        <v>0</v>
      </c>
      <c r="C17" s="158">
        <f>[3]DHL!$ED$48</f>
        <v>0</v>
      </c>
      <c r="D17" s="158">
        <f>[3]FedEx!$ED$48</f>
        <v>0</v>
      </c>
      <c r="E17" s="158">
        <f>[3]UPS!$ED$48</f>
        <v>85</v>
      </c>
      <c r="F17" s="187"/>
      <c r="G17" s="115">
        <f>[3]ATI_BAX!$ED$48</f>
        <v>0</v>
      </c>
      <c r="H17" s="115">
        <f>'[3]Suburban Air Freight'!$ED$48</f>
        <v>0</v>
      </c>
      <c r="I17" s="505"/>
      <c r="J17" s="115">
        <f>'[3]CSA Air'!$ED$48</f>
        <v>0</v>
      </c>
      <c r="K17" s="115">
        <f>'[3]Mountain Cargo'!$ED$48</f>
        <v>0</v>
      </c>
      <c r="L17" s="115">
        <f>'[3]Misc Cargo'!$ED$48</f>
        <v>0</v>
      </c>
      <c r="M17" s="196">
        <f>SUM(B17:H17)+SUM(J17:L17)</f>
        <v>85</v>
      </c>
    </row>
    <row r="18" spans="1:14" ht="18" customHeight="1" x14ac:dyDescent="0.2">
      <c r="A18" s="209" t="s">
        <v>42</v>
      </c>
      <c r="B18" s="428">
        <f>SUM(B16:B17)</f>
        <v>0</v>
      </c>
      <c r="C18" s="296">
        <f>SUM(C16:C17)</f>
        <v>692440</v>
      </c>
      <c r="D18" s="296">
        <f>SUM(D16:D17)</f>
        <v>5682729</v>
      </c>
      <c r="E18" s="296">
        <f>SUM(E16:E17)</f>
        <v>5183879</v>
      </c>
      <c r="F18" s="461"/>
      <c r="G18" s="297">
        <f>SUM(G16:G17)</f>
        <v>0</v>
      </c>
      <c r="H18" s="297">
        <f>SUM(H16:H17)</f>
        <v>18907</v>
      </c>
      <c r="I18" s="505"/>
      <c r="J18" s="297">
        <f>SUM(J16:J17)</f>
        <v>26273</v>
      </c>
      <c r="K18" s="297">
        <f>SUM(K16:K17)</f>
        <v>50286</v>
      </c>
      <c r="L18" s="297">
        <f>SUM(L16:L17)</f>
        <v>34256</v>
      </c>
      <c r="M18" s="210">
        <f>SUM(B18:H18)+SUM(J18:L18)</f>
        <v>11688770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5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5"/>
      <c r="J20" s="115"/>
      <c r="K20" s="115"/>
      <c r="L20" s="115"/>
      <c r="M20" s="196"/>
    </row>
    <row r="21" spans="1:14" x14ac:dyDescent="0.2">
      <c r="A21" s="54" t="s">
        <v>65</v>
      </c>
      <c r="B21" s="242">
        <f>[3]Airborne!$ED$52</f>
        <v>0</v>
      </c>
      <c r="C21" s="158">
        <f>[3]DHL!$ED$52</f>
        <v>454637</v>
      </c>
      <c r="D21" s="158">
        <f>[3]FedEx!$ED$52</f>
        <v>8416403</v>
      </c>
      <c r="E21" s="158">
        <f>[3]UPS!$ED$52</f>
        <v>4340601</v>
      </c>
      <c r="F21" s="187"/>
      <c r="G21" s="115">
        <f>[3]ATI_BAX!$ED$52</f>
        <v>0</v>
      </c>
      <c r="H21" s="115">
        <f>'[3]Suburban Air Freight'!$ED$52</f>
        <v>66521</v>
      </c>
      <c r="I21" s="505"/>
      <c r="J21" s="115">
        <f>'[3]CSA Air'!$ED$52</f>
        <v>35296</v>
      </c>
      <c r="K21" s="115">
        <f>'[3]Mountain Cargo'!$ED$52</f>
        <v>138705</v>
      </c>
      <c r="L21" s="115">
        <f>'[3]Misc Cargo'!$ED$52</f>
        <v>33117</v>
      </c>
      <c r="M21" s="196">
        <f>SUM(B21:H21)+SUM(J21:L21)</f>
        <v>13485280</v>
      </c>
    </row>
    <row r="22" spans="1:14" x14ac:dyDescent="0.2">
      <c r="A22" s="54" t="s">
        <v>66</v>
      </c>
      <c r="B22" s="242">
        <f>[3]Airborne!$ED$53</f>
        <v>0</v>
      </c>
      <c r="C22" s="158">
        <f>[3]DHL!$ED$53</f>
        <v>0</v>
      </c>
      <c r="D22" s="158">
        <f>[3]FedEx!$ED$53</f>
        <v>0</v>
      </c>
      <c r="E22" s="158">
        <f>[3]UPS!$ED$53</f>
        <v>142947</v>
      </c>
      <c r="F22" s="187"/>
      <c r="G22" s="115">
        <f>[3]ATI_BAX!$ED$53</f>
        <v>0</v>
      </c>
      <c r="H22" s="115">
        <f>'[3]Suburban Air Freight'!$ED$53</f>
        <v>0</v>
      </c>
      <c r="I22" s="505"/>
      <c r="J22" s="115">
        <f>'[3]CSA Air'!$ED$53</f>
        <v>0</v>
      </c>
      <c r="K22" s="115">
        <f>'[3]Mountain Cargo'!$ED$53</f>
        <v>0</v>
      </c>
      <c r="L22" s="115">
        <f>'[3]Misc Cargo'!$ED$53</f>
        <v>0</v>
      </c>
      <c r="M22" s="196">
        <f>SUM(B22:H22)+SUM(J22:L22)</f>
        <v>142947</v>
      </c>
    </row>
    <row r="23" spans="1:14" ht="18" customHeight="1" x14ac:dyDescent="0.2">
      <c r="A23" s="209" t="s">
        <v>44</v>
      </c>
      <c r="B23" s="428">
        <f>SUM(B21:B22)</f>
        <v>0</v>
      </c>
      <c r="C23" s="296">
        <f>SUM(C21:C22)</f>
        <v>454637</v>
      </c>
      <c r="D23" s="296">
        <f>SUM(D21:D22)</f>
        <v>8416403</v>
      </c>
      <c r="E23" s="296">
        <f>SUM(E21:E22)</f>
        <v>4483548</v>
      </c>
      <c r="F23" s="461"/>
      <c r="G23" s="297">
        <f>SUM(G21:G22)</f>
        <v>0</v>
      </c>
      <c r="H23" s="297">
        <f>SUM(H21:H22)</f>
        <v>66521</v>
      </c>
      <c r="I23" s="505"/>
      <c r="J23" s="297">
        <f>SUM(J21:J22)</f>
        <v>35296</v>
      </c>
      <c r="K23" s="297">
        <f>SUM(K21:K22)</f>
        <v>138705</v>
      </c>
      <c r="L23" s="297">
        <f>SUM(L21:L22)</f>
        <v>33117</v>
      </c>
      <c r="M23" s="210">
        <f>SUM(B23:H23)+SUM(J23:L23)</f>
        <v>13628227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5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5"/>
      <c r="J25" s="115"/>
      <c r="K25" s="115"/>
      <c r="L25" s="115"/>
      <c r="M25" s="196"/>
    </row>
    <row r="26" spans="1:14" x14ac:dyDescent="0.2">
      <c r="A26" s="54" t="s">
        <v>65</v>
      </c>
      <c r="B26" s="242">
        <f>[3]Airborne!$ED$57</f>
        <v>0</v>
      </c>
      <c r="C26" s="158">
        <f>[3]DHL!$ED$57</f>
        <v>0</v>
      </c>
      <c r="D26" s="158">
        <f>[3]FedEx!$ED$57</f>
        <v>0</v>
      </c>
      <c r="E26" s="158">
        <f>[3]UPS!$ED$57</f>
        <v>0</v>
      </c>
      <c r="F26" s="187"/>
      <c r="G26" s="115">
        <f>[3]ATI_BAX!$ED$57</f>
        <v>0</v>
      </c>
      <c r="H26" s="115">
        <f>'[3]Suburban Air Freight'!$ED$57</f>
        <v>0</v>
      </c>
      <c r="I26" s="505"/>
      <c r="J26" s="115">
        <f>'[3]CSA Air'!$ED$57</f>
        <v>0</v>
      </c>
      <c r="K26" s="115">
        <f>'[3]Mountain Cargo'!$ED$57</f>
        <v>0</v>
      </c>
      <c r="L26" s="115">
        <f>'[3]Misc Cargo'!$ED$57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[3]Airborne!$ED$58</f>
        <v>0</v>
      </c>
      <c r="C27" s="158">
        <f>[3]DHL!$ED$58</f>
        <v>0</v>
      </c>
      <c r="D27" s="158">
        <f>[3]FedEx!$ED$58</f>
        <v>0</v>
      </c>
      <c r="E27" s="158">
        <f>[3]UPS!$ED$58</f>
        <v>0</v>
      </c>
      <c r="F27" s="187"/>
      <c r="G27" s="115">
        <f>[3]ATI_BAX!$ED$58</f>
        <v>0</v>
      </c>
      <c r="H27" s="115">
        <f>'[3]Suburban Air Freight'!$ED$58</f>
        <v>0</v>
      </c>
      <c r="I27" s="505"/>
      <c r="J27" s="115">
        <f>'[3]CSA Air'!$ED$58</f>
        <v>0</v>
      </c>
      <c r="K27" s="115">
        <f>'[3]Mountain Cargo'!$ED$58</f>
        <v>0</v>
      </c>
      <c r="L27" s="115">
        <f>'[3]Misc Cargo'!$ED$58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8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61"/>
      <c r="G28" s="297">
        <f>SUM(G26:G27)</f>
        <v>0</v>
      </c>
      <c r="H28" s="297">
        <f>SUM(H26:H27)</f>
        <v>0</v>
      </c>
      <c r="I28" s="505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5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5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1147077</v>
      </c>
      <c r="D31" s="158">
        <f t="shared" si="3"/>
        <v>14099132</v>
      </c>
      <c r="E31" s="158">
        <f t="shared" si="3"/>
        <v>9524395</v>
      </c>
      <c r="F31" s="187"/>
      <c r="G31" s="115">
        <f t="shared" ref="G31:H33" si="4">G26+G21+G16</f>
        <v>0</v>
      </c>
      <c r="H31" s="115">
        <f t="shared" si="4"/>
        <v>85428</v>
      </c>
      <c r="I31" s="505"/>
      <c r="J31" s="115">
        <f t="shared" ref="J31:L33" si="5">J26+J21+J16</f>
        <v>61569</v>
      </c>
      <c r="K31" s="115">
        <f t="shared" si="5"/>
        <v>188991</v>
      </c>
      <c r="L31" s="115">
        <f>L26+L21+L16</f>
        <v>67373</v>
      </c>
      <c r="M31" s="196">
        <f>SUM(B31:H31)+SUM(J31:L31)</f>
        <v>25173965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143032</v>
      </c>
      <c r="F32" s="187"/>
      <c r="G32" s="115">
        <f t="shared" si="4"/>
        <v>0</v>
      </c>
      <c r="H32" s="115">
        <f t="shared" si="4"/>
        <v>0</v>
      </c>
      <c r="I32" s="506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143032</v>
      </c>
    </row>
    <row r="33" spans="1:13" ht="18" customHeight="1" thickBot="1" x14ac:dyDescent="0.25">
      <c r="A33" s="201" t="s">
        <v>49</v>
      </c>
      <c r="B33" s="426">
        <f t="shared" si="3"/>
        <v>0</v>
      </c>
      <c r="C33" s="202">
        <f t="shared" si="3"/>
        <v>1147077</v>
      </c>
      <c r="D33" s="202">
        <f t="shared" si="3"/>
        <v>14099132</v>
      </c>
      <c r="E33" s="202">
        <f t="shared" si="3"/>
        <v>9667427</v>
      </c>
      <c r="F33" s="461"/>
      <c r="G33" s="203">
        <f t="shared" si="4"/>
        <v>0</v>
      </c>
      <c r="H33" s="203">
        <f t="shared" si="4"/>
        <v>85428</v>
      </c>
      <c r="I33" s="298">
        <f>I28+I23+I18</f>
        <v>0</v>
      </c>
      <c r="J33" s="203">
        <f t="shared" si="5"/>
        <v>61569</v>
      </c>
      <c r="K33" s="203">
        <f t="shared" si="5"/>
        <v>188991</v>
      </c>
      <c r="L33" s="203">
        <f t="shared" si="5"/>
        <v>67373</v>
      </c>
      <c r="M33" s="204">
        <f>SUM(B33:H33)+SUM(J33:L33)</f>
        <v>25316997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July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B2" sqref="B2:K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7">
        <v>42186</v>
      </c>
      <c r="B2" s="479" t="s">
        <v>69</v>
      </c>
      <c r="C2" s="479" t="s">
        <v>70</v>
      </c>
      <c r="D2" s="479" t="s">
        <v>71</v>
      </c>
      <c r="E2" s="480" t="s">
        <v>81</v>
      </c>
      <c r="F2" s="481" t="s">
        <v>207</v>
      </c>
      <c r="G2" s="481" t="s">
        <v>187</v>
      </c>
      <c r="H2" s="482" t="s">
        <v>72</v>
      </c>
      <c r="I2" s="483" t="s">
        <v>206</v>
      </c>
      <c r="J2" s="483" t="s">
        <v>185</v>
      </c>
      <c r="K2" s="484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4605048</v>
      </c>
      <c r="C5" s="115">
        <f>'Regional Major'!K25</f>
        <v>0</v>
      </c>
      <c r="D5" s="115">
        <f>Cargo!M16</f>
        <v>11688685</v>
      </c>
      <c r="E5" s="115">
        <f>SUM(B5:D5)</f>
        <v>16293733</v>
      </c>
      <c r="F5" s="115">
        <f>E5*0.00045359237</f>
        <v>7390.7129676172099</v>
      </c>
      <c r="G5" s="143">
        <f>'[1]Cargo Summary'!F5</f>
        <v>7402.8247910809496</v>
      </c>
      <c r="H5" s="95">
        <f>(F5-G5)/G5</f>
        <v>-1.6361083512785881E-3</v>
      </c>
      <c r="I5" s="143">
        <f>+F5+'[2]Cargo Summary'!$I$5</f>
        <v>43829.978900864313</v>
      </c>
      <c r="J5" s="143">
        <f>'[1]Cargo Summary'!I5</f>
        <v>50033.829330617438</v>
      </c>
      <c r="K5" s="83">
        <f>(I5-J5)/J5</f>
        <v>-0.12399311651240681</v>
      </c>
      <c r="M5" s="36"/>
    </row>
    <row r="6" spans="1:18" x14ac:dyDescent="0.2">
      <c r="A6" s="64" t="s">
        <v>18</v>
      </c>
      <c r="B6" s="166">
        <f>'Major Airline Stats'!J29</f>
        <v>1643181</v>
      </c>
      <c r="C6" s="115">
        <f>'Regional Major'!K26</f>
        <v>0</v>
      </c>
      <c r="D6" s="115">
        <f>Cargo!M17</f>
        <v>85</v>
      </c>
      <c r="E6" s="115">
        <f>SUM(B6:D6)</f>
        <v>1643266</v>
      </c>
      <c r="F6" s="115">
        <f>E6*0.00045359237</f>
        <v>745.37291948042002</v>
      </c>
      <c r="G6" s="143">
        <f>'[1]Cargo Summary'!F6</f>
        <v>473.06690481357998</v>
      </c>
      <c r="H6" s="38">
        <f>(F6-G6)/G6</f>
        <v>0.57561839963027395</v>
      </c>
      <c r="I6" s="143">
        <f>+F6+'[2]Cargo Summary'!$I$6</f>
        <v>3800.1596812856601</v>
      </c>
      <c r="J6" s="143">
        <f>'[1]Cargo Summary'!I6</f>
        <v>3879.8454280701499</v>
      </c>
      <c r="K6" s="83">
        <f>(I6-J6)/J6</f>
        <v>-2.0538381814897654E-2</v>
      </c>
      <c r="M6" s="36"/>
    </row>
    <row r="7" spans="1:18" ht="18" customHeight="1" thickBot="1" x14ac:dyDescent="0.25">
      <c r="A7" s="75" t="s">
        <v>78</v>
      </c>
      <c r="B7" s="168">
        <f>SUM(B5:B6)</f>
        <v>6248229</v>
      </c>
      <c r="C7" s="130">
        <f t="shared" ref="C7:J7" si="0">SUM(C5:C6)</f>
        <v>0</v>
      </c>
      <c r="D7" s="130">
        <f t="shared" si="0"/>
        <v>11688770</v>
      </c>
      <c r="E7" s="130">
        <f t="shared" si="0"/>
        <v>17936999</v>
      </c>
      <c r="F7" s="130">
        <f t="shared" si="0"/>
        <v>8136.0858870976299</v>
      </c>
      <c r="G7" s="130">
        <f t="shared" si="0"/>
        <v>7875.8916958945292</v>
      </c>
      <c r="H7" s="45">
        <f>(F7-G7)/G7</f>
        <v>3.3036791419914044E-2</v>
      </c>
      <c r="I7" s="130">
        <f t="shared" si="0"/>
        <v>47630.138582149972</v>
      </c>
      <c r="J7" s="130">
        <f t="shared" si="0"/>
        <v>53913.674758687586</v>
      </c>
      <c r="K7" s="311">
        <f>(I7-J7)/J7</f>
        <v>-0.11654809665010069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2588798</v>
      </c>
      <c r="C10" s="115">
        <f>'Regional Major'!K30</f>
        <v>0</v>
      </c>
      <c r="D10" s="115">
        <f>Cargo!M21</f>
        <v>13485280</v>
      </c>
      <c r="E10" s="115">
        <f>SUM(B10:D10)</f>
        <v>16074078</v>
      </c>
      <c r="F10" s="115">
        <f>E10*0.00045359237</f>
        <v>7291.0791355848596</v>
      </c>
      <c r="G10" s="143">
        <f>'[1]Cargo Summary'!F10</f>
        <v>8101.8519101566199</v>
      </c>
      <c r="H10" s="38">
        <f>(F10-G10)/G10</f>
        <v>-0.1000725245984022</v>
      </c>
      <c r="I10" s="143">
        <f>+F10+'[2]Cargo Summary'!$I$10</f>
        <v>46299.342113437495</v>
      </c>
      <c r="J10" s="143">
        <f>'[1]Cargo Summary'!I10</f>
        <v>56084.013551631448</v>
      </c>
      <c r="K10" s="83">
        <f>(I10-J10)/J10</f>
        <v>-0.17446453665777853</v>
      </c>
      <c r="M10" s="36"/>
    </row>
    <row r="11" spans="1:18" x14ac:dyDescent="0.2">
      <c r="A11" s="64" t="s">
        <v>18</v>
      </c>
      <c r="B11" s="166">
        <f>'Major Airline Stats'!J34</f>
        <v>2522819</v>
      </c>
      <c r="C11" s="115">
        <f>'Regional Major'!K31</f>
        <v>0</v>
      </c>
      <c r="D11" s="115">
        <f>Cargo!M22</f>
        <v>142947</v>
      </c>
      <c r="E11" s="115">
        <f>SUM(B11:D11)</f>
        <v>2665766</v>
      </c>
      <c r="F11" s="115">
        <f>E11*0.00045359237</f>
        <v>1209.17111780542</v>
      </c>
      <c r="G11" s="143">
        <f>'[1]Cargo Summary'!F11</f>
        <v>289.38966409814998</v>
      </c>
      <c r="H11" s="36">
        <f>(F11-G11)/G11</f>
        <v>3.1783493601047033</v>
      </c>
      <c r="I11" s="143">
        <f>+F11+'[2]Cargo Summary'!$I$11</f>
        <v>3984.27191708392</v>
      </c>
      <c r="J11" s="143">
        <f>'[1]Cargo Summary'!I11</f>
        <v>4759.3619406848911</v>
      </c>
      <c r="K11" s="83">
        <f>(I11-J11)/J11</f>
        <v>-0.16285586876156607</v>
      </c>
      <c r="M11" s="36"/>
    </row>
    <row r="12" spans="1:18" ht="18" customHeight="1" thickBot="1" x14ac:dyDescent="0.25">
      <c r="A12" s="75" t="s">
        <v>79</v>
      </c>
      <c r="B12" s="168">
        <f>SUM(B10:B11)</f>
        <v>5111617</v>
      </c>
      <c r="C12" s="130">
        <f t="shared" ref="C12:J12" si="1">SUM(C10:C11)</f>
        <v>0</v>
      </c>
      <c r="D12" s="130">
        <f t="shared" si="1"/>
        <v>13628227</v>
      </c>
      <c r="E12" s="130">
        <f t="shared" si="1"/>
        <v>18739844</v>
      </c>
      <c r="F12" s="130">
        <f t="shared" si="1"/>
        <v>8500.2502533902789</v>
      </c>
      <c r="G12" s="130">
        <f t="shared" si="1"/>
        <v>8391.2415742547691</v>
      </c>
      <c r="H12" s="45">
        <f>(F12-G12)/G12</f>
        <v>1.2990768788013455E-2</v>
      </c>
      <c r="I12" s="130">
        <f t="shared" si="1"/>
        <v>50283.614030521414</v>
      </c>
      <c r="J12" s="130">
        <f t="shared" si="1"/>
        <v>60843.375492316336</v>
      </c>
      <c r="K12" s="311">
        <f>(I12-J12)/J12</f>
        <v>-0.17355646981039821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9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7193846</v>
      </c>
      <c r="C20" s="115">
        <f t="shared" si="3"/>
        <v>0</v>
      </c>
      <c r="D20" s="115">
        <f t="shared" si="3"/>
        <v>25173965</v>
      </c>
      <c r="E20" s="115">
        <f>SUM(B20:D20)</f>
        <v>32367811</v>
      </c>
      <c r="F20" s="115">
        <f>E20*0.00045359237</f>
        <v>14681.792103202069</v>
      </c>
      <c r="G20" s="143">
        <f>'[1]Cargo Summary'!F20</f>
        <v>15504.676701237569</v>
      </c>
      <c r="H20" s="38">
        <f>(F20-G20)/G20</f>
        <v>-5.3073315483567488E-2</v>
      </c>
      <c r="I20" s="143">
        <f>+I5+I10+I15</f>
        <v>90129.321014301808</v>
      </c>
      <c r="J20" s="143">
        <f>+J5+J10+J15</f>
        <v>106117.84288224889</v>
      </c>
      <c r="K20" s="83">
        <f>(I20-J20)/J20</f>
        <v>-0.1506676109661253</v>
      </c>
      <c r="M20" s="36"/>
    </row>
    <row r="21" spans="1:13" x14ac:dyDescent="0.2">
      <c r="A21" s="64" t="s">
        <v>18</v>
      </c>
      <c r="B21" s="166">
        <f t="shared" si="3"/>
        <v>4166000</v>
      </c>
      <c r="C21" s="117">
        <f t="shared" si="3"/>
        <v>0</v>
      </c>
      <c r="D21" s="117">
        <f t="shared" si="3"/>
        <v>143032</v>
      </c>
      <c r="E21" s="115">
        <f>SUM(B21:D21)</f>
        <v>4309032</v>
      </c>
      <c r="F21" s="115">
        <f>E21*0.00045359237</f>
        <v>1954.54403728584</v>
      </c>
      <c r="G21" s="143">
        <f>'[1]Cargo Summary'!F21</f>
        <v>762.45656891172996</v>
      </c>
      <c r="H21" s="38">
        <f>(F21-G21)/G21</f>
        <v>1.5634824552375501</v>
      </c>
      <c r="I21" s="143">
        <f>+I6+I11+I16</f>
        <v>7784.4315983695797</v>
      </c>
      <c r="J21" s="143">
        <f>+J6+J11+J16</f>
        <v>8639.2073687550401</v>
      </c>
      <c r="K21" s="83">
        <f>(I21-J21)/J21</f>
        <v>-9.8941457694010485E-2</v>
      </c>
      <c r="M21" s="36"/>
    </row>
    <row r="22" spans="1:13" ht="18" customHeight="1" thickBot="1" x14ac:dyDescent="0.25">
      <c r="A22" s="86" t="s">
        <v>68</v>
      </c>
      <c r="B22" s="169">
        <f>SUM(B20:B21)</f>
        <v>11359846</v>
      </c>
      <c r="C22" s="170">
        <f t="shared" ref="C22:J22" si="4">SUM(C20:C21)</f>
        <v>0</v>
      </c>
      <c r="D22" s="170">
        <f t="shared" si="4"/>
        <v>25316997</v>
      </c>
      <c r="E22" s="170">
        <f t="shared" si="4"/>
        <v>36676843</v>
      </c>
      <c r="F22" s="170">
        <f t="shared" si="4"/>
        <v>16636.336140487911</v>
      </c>
      <c r="G22" s="170">
        <f t="shared" si="4"/>
        <v>16267.133270149299</v>
      </c>
      <c r="H22" s="317">
        <f>(F22-G22)/G22</f>
        <v>2.2696246733043626E-2</v>
      </c>
      <c r="I22" s="170">
        <f t="shared" si="4"/>
        <v>97913.752612671393</v>
      </c>
      <c r="J22" s="170">
        <f t="shared" si="4"/>
        <v>114757.05025100394</v>
      </c>
      <c r="K22" s="318">
        <f>(I22-J22)/J22</f>
        <v>-0.14677353244521193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B1" sqref="B1:N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397">
        <v>42186</v>
      </c>
      <c r="B1" s="469" t="s">
        <v>20</v>
      </c>
      <c r="C1" s="472" t="s">
        <v>55</v>
      </c>
      <c r="D1" s="485" t="s">
        <v>193</v>
      </c>
      <c r="E1" s="472" t="s">
        <v>214</v>
      </c>
      <c r="F1" s="472" t="s">
        <v>215</v>
      </c>
      <c r="G1" s="472" t="s">
        <v>53</v>
      </c>
      <c r="H1" s="472" t="s">
        <v>126</v>
      </c>
      <c r="I1" s="472" t="s">
        <v>111</v>
      </c>
      <c r="J1" s="472" t="s">
        <v>211</v>
      </c>
      <c r="K1" s="472" t="s">
        <v>188</v>
      </c>
      <c r="L1" s="472" t="s">
        <v>56</v>
      </c>
      <c r="M1" s="472" t="s">
        <v>158</v>
      </c>
      <c r="N1" s="472" t="s">
        <v>24</v>
      </c>
    </row>
    <row r="2" spans="1:14" ht="15" x14ac:dyDescent="0.25">
      <c r="A2" s="511" t="s">
        <v>159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3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[3]Delta!$ED$32</f>
        <v>68856</v>
      </c>
      <c r="C4" s="21">
        <f>'[3]Atlantic Southeast'!$ED$32</f>
        <v>51</v>
      </c>
      <c r="D4" s="21">
        <f>[3]Pinnacle!$ED$32</f>
        <v>27667</v>
      </c>
      <c r="E4" s="21">
        <f>[3]Compass!$ED$32</f>
        <v>0</v>
      </c>
      <c r="F4" s="21">
        <f>'[3]Sky West'!$ED$32</f>
        <v>3151</v>
      </c>
      <c r="G4" s="21">
        <f>'[3]Sun Country'!$ED$32</f>
        <v>916</v>
      </c>
      <c r="H4" s="21">
        <f>[3]Icelandair!$ED$32</f>
        <v>5333</v>
      </c>
      <c r="I4" s="21">
        <f>[3]AirCanada!$ED$32</f>
        <v>4815</v>
      </c>
      <c r="J4" s="21">
        <f>[3]Condor!$ED$32</f>
        <v>2240</v>
      </c>
      <c r="K4" s="21">
        <f>'[3]Air France'!$ED$32</f>
        <v>7801</v>
      </c>
      <c r="L4" s="21">
        <f>[3]Comair!$ED$32</f>
        <v>0</v>
      </c>
      <c r="M4" s="21">
        <f>'[3]Charter Misc'!$ED$32+[3]Ryan!$ED$32+[3]Omni!$ED$32</f>
        <v>0</v>
      </c>
      <c r="N4" s="275">
        <f>SUM(B4:M4)</f>
        <v>120830</v>
      </c>
    </row>
    <row r="5" spans="1:14" x14ac:dyDescent="0.2">
      <c r="A5" s="64" t="s">
        <v>34</v>
      </c>
      <c r="B5" s="14">
        <f>[3]Delta!$ED$33</f>
        <v>61612</v>
      </c>
      <c r="C5" s="14">
        <f>'[3]Atlantic Southeast'!$ED$33</f>
        <v>51</v>
      </c>
      <c r="D5" s="14">
        <f>[3]Pinnacle!$ED$33</f>
        <v>27181</v>
      </c>
      <c r="E5" s="14">
        <f>[3]Compass!$ED$33</f>
        <v>0</v>
      </c>
      <c r="F5" s="14">
        <f>'[3]Sky West'!$ED$33</f>
        <v>3073</v>
      </c>
      <c r="G5" s="14">
        <f>'[3]Sun Country'!$ED$33</f>
        <v>822</v>
      </c>
      <c r="H5" s="14">
        <f>[3]Icelandair!$ED$33</f>
        <v>5143</v>
      </c>
      <c r="I5" s="14">
        <f>[3]AirCanada!$ED$33</f>
        <v>4409</v>
      </c>
      <c r="J5" s="14">
        <f>[3]Condor!$ED$33</f>
        <v>1894</v>
      </c>
      <c r="K5" s="14">
        <f>'[3]Air France'!$ED$33</f>
        <v>6994</v>
      </c>
      <c r="L5" s="14">
        <f>[3]Comair!$ED$33</f>
        <v>0</v>
      </c>
      <c r="M5" s="14">
        <f>'[3]Charter Misc'!$ED$33++[3]Ryan!$ED$33+[3]Omni!$ED$33</f>
        <v>0</v>
      </c>
      <c r="N5" s="276">
        <f>SUM(B5:M5)</f>
        <v>111179</v>
      </c>
    </row>
    <row r="6" spans="1:14" ht="15" x14ac:dyDescent="0.25">
      <c r="A6" s="62" t="s">
        <v>7</v>
      </c>
      <c r="B6" s="35">
        <f t="shared" ref="B6:M6" si="0">SUM(B4:B5)</f>
        <v>130468</v>
      </c>
      <c r="C6" s="35">
        <f t="shared" si="0"/>
        <v>102</v>
      </c>
      <c r="D6" s="35">
        <f t="shared" si="0"/>
        <v>54848</v>
      </c>
      <c r="E6" s="35">
        <f t="shared" si="0"/>
        <v>0</v>
      </c>
      <c r="F6" s="35">
        <f t="shared" si="0"/>
        <v>6224</v>
      </c>
      <c r="G6" s="35">
        <f t="shared" si="0"/>
        <v>1738</v>
      </c>
      <c r="H6" s="35">
        <f t="shared" si="0"/>
        <v>10476</v>
      </c>
      <c r="I6" s="35">
        <f t="shared" si="0"/>
        <v>9224</v>
      </c>
      <c r="J6" s="35">
        <f>SUM(J4:J5)</f>
        <v>4134</v>
      </c>
      <c r="K6" s="35">
        <f t="shared" si="0"/>
        <v>14795</v>
      </c>
      <c r="L6" s="35">
        <f t="shared" si="0"/>
        <v>0</v>
      </c>
      <c r="M6" s="35">
        <f t="shared" si="0"/>
        <v>0</v>
      </c>
      <c r="N6" s="277">
        <f>SUM(B6:M6)</f>
        <v>232009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[3]Delta!$ED$37</f>
        <v>1309</v>
      </c>
      <c r="C9" s="21">
        <f>'[3]Atlantic Southeast'!$ED$37</f>
        <v>0</v>
      </c>
      <c r="D9" s="21">
        <f>[3]Pinnacle!$ED$37</f>
        <v>408</v>
      </c>
      <c r="E9" s="21">
        <f>[3]Compass!$ED$37</f>
        <v>0</v>
      </c>
      <c r="F9" s="21">
        <f>'[3]Sky West'!$ED$37</f>
        <v>19</v>
      </c>
      <c r="G9" s="21">
        <f>'[3]Sun Country'!$ED$37</f>
        <v>5</v>
      </c>
      <c r="H9" s="21">
        <f>[3]Icelandair!$ED$37</f>
        <v>58</v>
      </c>
      <c r="I9" s="21">
        <f>[3]AirCanada!$ED$37</f>
        <v>42</v>
      </c>
      <c r="J9" s="21">
        <f>[3]Condor!$ED$37</f>
        <v>9</v>
      </c>
      <c r="K9" s="21">
        <f>'[3]Air France'!$ED$37</f>
        <v>32</v>
      </c>
      <c r="L9" s="21">
        <f>[3]Comair!$ED$37</f>
        <v>0</v>
      </c>
      <c r="M9" s="21">
        <f>'[3]Charter Misc'!$ED$37+[3]Ryan!$ED$37+[3]Omni!$ED$37</f>
        <v>0</v>
      </c>
      <c r="N9" s="275">
        <f>SUM(B9:M9)</f>
        <v>1882</v>
      </c>
    </row>
    <row r="10" spans="1:14" x14ac:dyDescent="0.2">
      <c r="A10" s="64" t="s">
        <v>36</v>
      </c>
      <c r="B10" s="14">
        <f>[3]Delta!$ED$38</f>
        <v>1478</v>
      </c>
      <c r="C10" s="14">
        <f>'[3]Atlantic Southeast'!$ED$38</f>
        <v>0</v>
      </c>
      <c r="D10" s="14">
        <f>[3]Pinnacle!$ED$38</f>
        <v>451</v>
      </c>
      <c r="E10" s="14">
        <f>[3]Compass!$ED$38</f>
        <v>0</v>
      </c>
      <c r="F10" s="14">
        <f>'[3]Sky West'!$ED$38</f>
        <v>34</v>
      </c>
      <c r="G10" s="14">
        <f>'[3]Sun Country'!$ED$38</f>
        <v>1</v>
      </c>
      <c r="H10" s="14">
        <f>[3]Icelandair!$ED$38</f>
        <v>50</v>
      </c>
      <c r="I10" s="14">
        <f>[3]AirCanada!$ED$38</f>
        <v>54</v>
      </c>
      <c r="J10" s="14">
        <f>[3]Condor!$ED$38</f>
        <v>12</v>
      </c>
      <c r="K10" s="14">
        <f>'[3]Air France'!$ED$38</f>
        <v>3</v>
      </c>
      <c r="L10" s="14">
        <f>[3]Comair!$ED$38</f>
        <v>0</v>
      </c>
      <c r="M10" s="14">
        <f>'[3]Charter Misc'!$ED$38+[3]Ryan!$ED$38+[3]Omni!$ED$38</f>
        <v>0</v>
      </c>
      <c r="N10" s="276">
        <f>SUM(B10:M10)</f>
        <v>2083</v>
      </c>
    </row>
    <row r="11" spans="1:14" ht="15.75" thickBot="1" x14ac:dyDescent="0.3">
      <c r="A11" s="65" t="s">
        <v>37</v>
      </c>
      <c r="B11" s="278">
        <f t="shared" ref="B11:G11" si="1">SUM(B9:B10)</f>
        <v>2787</v>
      </c>
      <c r="C11" s="278">
        <f t="shared" si="1"/>
        <v>0</v>
      </c>
      <c r="D11" s="278">
        <f t="shared" si="1"/>
        <v>859</v>
      </c>
      <c r="E11" s="278">
        <f t="shared" si="1"/>
        <v>0</v>
      </c>
      <c r="F11" s="278">
        <f t="shared" si="1"/>
        <v>53</v>
      </c>
      <c r="G11" s="278">
        <f t="shared" si="1"/>
        <v>6</v>
      </c>
      <c r="H11" s="278">
        <f t="shared" ref="H11:M11" si="2">SUM(H9:H10)</f>
        <v>108</v>
      </c>
      <c r="I11" s="278">
        <f t="shared" si="2"/>
        <v>96</v>
      </c>
      <c r="J11" s="278">
        <f t="shared" si="2"/>
        <v>21</v>
      </c>
      <c r="K11" s="278">
        <f t="shared" si="2"/>
        <v>35</v>
      </c>
      <c r="L11" s="278">
        <f t="shared" si="2"/>
        <v>0</v>
      </c>
      <c r="M11" s="278">
        <f t="shared" si="2"/>
        <v>0</v>
      </c>
      <c r="N11" s="279">
        <f>SUM(B11:M11)</f>
        <v>3965</v>
      </c>
    </row>
    <row r="12" spans="1:14" ht="15" x14ac:dyDescent="0.25">
      <c r="A12" s="402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</row>
    <row r="13" spans="1:14" ht="26.25" thickBot="1" x14ac:dyDescent="0.25">
      <c r="B13" s="12" t="s">
        <v>20</v>
      </c>
      <c r="C13" s="266" t="s">
        <v>55</v>
      </c>
      <c r="D13" s="456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66" t="s">
        <v>211</v>
      </c>
      <c r="K13" s="12" t="s">
        <v>188</v>
      </c>
      <c r="L13" s="12" t="s">
        <v>56</v>
      </c>
      <c r="M13" s="12" t="s">
        <v>158</v>
      </c>
      <c r="N13" s="266" t="s">
        <v>160</v>
      </c>
    </row>
    <row r="14" spans="1:14" ht="15" x14ac:dyDescent="0.25">
      <c r="A14" s="514" t="s">
        <v>161</v>
      </c>
      <c r="B14" s="515"/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6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SUM([3]Delta!$DX$32:$ED$32)</f>
        <v>443479</v>
      </c>
      <c r="C16" s="21">
        <f>SUM('[3]Atlantic Southeast'!$DX$32:$ED$32)</f>
        <v>5005</v>
      </c>
      <c r="D16" s="21">
        <f>SUM([3]Pinnacle!$DX$32:$ED$32)</f>
        <v>140138</v>
      </c>
      <c r="E16" s="21">
        <f>SUM([3]Compass!$DX$32:$ED$32)</f>
        <v>18096</v>
      </c>
      <c r="F16" s="21">
        <f>SUM('[3]Sky West'!$DX$32:$ED$32)</f>
        <v>45465</v>
      </c>
      <c r="G16" s="21">
        <f>SUM('[3]Sun Country'!$DX$32:$ED$32)</f>
        <v>114379</v>
      </c>
      <c r="H16" s="21">
        <f>SUM([3]Icelandair!$DX$32:$ED$32)</f>
        <v>11622</v>
      </c>
      <c r="I16" s="21">
        <f>SUM([3]AirCanada!$DX$32:$ED$32)</f>
        <v>26156</v>
      </c>
      <c r="J16" s="21">
        <f>SUM([3]Condor!$DX$32:$ED$32)</f>
        <v>2735</v>
      </c>
      <c r="K16" s="21">
        <f>SUM('[3]Air France'!$DX$32:$ED$32)</f>
        <v>17601</v>
      </c>
      <c r="L16" s="21">
        <f>SUM([3]Comair!$DX$32:$ED$32)</f>
        <v>0</v>
      </c>
      <c r="M16" s="21">
        <f>SUM('[3]Charter Misc'!$DX$32:$ED$32)+SUM([3]Ryan!$DX$32:$ED$32)+SUM([3]Omni!$DX$32:$ED$32)</f>
        <v>0</v>
      </c>
      <c r="N16" s="275">
        <f>SUM(B16:M16)</f>
        <v>824676</v>
      </c>
    </row>
    <row r="17" spans="1:14" x14ac:dyDescent="0.2">
      <c r="A17" s="64" t="s">
        <v>34</v>
      </c>
      <c r="B17" s="14">
        <f>SUM([3]Delta!$DX$33:$ED$33)</f>
        <v>428172</v>
      </c>
      <c r="C17" s="14">
        <f>SUM('[3]Atlantic Southeast'!$DX$33:$ED$33)</f>
        <v>5495</v>
      </c>
      <c r="D17" s="14">
        <f>SUM([3]Pinnacle!$DX$33:$ED$33)</f>
        <v>142143</v>
      </c>
      <c r="E17" s="14">
        <f>SUM([3]Compass!$DX$33:$ED$33)</f>
        <v>17477</v>
      </c>
      <c r="F17" s="14">
        <f>SUM('[3]Sky West'!$DX$33:$ED$33)</f>
        <v>45223</v>
      </c>
      <c r="G17" s="14">
        <f>SUM('[3]Sun Country'!$DX$33:$ED$33)</f>
        <v>108954</v>
      </c>
      <c r="H17" s="14">
        <f>SUM([3]Icelandair!$DX$33:$ED$33)</f>
        <v>12823</v>
      </c>
      <c r="I17" s="14">
        <f>SUM([3]AirCanada!$DX$33:$ED$33)</f>
        <v>26057</v>
      </c>
      <c r="J17" s="14">
        <f>SUM([3]Condor!$DX$33:$ED$33)</f>
        <v>2359</v>
      </c>
      <c r="K17" s="14">
        <f>SUM('[3]Air France'!$DX$33:$ED$33)</f>
        <v>17661</v>
      </c>
      <c r="L17" s="14">
        <f>SUM([3]Comair!$DX$33:$ED$33)</f>
        <v>0</v>
      </c>
      <c r="M17" s="14">
        <f>SUM('[3]Charter Misc'!$DX$33:$ED$33)++SUM([3]Ryan!$DX$33:$ED$33)+SUM([3]Omni!$DX$33:$ED$33)</f>
        <v>0</v>
      </c>
      <c r="N17" s="276">
        <f>SUM(B17:M17)</f>
        <v>806364</v>
      </c>
    </row>
    <row r="18" spans="1:14" ht="15" x14ac:dyDescent="0.25">
      <c r="A18" s="62" t="s">
        <v>7</v>
      </c>
      <c r="B18" s="35">
        <f t="shared" ref="B18:M18" si="3">SUM(B16:B17)</f>
        <v>871651</v>
      </c>
      <c r="C18" s="35">
        <f t="shared" si="3"/>
        <v>10500</v>
      </c>
      <c r="D18" s="35">
        <f t="shared" si="3"/>
        <v>282281</v>
      </c>
      <c r="E18" s="35">
        <f t="shared" si="3"/>
        <v>35573</v>
      </c>
      <c r="F18" s="35">
        <f t="shared" si="3"/>
        <v>90688</v>
      </c>
      <c r="G18" s="35">
        <f t="shared" si="3"/>
        <v>223333</v>
      </c>
      <c r="H18" s="35">
        <f t="shared" si="3"/>
        <v>24445</v>
      </c>
      <c r="I18" s="35">
        <f t="shared" si="3"/>
        <v>52213</v>
      </c>
      <c r="J18" s="35">
        <f>SUM(J16:J17)</f>
        <v>5094</v>
      </c>
      <c r="K18" s="35">
        <f t="shared" si="3"/>
        <v>35262</v>
      </c>
      <c r="L18" s="35">
        <f t="shared" si="3"/>
        <v>0</v>
      </c>
      <c r="M18" s="35">
        <f t="shared" si="3"/>
        <v>0</v>
      </c>
      <c r="N18" s="277">
        <f>SUM(B18:M18)</f>
        <v>1631040</v>
      </c>
    </row>
    <row r="19" spans="1:1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4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4" x14ac:dyDescent="0.2">
      <c r="A21" s="64" t="s">
        <v>33</v>
      </c>
      <c r="B21" s="21">
        <f>SUM([3]Delta!$DX$37:$ED$37)</f>
        <v>11243</v>
      </c>
      <c r="C21" s="21">
        <f>SUM('[3]Atlantic Southeast'!$DX$37:$ED$37)</f>
        <v>65</v>
      </c>
      <c r="D21" s="21">
        <f>SUM([3]Pinnacle!$DX$37:$ED$37)</f>
        <v>1993</v>
      </c>
      <c r="E21" s="21">
        <f>SUM([3]Compass!$DX$37:$ED$37)</f>
        <v>290</v>
      </c>
      <c r="F21" s="21">
        <f>SUM('[3]Sky West'!$DX$37:$ED$37)</f>
        <v>585</v>
      </c>
      <c r="G21" s="21">
        <f>SUM('[3]Sun Country'!$DX$37:$ED$37)</f>
        <v>629</v>
      </c>
      <c r="H21" s="21">
        <f>SUM([3]Icelandair!$DX$37:$ED$37)</f>
        <v>115</v>
      </c>
      <c r="I21" s="21">
        <f>SUM([3]AirCanada!$DX$37:$ED$37)</f>
        <v>319</v>
      </c>
      <c r="J21" s="21">
        <f>SUM([3]Condor!$DX$37:$ED$37)</f>
        <v>14</v>
      </c>
      <c r="K21" s="21">
        <f>SUM('[3]Air France'!$DX$37:$ED$37)</f>
        <v>76</v>
      </c>
      <c r="L21" s="21">
        <f>SUM([3]Comair!$DX$37:$ED$37)</f>
        <v>0</v>
      </c>
      <c r="M21" s="21">
        <f>SUM('[3]Charter Misc'!$DX$37:$ED$37)++SUM([3]Ryan!$DX$37:$ED$37)+SUM([3]Omni!$DX$37:$ED$37)</f>
        <v>0</v>
      </c>
      <c r="N21" s="275">
        <f>SUM(B21:M21)</f>
        <v>15329</v>
      </c>
    </row>
    <row r="22" spans="1:14" x14ac:dyDescent="0.2">
      <c r="A22" s="64" t="s">
        <v>36</v>
      </c>
      <c r="B22" s="14">
        <f>SUM([3]Delta!$DX$38:$ED$38)</f>
        <v>11654</v>
      </c>
      <c r="C22" s="14">
        <f>SUM('[3]Atlantic Southeast'!$DX$38:$ED$38)</f>
        <v>45</v>
      </c>
      <c r="D22" s="14">
        <f>SUM([3]Pinnacle!$DX$38:$ED$38)</f>
        <v>2010</v>
      </c>
      <c r="E22" s="14">
        <f>SUM([3]Compass!$DX$38:$ED$38)</f>
        <v>277</v>
      </c>
      <c r="F22" s="14">
        <f>SUM('[3]Sky West'!$DX$38:$ED$38)</f>
        <v>592</v>
      </c>
      <c r="G22" s="14">
        <f>SUM('[3]Sun Country'!$DX$38:$ED$38)</f>
        <v>641</v>
      </c>
      <c r="H22" s="14">
        <f>SUM([3]Icelandair!$DX$38:$ED$38)</f>
        <v>109</v>
      </c>
      <c r="I22" s="14">
        <f>SUM([3]AirCanada!$DX$38:$ED$38)</f>
        <v>332</v>
      </c>
      <c r="J22" s="14">
        <f>SUM([3]Condor!$DX$38:$ED$38)</f>
        <v>12</v>
      </c>
      <c r="K22" s="14">
        <f>SUM('[3]Air France'!$DX$38:$ED$38)</f>
        <v>30</v>
      </c>
      <c r="L22" s="14">
        <f>SUM([3]Comair!$DX$38:$ED$38)</f>
        <v>0</v>
      </c>
      <c r="M22" s="14">
        <f>SUM('[3]Charter Misc'!$DX$38:$ED$38)++SUM([3]Ryan!$DX$38:$ED$38)+SUM([3]Omni!$DX$38:$ED$38)</f>
        <v>0</v>
      </c>
      <c r="N22" s="276">
        <f>SUM(B22:M22)</f>
        <v>15702</v>
      </c>
    </row>
    <row r="23" spans="1:14" ht="15.75" thickBot="1" x14ac:dyDescent="0.3">
      <c r="A23" s="65" t="s">
        <v>37</v>
      </c>
      <c r="B23" s="278">
        <f t="shared" ref="B23:M23" si="4">SUM(B21:B22)</f>
        <v>22897</v>
      </c>
      <c r="C23" s="278">
        <f t="shared" si="4"/>
        <v>110</v>
      </c>
      <c r="D23" s="278">
        <f t="shared" si="4"/>
        <v>4003</v>
      </c>
      <c r="E23" s="278">
        <f t="shared" si="4"/>
        <v>567</v>
      </c>
      <c r="F23" s="278">
        <f t="shared" si="4"/>
        <v>1177</v>
      </c>
      <c r="G23" s="278">
        <f t="shared" si="4"/>
        <v>1270</v>
      </c>
      <c r="H23" s="278">
        <f t="shared" si="4"/>
        <v>224</v>
      </c>
      <c r="I23" s="278">
        <f t="shared" si="4"/>
        <v>651</v>
      </c>
      <c r="J23" s="278">
        <f>SUM(J21:J22)</f>
        <v>26</v>
      </c>
      <c r="K23" s="278">
        <f t="shared" si="4"/>
        <v>106</v>
      </c>
      <c r="L23" s="278">
        <f t="shared" si="4"/>
        <v>0</v>
      </c>
      <c r="M23" s="278">
        <f t="shared" si="4"/>
        <v>0</v>
      </c>
      <c r="N23" s="279">
        <f>SUM(B23:M23)</f>
        <v>31031</v>
      </c>
    </row>
    <row r="25" spans="1:14" ht="26.25" thickBot="1" x14ac:dyDescent="0.25">
      <c r="B25" s="12" t="s">
        <v>20</v>
      </c>
      <c r="C25" s="266" t="s">
        <v>55</v>
      </c>
      <c r="D25" s="456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66" t="s">
        <v>211</v>
      </c>
      <c r="K25" s="12" t="s">
        <v>188</v>
      </c>
      <c r="L25" s="12" t="s">
        <v>56</v>
      </c>
      <c r="M25" s="12" t="s">
        <v>158</v>
      </c>
      <c r="N25" s="266" t="s">
        <v>24</v>
      </c>
    </row>
    <row r="26" spans="1:14" ht="15" x14ac:dyDescent="0.25">
      <c r="A26" s="517" t="s">
        <v>162</v>
      </c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9"/>
    </row>
    <row r="27" spans="1:14" x14ac:dyDescent="0.2">
      <c r="A27" s="64" t="s">
        <v>25</v>
      </c>
      <c r="B27" s="21">
        <f>[3]Delta!$ED$15</f>
        <v>319</v>
      </c>
      <c r="C27" s="21">
        <f>'[3]Atlantic Southeast'!$ED$15</f>
        <v>0</v>
      </c>
      <c r="D27" s="21">
        <f>[3]Pinnacle!$ED$15</f>
        <v>397</v>
      </c>
      <c r="E27" s="21">
        <f>[3]Compass!$ED$15</f>
        <v>0</v>
      </c>
      <c r="F27" s="21">
        <f>'[3]Sky West'!$ED$15</f>
        <v>69</v>
      </c>
      <c r="G27" s="21">
        <f>'[3]Sun Country'!$ED$15</f>
        <v>4</v>
      </c>
      <c r="H27" s="21">
        <f>[3]Icelandair!$ED$15</f>
        <v>31</v>
      </c>
      <c r="I27" s="21">
        <f>[3]AirCanada!$ED$15</f>
        <v>92</v>
      </c>
      <c r="J27" s="21">
        <f>[3]Condor!$ED$15</f>
        <v>9</v>
      </c>
      <c r="K27" s="21">
        <f>'[3]Air France'!$ED$15</f>
        <v>30</v>
      </c>
      <c r="L27" s="21">
        <f>[3]Comair!$ED$15</f>
        <v>0</v>
      </c>
      <c r="M27" s="21">
        <f>'[3]Charter Misc'!$ED$15+[3]Ryan!$ED$15+[3]Omni!$ED$15</f>
        <v>0</v>
      </c>
      <c r="N27" s="275">
        <f>SUM(B27:M27)</f>
        <v>951</v>
      </c>
    </row>
    <row r="28" spans="1:14" x14ac:dyDescent="0.2">
      <c r="A28" s="64" t="s">
        <v>26</v>
      </c>
      <c r="B28" s="21">
        <f>[3]Delta!$ED$16</f>
        <v>321</v>
      </c>
      <c r="C28" s="21">
        <f>'[3]Atlantic Southeast'!$ED$16</f>
        <v>1</v>
      </c>
      <c r="D28" s="21">
        <f>[3]Pinnacle!$ED$16</f>
        <v>397</v>
      </c>
      <c r="E28" s="21">
        <f>[3]Compass!$ED$16</f>
        <v>0</v>
      </c>
      <c r="F28" s="21">
        <f>'[3]Sky West'!$ED$16</f>
        <v>69</v>
      </c>
      <c r="G28" s="21">
        <f>'[3]Sun Country'!$ED$16</f>
        <v>4</v>
      </c>
      <c r="H28" s="21">
        <f>[3]Icelandair!$ED$16</f>
        <v>31</v>
      </c>
      <c r="I28" s="21">
        <f>[3]AirCanada!$ED$16</f>
        <v>92</v>
      </c>
      <c r="J28" s="21">
        <f>[3]Condor!$ED$16</f>
        <v>9</v>
      </c>
      <c r="K28" s="21">
        <f>'[3]Air France'!$ED$16</f>
        <v>30</v>
      </c>
      <c r="L28" s="21">
        <f>[3]Comair!$ED$16</f>
        <v>0</v>
      </c>
      <c r="M28" s="21">
        <f>'[3]Charter Misc'!$ED$16+[3]Ryan!$ED$16+[3]Omni!$ED$16</f>
        <v>0</v>
      </c>
      <c r="N28" s="275">
        <f>SUM(B28:M28)</f>
        <v>954</v>
      </c>
    </row>
    <row r="29" spans="1:14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4" ht="15.75" thickBot="1" x14ac:dyDescent="0.3">
      <c r="A30" s="65" t="s">
        <v>31</v>
      </c>
      <c r="B30" s="400">
        <f t="shared" ref="B30:I30" si="5">SUM(B27:B28)</f>
        <v>640</v>
      </c>
      <c r="C30" s="400">
        <f t="shared" si="5"/>
        <v>1</v>
      </c>
      <c r="D30" s="400">
        <f t="shared" si="5"/>
        <v>794</v>
      </c>
      <c r="E30" s="400">
        <f t="shared" si="5"/>
        <v>0</v>
      </c>
      <c r="F30" s="400">
        <f>SUM(F27:F28)</f>
        <v>138</v>
      </c>
      <c r="G30" s="400">
        <f t="shared" si="5"/>
        <v>8</v>
      </c>
      <c r="H30" s="400">
        <f t="shared" si="5"/>
        <v>62</v>
      </c>
      <c r="I30" s="400">
        <f t="shared" si="5"/>
        <v>184</v>
      </c>
      <c r="J30" s="400">
        <f>SUM(J27:J28)</f>
        <v>18</v>
      </c>
      <c r="K30" s="400">
        <f>SUM(K27:K28)</f>
        <v>60</v>
      </c>
      <c r="L30" s="400">
        <f>SUM(L27:L28)</f>
        <v>0</v>
      </c>
      <c r="M30" s="400">
        <f>SUM(M27:M28)</f>
        <v>0</v>
      </c>
      <c r="N30" s="401">
        <f>SUM(B30:M30)</f>
        <v>1905</v>
      </c>
    </row>
    <row r="31" spans="1:14" ht="15" x14ac:dyDescent="0.25">
      <c r="A31" s="402"/>
    </row>
    <row r="32" spans="1:14" ht="26.25" thickBot="1" x14ac:dyDescent="0.25">
      <c r="B32" s="12" t="s">
        <v>20</v>
      </c>
      <c r="C32" s="266" t="s">
        <v>55</v>
      </c>
      <c r="D32" s="456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66" t="s">
        <v>211</v>
      </c>
      <c r="K32" s="12" t="s">
        <v>188</v>
      </c>
      <c r="L32" s="12" t="s">
        <v>56</v>
      </c>
      <c r="M32" s="12" t="s">
        <v>158</v>
      </c>
      <c r="N32" s="266" t="s">
        <v>160</v>
      </c>
    </row>
    <row r="33" spans="1:14" ht="15" x14ac:dyDescent="0.25">
      <c r="A33" s="520" t="s">
        <v>163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2"/>
    </row>
    <row r="34" spans="1:14" x14ac:dyDescent="0.2">
      <c r="A34" s="64" t="s">
        <v>25</v>
      </c>
      <c r="B34" s="21">
        <f>SUM([3]Delta!$DX$15:$ED$15)</f>
        <v>2488</v>
      </c>
      <c r="C34" s="21">
        <f>SUM('[3]Atlantic Southeast'!$DX$15:$ED$15)</f>
        <v>83</v>
      </c>
      <c r="D34" s="21">
        <f>SUM([3]Pinnacle!$DX$15:$ED$15)</f>
        <v>2219</v>
      </c>
      <c r="E34" s="21">
        <f>SUM([3]Compass!$DX$15:$ED$15)</f>
        <v>277</v>
      </c>
      <c r="F34" s="21">
        <f>SUM('[3]Sky West'!$DX$15:$ED$15)</f>
        <v>947</v>
      </c>
      <c r="G34" s="21">
        <f>SUM('[3]Sun Country'!$DX$15:$ED$15)</f>
        <v>861</v>
      </c>
      <c r="H34" s="21">
        <f>SUM([3]Icelandair!$DX$15:$ED$15)</f>
        <v>76</v>
      </c>
      <c r="I34" s="21">
        <f>SUM([3]AirCanada!$DX$15:$ED$15)</f>
        <v>617</v>
      </c>
      <c r="J34" s="21">
        <f>SUM([3]Condor!$DX$15:$ED$15)</f>
        <v>11</v>
      </c>
      <c r="K34" s="21">
        <f>SUM('[3]Air France'!$DX$15:$ED$15)</f>
        <v>73</v>
      </c>
      <c r="L34" s="21">
        <f>SUM([3]Comair!$DX$15:$ED$15)</f>
        <v>0</v>
      </c>
      <c r="M34" s="21">
        <f>SUM('[3]Charter Misc'!$DX$15:$ED$15)+SUM([3]Ryan!$DX$15:$ED$15)+SUM([3]Omni!$DX$15:$ED$15)</f>
        <v>0</v>
      </c>
      <c r="N34" s="275">
        <f>SUM(B34:M34)</f>
        <v>7652</v>
      </c>
    </row>
    <row r="35" spans="1:14" x14ac:dyDescent="0.2">
      <c r="A35" s="64" t="s">
        <v>26</v>
      </c>
      <c r="B35" s="21">
        <f>SUM([3]Delta!$DX$16:$ED$16)</f>
        <v>2494</v>
      </c>
      <c r="C35" s="21">
        <f>SUM('[3]Atlantic Southeast'!$DX$16:$ED$16)</f>
        <v>88</v>
      </c>
      <c r="D35" s="21">
        <f>SUM([3]Pinnacle!$DX$16:$ED$16)</f>
        <v>2211</v>
      </c>
      <c r="E35" s="21">
        <f>SUM([3]Compass!$DX$16:$ED$16)</f>
        <v>270</v>
      </c>
      <c r="F35" s="21">
        <f>SUM('[3]Sky West'!$DX$16:$ED$16)</f>
        <v>940</v>
      </c>
      <c r="G35" s="21">
        <f>SUM('[3]Sun Country'!$DX$16:$ED$16)</f>
        <v>858</v>
      </c>
      <c r="H35" s="21">
        <f>SUM([3]Icelandair!$DX$16:$ED$16)</f>
        <v>76</v>
      </c>
      <c r="I35" s="21">
        <f>SUM([3]AirCanada!$DX$16:$ED$16)</f>
        <v>617</v>
      </c>
      <c r="J35" s="21">
        <f>SUM([3]Condor!$DX$16:$ED$16)</f>
        <v>11</v>
      </c>
      <c r="K35" s="21">
        <f>SUM('[3]Air France'!$DX$16:$ED$16)</f>
        <v>73</v>
      </c>
      <c r="L35" s="21">
        <f>SUM([3]Comair!$DX$16:$ED$16)</f>
        <v>0</v>
      </c>
      <c r="M35" s="21">
        <f>SUM('[3]Charter Misc'!$DX$16:$ED$16)+SUM([3]Ryan!$DX$16:$ED$16)+SUM([3]Omni!$DX$16:$ED$16)</f>
        <v>0</v>
      </c>
      <c r="N35" s="275">
        <f>SUM(B35:M35)</f>
        <v>7638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400">
        <f t="shared" ref="B37:I37" si="6">+SUM(B34:B35)</f>
        <v>4982</v>
      </c>
      <c r="C37" s="400">
        <f t="shared" si="6"/>
        <v>171</v>
      </c>
      <c r="D37" s="400">
        <f t="shared" si="6"/>
        <v>4430</v>
      </c>
      <c r="E37" s="400">
        <f t="shared" si="6"/>
        <v>547</v>
      </c>
      <c r="F37" s="400">
        <f>+SUM(F34:F35)</f>
        <v>1887</v>
      </c>
      <c r="G37" s="400">
        <f t="shared" si="6"/>
        <v>1719</v>
      </c>
      <c r="H37" s="400">
        <f t="shared" si="6"/>
        <v>152</v>
      </c>
      <c r="I37" s="400">
        <f t="shared" si="6"/>
        <v>1234</v>
      </c>
      <c r="J37" s="400">
        <f>+SUM(J34:J35)</f>
        <v>22</v>
      </c>
      <c r="K37" s="400">
        <f>+SUM(K34:K35)</f>
        <v>146</v>
      </c>
      <c r="L37" s="400">
        <f>+SUM(L34:L35)</f>
        <v>0</v>
      </c>
      <c r="M37" s="400">
        <f>+SUM(M34:M35)</f>
        <v>0</v>
      </c>
      <c r="N37" s="401">
        <f>SUM(B37:M37)</f>
        <v>15290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&amp;"Arial,Bold"July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2015-08-21T15:19:48Z</cp:lastPrinted>
  <dcterms:created xsi:type="dcterms:W3CDTF">2007-09-24T12:26:24Z</dcterms:created>
  <dcterms:modified xsi:type="dcterms:W3CDTF">2020-01-29T19:25:56Z</dcterms:modified>
</cp:coreProperties>
</file>