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Cargo!$A$1:$N$37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O27" i="7" l="1"/>
  <c r="E27" i="7" l="1"/>
  <c r="G23" i="17" l="1"/>
  <c r="F23" i="17"/>
  <c r="G21" i="17"/>
  <c r="F21" i="17"/>
  <c r="G19" i="17"/>
  <c r="F19" i="17"/>
  <c r="G17" i="17"/>
  <c r="F17" i="17"/>
  <c r="G15" i="17"/>
  <c r="F15" i="17"/>
  <c r="G13" i="17"/>
  <c r="F13" i="17"/>
  <c r="G11" i="17"/>
  <c r="F11" i="17"/>
  <c r="G9" i="17"/>
  <c r="F9" i="17"/>
  <c r="G7" i="17"/>
  <c r="F7" i="17"/>
  <c r="G5" i="17"/>
  <c r="F5" i="17"/>
  <c r="D23" i="17"/>
  <c r="C23" i="17"/>
  <c r="D21" i="17"/>
  <c r="C21" i="17"/>
  <c r="D19" i="17"/>
  <c r="C19" i="17"/>
  <c r="D17" i="17"/>
  <c r="C17" i="17"/>
  <c r="D15" i="17"/>
  <c r="C15" i="17"/>
  <c r="D13" i="17"/>
  <c r="C13" i="17"/>
  <c r="D11" i="17"/>
  <c r="C11" i="17"/>
  <c r="D9" i="17"/>
  <c r="C9" i="17"/>
  <c r="D7" i="17"/>
  <c r="C7" i="17"/>
  <c r="D5" i="17"/>
  <c r="C5" i="17"/>
  <c r="P11" i="17"/>
  <c r="O11" i="17"/>
  <c r="M11" i="17"/>
  <c r="L11" i="17"/>
  <c r="E11" i="17" l="1"/>
  <c r="H11" i="17"/>
  <c r="N11" i="17"/>
  <c r="Q11" i="17"/>
  <c r="C27" i="8" l="1"/>
  <c r="C26" i="8"/>
  <c r="C28" i="8" s="1"/>
  <c r="C22" i="8"/>
  <c r="C21" i="8"/>
  <c r="C17" i="8"/>
  <c r="C16" i="8"/>
  <c r="C5" i="8"/>
  <c r="C4" i="8"/>
  <c r="C6" i="8" s="1"/>
  <c r="C12" i="8" s="1"/>
  <c r="C10" i="8"/>
  <c r="C32" i="8" l="1"/>
  <c r="C18" i="8"/>
  <c r="C31" i="8"/>
  <c r="C23" i="8"/>
  <c r="C33" i="8" s="1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8" i="9"/>
  <c r="M48" i="9"/>
  <c r="G48" i="9"/>
  <c r="D48" i="9"/>
  <c r="P46" i="9"/>
  <c r="M46" i="9"/>
  <c r="G46" i="9"/>
  <c r="D46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F52" i="9"/>
  <c r="C52" i="9"/>
  <c r="O50" i="9"/>
  <c r="L50" i="9"/>
  <c r="F50" i="9"/>
  <c r="C50" i="9"/>
  <c r="O48" i="9"/>
  <c r="L48" i="9"/>
  <c r="F48" i="9"/>
  <c r="C48" i="9"/>
  <c r="O46" i="9"/>
  <c r="L46" i="9"/>
  <c r="F46" i="9"/>
  <c r="C46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3" i="17"/>
  <c r="M23" i="17"/>
  <c r="P21" i="17"/>
  <c r="M21" i="17"/>
  <c r="P19" i="17"/>
  <c r="M19" i="17"/>
  <c r="P15" i="17"/>
  <c r="M15" i="17"/>
  <c r="P13" i="17"/>
  <c r="M13" i="17"/>
  <c r="P9" i="17"/>
  <c r="M9" i="17"/>
  <c r="P7" i="17"/>
  <c r="M7" i="17"/>
  <c r="P5" i="17"/>
  <c r="M5" i="17"/>
  <c r="O23" i="17"/>
  <c r="L23" i="17"/>
  <c r="O21" i="17"/>
  <c r="L21" i="17"/>
  <c r="O19" i="17"/>
  <c r="L19" i="17"/>
  <c r="O15" i="17"/>
  <c r="L15" i="17"/>
  <c r="O13" i="17"/>
  <c r="L13" i="17"/>
  <c r="O9" i="17"/>
  <c r="L9" i="17"/>
  <c r="O7" i="17"/>
  <c r="L7" i="17"/>
  <c r="O5" i="17"/>
  <c r="L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7" i="8"/>
  <c r="L27" i="8"/>
  <c r="K27" i="8"/>
  <c r="I27" i="8"/>
  <c r="H27" i="8"/>
  <c r="G27" i="8"/>
  <c r="E27" i="8"/>
  <c r="D27" i="8"/>
  <c r="B27" i="8"/>
  <c r="M26" i="8"/>
  <c r="L26" i="8"/>
  <c r="K26" i="8"/>
  <c r="I26" i="8"/>
  <c r="H26" i="8"/>
  <c r="G26" i="8"/>
  <c r="E26" i="8"/>
  <c r="D26" i="8"/>
  <c r="B26" i="8"/>
  <c r="M22" i="8"/>
  <c r="L22" i="8"/>
  <c r="K22" i="8"/>
  <c r="I22" i="8"/>
  <c r="H22" i="8"/>
  <c r="G22" i="8"/>
  <c r="E22" i="8"/>
  <c r="D22" i="8"/>
  <c r="B22" i="8"/>
  <c r="M21" i="8"/>
  <c r="L21" i="8"/>
  <c r="K21" i="8"/>
  <c r="I21" i="8"/>
  <c r="H21" i="8"/>
  <c r="G21" i="8"/>
  <c r="E21" i="8"/>
  <c r="D21" i="8"/>
  <c r="B21" i="8"/>
  <c r="M17" i="8"/>
  <c r="L17" i="8"/>
  <c r="K17" i="8"/>
  <c r="I17" i="8"/>
  <c r="H17" i="8"/>
  <c r="G17" i="8"/>
  <c r="E17" i="8"/>
  <c r="D17" i="8"/>
  <c r="B17" i="8"/>
  <c r="M16" i="8"/>
  <c r="L16" i="8"/>
  <c r="K16" i="8"/>
  <c r="I16" i="8"/>
  <c r="H16" i="8"/>
  <c r="G16" i="8"/>
  <c r="E16" i="8"/>
  <c r="D16" i="8"/>
  <c r="B16" i="8"/>
  <c r="M9" i="8"/>
  <c r="M8" i="8"/>
  <c r="M5" i="8"/>
  <c r="L5" i="8"/>
  <c r="K5" i="8"/>
  <c r="J5" i="8"/>
  <c r="I5" i="8"/>
  <c r="H5" i="8"/>
  <c r="G5" i="8"/>
  <c r="E5" i="8"/>
  <c r="D5" i="8"/>
  <c r="B5" i="8"/>
  <c r="M4" i="8"/>
  <c r="L4" i="8"/>
  <c r="K4" i="8"/>
  <c r="J4" i="8"/>
  <c r="I4" i="8"/>
  <c r="H4" i="8"/>
  <c r="G4" i="8"/>
  <c r="E4" i="8"/>
  <c r="D4" i="8"/>
  <c r="B4" i="8"/>
  <c r="O26" i="7"/>
  <c r="J27" i="7"/>
  <c r="E26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D20" i="1" l="1"/>
  <c r="O25" i="7"/>
  <c r="M25" i="7"/>
  <c r="L25" i="7"/>
  <c r="J26" i="7"/>
  <c r="E25" i="7"/>
  <c r="C25" i="7"/>
  <c r="B25" i="7"/>
  <c r="D65" i="9" l="1"/>
  <c r="N25" i="7"/>
  <c r="D25" i="7"/>
  <c r="G40" i="2"/>
  <c r="G35" i="2"/>
  <c r="G30" i="2"/>
  <c r="G17" i="2"/>
  <c r="G11" i="2"/>
  <c r="G6" i="2"/>
  <c r="G44" i="2"/>
  <c r="N48" i="9" l="1"/>
  <c r="E48" i="9"/>
  <c r="G21" i="2"/>
  <c r="G23" i="2" s="1"/>
  <c r="Q48" i="9"/>
  <c r="G43" i="2"/>
  <c r="H48" i="9"/>
  <c r="M24" i="7" l="1"/>
  <c r="L24" i="7"/>
  <c r="J25" i="7"/>
  <c r="C24" i="7"/>
  <c r="B24" i="7"/>
  <c r="H40" i="2"/>
  <c r="H30" i="2"/>
  <c r="H17" i="2"/>
  <c r="H6" i="2"/>
  <c r="H11" i="2" l="1"/>
  <c r="H44" i="2"/>
  <c r="D24" i="7"/>
  <c r="N24" i="7"/>
  <c r="H21" i="2"/>
  <c r="H23" i="2" s="1"/>
  <c r="J16" i="3"/>
  <c r="J17" i="3"/>
  <c r="J20" i="3"/>
  <c r="J21" i="3"/>
  <c r="H35" i="2"/>
  <c r="E44" i="9"/>
  <c r="N44" i="9"/>
  <c r="Q44" i="9"/>
  <c r="H44" i="9"/>
  <c r="H43" i="2"/>
  <c r="H45" i="2" s="1"/>
  <c r="M23" i="7" l="1"/>
  <c r="L23" i="7"/>
  <c r="O24" i="7"/>
  <c r="J24" i="7"/>
  <c r="C23" i="7"/>
  <c r="B23" i="7"/>
  <c r="E24" i="7"/>
  <c r="G23" i="7" l="1"/>
  <c r="H23" i="7"/>
  <c r="M22" i="7"/>
  <c r="L22" i="7"/>
  <c r="C22" i="7"/>
  <c r="B22" i="7"/>
  <c r="O23" i="7"/>
  <c r="J23" i="7"/>
  <c r="E23" i="7"/>
  <c r="G22" i="7" l="1"/>
  <c r="H22" i="7"/>
  <c r="F65" i="9"/>
  <c r="C65" i="9"/>
  <c r="L65" i="9"/>
  <c r="O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G21" i="4" l="1"/>
  <c r="D21" i="15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6" i="17" l="1"/>
  <c r="P26" i="17" l="1"/>
  <c r="D26" i="17"/>
  <c r="G26" i="17"/>
  <c r="H15" i="17"/>
  <c r="Q15" i="17"/>
  <c r="H23" i="17"/>
  <c r="Q23" i="17"/>
  <c r="E5" i="17"/>
  <c r="E13" i="17"/>
  <c r="E15" i="17"/>
  <c r="H13" i="17"/>
  <c r="Q13" i="17"/>
  <c r="H21" i="17"/>
  <c r="Q21" i="17"/>
  <c r="F26" i="17"/>
  <c r="I11" i="17" s="1"/>
  <c r="Q5" i="17"/>
  <c r="Q7" i="17"/>
  <c r="H9" i="17"/>
  <c r="Q9" i="17"/>
  <c r="E17" i="17"/>
  <c r="E19" i="17"/>
  <c r="E23" i="17"/>
  <c r="H19" i="17"/>
  <c r="E7" i="17"/>
  <c r="N7" i="17"/>
  <c r="H7" i="17"/>
  <c r="E9" i="17"/>
  <c r="N13" i="17"/>
  <c r="H17" i="17"/>
  <c r="E21" i="17"/>
  <c r="N21" i="17"/>
  <c r="C26" i="17"/>
  <c r="L26" i="17"/>
  <c r="Q19" i="17"/>
  <c r="O26" i="17"/>
  <c r="R11" i="17" s="1"/>
  <c r="H5" i="17"/>
  <c r="N5" i="17"/>
  <c r="N9" i="17"/>
  <c r="N15" i="17"/>
  <c r="N19" i="17"/>
  <c r="N23" i="17"/>
  <c r="Q26" i="17" l="1"/>
  <c r="H26" i="17"/>
  <c r="R5" i="17"/>
  <c r="R23" i="17"/>
  <c r="R15" i="17"/>
  <c r="R21" i="17"/>
  <c r="R13" i="17"/>
  <c r="R9" i="17"/>
  <c r="R19" i="17"/>
  <c r="R7" i="17"/>
  <c r="I23" i="17"/>
  <c r="I17" i="17"/>
  <c r="I13" i="17"/>
  <c r="I9" i="17"/>
  <c r="I21" i="17"/>
  <c r="I15" i="17"/>
  <c r="I7" i="17"/>
  <c r="I19" i="17"/>
  <c r="I5" i="17"/>
  <c r="N26" i="17"/>
  <c r="E26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H32" i="8" l="1"/>
  <c r="H18" i="8"/>
  <c r="H6" i="8"/>
  <c r="H31" i="8"/>
  <c r="H10" i="8"/>
  <c r="H12" i="8" l="1"/>
  <c r="H23" i="8"/>
  <c r="H28" i="8"/>
  <c r="H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I10" i="8" l="1"/>
  <c r="I18" i="8" l="1"/>
  <c r="I28" i="8"/>
  <c r="I31" i="8"/>
  <c r="I23" i="8"/>
  <c r="I6" i="8"/>
  <c r="I12" i="8" s="1"/>
  <c r="I32" i="8"/>
  <c r="L18" i="8"/>
  <c r="D30" i="2"/>
  <c r="B30" i="3"/>
  <c r="C27" i="4"/>
  <c r="K27" i="4"/>
  <c r="F27" i="15"/>
  <c r="D23" i="8"/>
  <c r="D35" i="2"/>
  <c r="B35" i="3"/>
  <c r="F35" i="3"/>
  <c r="H35" i="3"/>
  <c r="E32" i="4"/>
  <c r="B32" i="15"/>
  <c r="I32" i="15"/>
  <c r="L32" i="15"/>
  <c r="K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8" i="7"/>
  <c r="P28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D10" i="8"/>
  <c r="E10" i="8"/>
  <c r="G10" i="8"/>
  <c r="J10" i="8"/>
  <c r="K10" i="8"/>
  <c r="L10" i="8"/>
  <c r="J33" i="8"/>
  <c r="L32" i="8" l="1"/>
  <c r="O37" i="16"/>
  <c r="H18" i="3"/>
  <c r="H23" i="3" s="1"/>
  <c r="C17" i="4"/>
  <c r="K37" i="4"/>
  <c r="K37" i="16"/>
  <c r="E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L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K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K6" i="8"/>
  <c r="K12" i="8" s="1"/>
  <c r="M32" i="8"/>
  <c r="L41" i="15"/>
  <c r="G41" i="15"/>
  <c r="B41" i="15"/>
  <c r="D41" i="4"/>
  <c r="D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M23" i="8"/>
  <c r="E23" i="8"/>
  <c r="L27" i="15"/>
  <c r="G27" i="15"/>
  <c r="J28" i="3"/>
  <c r="J28" i="2" s="1"/>
  <c r="K28" i="2" s="1"/>
  <c r="B5" i="5" s="1"/>
  <c r="K23" i="8"/>
  <c r="I33" i="8"/>
  <c r="C30" i="16"/>
  <c r="H30" i="16"/>
  <c r="G7" i="3"/>
  <c r="E7" i="7"/>
  <c r="C12" i="7"/>
  <c r="L6" i="8"/>
  <c r="L12" i="8" s="1"/>
  <c r="C44" i="3"/>
  <c r="F32" i="15"/>
  <c r="K32" i="4"/>
  <c r="D27" i="4"/>
  <c r="M18" i="8"/>
  <c r="E18" i="8"/>
  <c r="G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H41" i="15"/>
  <c r="M36" i="15"/>
  <c r="L36" i="4" s="1"/>
  <c r="M36" i="4" s="1"/>
  <c r="C16" i="5" s="1"/>
  <c r="B37" i="4"/>
  <c r="M31" i="8"/>
  <c r="E28" i="8"/>
  <c r="L40" i="15"/>
  <c r="D40" i="4"/>
  <c r="H40" i="3"/>
  <c r="B40" i="3"/>
  <c r="D40" i="2"/>
  <c r="F44" i="3"/>
  <c r="B32" i="8"/>
  <c r="M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N8" i="8"/>
  <c r="G43" i="3"/>
  <c r="B27" i="4"/>
  <c r="L19" i="4"/>
  <c r="M19" i="4" s="1"/>
  <c r="E31" i="8"/>
  <c r="D7" i="4"/>
  <c r="J39" i="3"/>
  <c r="J39" i="2" s="1"/>
  <c r="K39" i="2" s="1"/>
  <c r="B16" i="5" s="1"/>
  <c r="B32" i="4"/>
  <c r="E35" i="2"/>
  <c r="B35" i="2"/>
  <c r="G23" i="8"/>
  <c r="D43" i="2"/>
  <c r="F23" i="16"/>
  <c r="N11" i="16"/>
  <c r="L20" i="15"/>
  <c r="L21" i="15" s="1"/>
  <c r="C40" i="4"/>
  <c r="D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E6" i="8"/>
  <c r="E12" i="8" s="1"/>
  <c r="N5" i="8"/>
  <c r="C19" i="1" s="1"/>
  <c r="N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G18" i="8"/>
  <c r="C30" i="2"/>
  <c r="I40" i="3"/>
  <c r="I44" i="3"/>
  <c r="N9" i="8"/>
  <c r="K30" i="16"/>
  <c r="P28" i="16"/>
  <c r="P17" i="16"/>
  <c r="H18" i="16"/>
  <c r="D23" i="16"/>
  <c r="H40" i="4"/>
  <c r="H37" i="4"/>
  <c r="J38" i="3"/>
  <c r="J38" i="2" s="1"/>
  <c r="F40" i="3"/>
  <c r="G28" i="8"/>
  <c r="G32" i="8"/>
  <c r="N16" i="8"/>
  <c r="D5" i="5" s="1"/>
  <c r="H37" i="15"/>
  <c r="L18" i="4"/>
  <c r="M18" i="4" s="1"/>
  <c r="K32" i="8"/>
  <c r="P10" i="16"/>
  <c r="B11" i="16"/>
  <c r="K51" i="2"/>
  <c r="J20" i="2"/>
  <c r="K20" i="2" s="1"/>
  <c r="G22" i="3"/>
  <c r="H41" i="4"/>
  <c r="N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N22" i="8"/>
  <c r="D11" i="5" s="1"/>
  <c r="H27" i="15"/>
  <c r="C41" i="15"/>
  <c r="E41" i="4"/>
  <c r="F30" i="3"/>
  <c r="N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N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M6" i="8"/>
  <c r="I41" i="15"/>
  <c r="B31" i="8"/>
  <c r="K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J6" i="8"/>
  <c r="J12" i="8" s="1"/>
  <c r="M28" i="8"/>
  <c r="G6" i="8"/>
  <c r="G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N4" i="8"/>
  <c r="B19" i="1" s="1"/>
  <c r="D6" i="8"/>
  <c r="L31" i="8"/>
  <c r="L23" i="8"/>
  <c r="D32" i="8"/>
  <c r="B43" i="3"/>
  <c r="C11" i="16"/>
  <c r="P9" i="16"/>
  <c r="B27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D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7" i="7" l="1"/>
  <c r="D27" i="7" s="1"/>
  <c r="F27" i="7" s="1"/>
  <c r="J22" i="3"/>
  <c r="J18" i="3"/>
  <c r="F25" i="7"/>
  <c r="F24" i="7"/>
  <c r="D23" i="7"/>
  <c r="F23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N10" i="8"/>
  <c r="H45" i="3"/>
  <c r="K33" i="8"/>
  <c r="F21" i="15"/>
  <c r="G45" i="3"/>
  <c r="D45" i="2"/>
  <c r="C45" i="3"/>
  <c r="M12" i="8"/>
  <c r="G23" i="3"/>
  <c r="B33" i="8"/>
  <c r="H42" i="15"/>
  <c r="I21" i="15"/>
  <c r="F42" i="15"/>
  <c r="B42" i="4"/>
  <c r="D7" i="1"/>
  <c r="J17" i="2"/>
  <c r="K17" i="2" s="1"/>
  <c r="J12" i="3"/>
  <c r="J44" i="3"/>
  <c r="E45" i="2"/>
  <c r="M33" i="8"/>
  <c r="E21" i="4"/>
  <c r="D17" i="5"/>
  <c r="F45" i="3"/>
  <c r="G42" i="15"/>
  <c r="D18" i="1"/>
  <c r="C10" i="1"/>
  <c r="L27" i="4"/>
  <c r="M27" i="4" s="1"/>
  <c r="C21" i="15"/>
  <c r="D42" i="4"/>
  <c r="E33" i="8"/>
  <c r="J11" i="2"/>
  <c r="K11" i="2" s="1"/>
  <c r="K9" i="2"/>
  <c r="G33" i="8"/>
  <c r="J35" i="3"/>
  <c r="J40" i="3"/>
  <c r="J44" i="2"/>
  <c r="K44" i="2" s="1"/>
  <c r="M32" i="15"/>
  <c r="M25" i="4"/>
  <c r="C5" i="5" s="1"/>
  <c r="J30" i="3"/>
  <c r="P6" i="16"/>
  <c r="J7" i="3"/>
  <c r="N23" i="8"/>
  <c r="B21" i="4"/>
  <c r="N18" i="8"/>
  <c r="N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N32" i="8"/>
  <c r="G7" i="7"/>
  <c r="P30" i="16"/>
  <c r="N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L33" i="8"/>
  <c r="M37" i="15"/>
  <c r="C23" i="3"/>
  <c r="L17" i="4"/>
  <c r="M17" i="4" s="1"/>
  <c r="D10" i="5"/>
  <c r="D12" i="8"/>
  <c r="N6" i="8"/>
  <c r="E42" i="4"/>
  <c r="C42" i="15"/>
  <c r="M40" i="15"/>
  <c r="M41" i="15"/>
  <c r="D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D22" i="7" l="1"/>
  <c r="F22" i="7" s="1"/>
  <c r="B8" i="1"/>
  <c r="F18" i="1"/>
  <c r="M21" i="15"/>
  <c r="D6" i="1"/>
  <c r="C8" i="1"/>
  <c r="C33" i="1" s="1"/>
  <c r="N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M42" i="15"/>
  <c r="J23" i="3"/>
  <c r="B17" i="1"/>
  <c r="D17" i="1" s="1"/>
  <c r="K43" i="2"/>
  <c r="C11" i="5"/>
  <c r="C28" i="1"/>
  <c r="C27" i="1"/>
  <c r="N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B32" i="1"/>
  <c r="B11" i="1"/>
  <c r="L27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G27" i="7" l="1"/>
  <c r="M27" i="7"/>
  <c r="H27" i="7" s="1"/>
  <c r="G25" i="7"/>
  <c r="H24" i="7"/>
  <c r="H25" i="7"/>
  <c r="G24" i="7"/>
  <c r="P24" i="7"/>
  <c r="F10" i="1"/>
  <c r="I23" i="7"/>
  <c r="K23" i="7" s="1"/>
  <c r="N23" i="7"/>
  <c r="P23" i="7" s="1"/>
  <c r="C32" i="1"/>
  <c r="N22" i="7"/>
  <c r="P22" i="7" s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7" i="7" l="1"/>
  <c r="K27" i="7" s="1"/>
  <c r="N27" i="7"/>
  <c r="P27" i="7" s="1"/>
  <c r="I24" i="7"/>
  <c r="K24" i="7" s="1"/>
  <c r="I25" i="7"/>
  <c r="K25" i="7" s="1"/>
  <c r="P25" i="7"/>
  <c r="I22" i="7"/>
  <c r="K22" i="7" s="1"/>
  <c r="P21" i="7"/>
  <c r="I21" i="7"/>
  <c r="F22" i="5"/>
  <c r="H22" i="5" s="1"/>
  <c r="H20" i="5"/>
  <c r="K21" i="7" l="1"/>
  <c r="H52" i="9" l="1"/>
  <c r="F66" i="9"/>
  <c r="I52" i="9" s="1"/>
  <c r="C66" i="9"/>
  <c r="E52" i="9"/>
  <c r="C64" i="9" l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E64" i="9" l="1"/>
  <c r="H64" i="9"/>
  <c r="I64" i="9"/>
  <c r="G20" i="1" l="1"/>
  <c r="I20" i="1" s="1"/>
  <c r="G21" i="1"/>
  <c r="I21" i="1" s="1"/>
  <c r="B26" i="7"/>
  <c r="B33" i="7" l="1"/>
  <c r="D33" i="1"/>
  <c r="G7" i="1"/>
  <c r="I7" i="1" s="1"/>
  <c r="G18" i="1"/>
  <c r="I18" i="1" s="1"/>
  <c r="G19" i="1"/>
  <c r="I19" i="1" s="1"/>
  <c r="I16" i="5"/>
  <c r="C26" i="7" l="1"/>
  <c r="G5" i="1"/>
  <c r="G16" i="1"/>
  <c r="I6" i="5"/>
  <c r="K6" i="5" s="1"/>
  <c r="I5" i="1" l="1"/>
  <c r="I16" i="1"/>
  <c r="C33" i="7"/>
  <c r="D26" i="7"/>
  <c r="G17" i="1"/>
  <c r="I17" i="1" s="1"/>
  <c r="G10" i="1"/>
  <c r="I10" i="1" s="1"/>
  <c r="D32" i="1"/>
  <c r="L26" i="7"/>
  <c r="G28" i="1"/>
  <c r="I28" i="1" s="1"/>
  <c r="I21" i="5"/>
  <c r="K21" i="5" s="1"/>
  <c r="I11" i="5"/>
  <c r="K11" i="5" s="1"/>
  <c r="I5" i="5"/>
  <c r="I15" i="5"/>
  <c r="G27" i="1"/>
  <c r="I10" i="5"/>
  <c r="I7" i="5" l="1"/>
  <c r="K7" i="5" s="1"/>
  <c r="K5" i="5"/>
  <c r="I12" i="5"/>
  <c r="K12" i="5" s="1"/>
  <c r="K10" i="5"/>
  <c r="G29" i="1"/>
  <c r="I29" i="1" s="1"/>
  <c r="I27" i="1"/>
  <c r="L33" i="7"/>
  <c r="G26" i="7"/>
  <c r="G6" i="1"/>
  <c r="G22" i="1"/>
  <c r="I22" i="1" s="1"/>
  <c r="K15" i="5"/>
  <c r="I17" i="5"/>
  <c r="K17" i="5" s="1"/>
  <c r="D34" i="1"/>
  <c r="E33" i="1" s="1"/>
  <c r="F26" i="7"/>
  <c r="D33" i="7"/>
  <c r="F33" i="7" s="1"/>
  <c r="M26" i="7"/>
  <c r="I20" i="5"/>
  <c r="H26" i="7" l="1"/>
  <c r="H33" i="7" s="1"/>
  <c r="M33" i="7"/>
  <c r="E32" i="1"/>
  <c r="I22" i="5"/>
  <c r="K22" i="5" s="1"/>
  <c r="K20" i="5"/>
  <c r="I6" i="1"/>
  <c r="G8" i="1"/>
  <c r="N26" i="7"/>
  <c r="G33" i="7"/>
  <c r="I26" i="7" l="1"/>
  <c r="K26" i="7" s="1"/>
  <c r="P26" i="7"/>
  <c r="N33" i="7"/>
  <c r="P33" i="7" s="1"/>
  <c r="I8" i="1"/>
  <c r="G11" i="1"/>
  <c r="I11" i="1" s="1"/>
  <c r="I33" i="7"/>
  <c r="K33" i="7" s="1"/>
</calcChain>
</file>

<file path=xl/sharedStrings.xml><?xml version="1.0" encoding="utf-8"?>
<sst xmlns="http://schemas.openxmlformats.org/spreadsheetml/2006/main" count="600" uniqueCount="232">
  <si>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</si>
  <si>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</si>
  <si>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</si>
  <si>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</si>
  <si>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</si>
  <si>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</si>
  <si>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</si>
  <si>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</si>
  <si>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</si>
  <si>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</si>
  <si>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</si>
  <si>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</si>
  <si>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</si>
  <si>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</si>
  <si>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</si>
  <si>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</si>
  <si>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</si>
  <si>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</si>
  <si>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</si>
  <si>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</si>
  <si>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</si>
  <si>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</si>
  <si>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</si>
  <si>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</si>
  <si>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</si>
  <si>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</si>
  <si>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</si>
  <si>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</si>
  <si>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</si>
  <si>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</si>
  <si>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</si>
  <si>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</si>
  <si>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</si>
  <si>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</si>
  <si>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</si>
  <si>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</si>
  <si>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</si>
  <si>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</si>
  <si>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</si>
  <si>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</si>
  <si>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</si>
  <si>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</si>
  <si>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</si>
  <si>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</si>
  <si>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</si>
  <si>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</si>
  <si>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</si>
  <si>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</si>
  <si>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</si>
  <si>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</si>
  <si>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</si>
  <si>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</si>
  <si>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</si>
  <si>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</si>
  <si>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</si>
  <si>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</si>
  <si>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</si>
  <si>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</si>
  <si>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</si>
  <si>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</si>
  <si>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</si>
  <si>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</si>
  <si>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</si>
  <si>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</si>
  <si>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</si>
  <si>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</si>
  <si>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</si>
  <si>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</si>
  <si>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</si>
  <si>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</si>
  <si>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</si>
  <si>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</si>
  <si>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</si>
  <si>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</si>
  <si>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</si>
  <si>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</si>
  <si>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</si>
  <si>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</si>
  <si>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</si>
  <si>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</si>
  <si>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</si>
  <si>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</si>
  <si>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</si>
  <si>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</si>
  <si>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</si>
  <si>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</si>
  <si>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</si>
  <si>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</si>
  <si>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</si>
  <si>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</si>
  <si>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</si>
  <si>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</si>
  <si>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</si>
  <si>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</si>
  <si>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</si>
  <si>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</si>
  <si>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</si>
  <si>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</si>
  <si>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</si>
  <si>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</si>
  <si>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</si>
  <si>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</si>
  <si>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</si>
  <si>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</si>
  <si>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</si>
  <si>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</si>
  <si>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</si>
  <si>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</si>
  <si>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</si>
  <si>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</si>
  <si>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</si>
  <si>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</si>
  <si>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</si>
  <si>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</si>
  <si>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</si>
  <si>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</si>
  <si>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</si>
  <si>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</si>
  <si>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</si>
  <si>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</si>
  <si>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</si>
  <si>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</si>
  <si>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</si>
  <si>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</si>
  <si>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</si>
  <si>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</si>
  <si>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</si>
  <si>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</si>
  <si>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</si>
  <si>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</si>
  <si>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</si>
  <si>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</si>
  <si>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</si>
  <si>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</si>
  <si>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</si>
  <si>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</si>
  <si>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</si>
  <si>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</si>
  <si>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</si>
  <si>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</si>
  <si>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</si>
  <si>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</si>
  <si>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</si>
  <si>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</si>
  <si>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</si>
  <si>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</si>
  <si>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</si>
  <si>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</si>
  <si>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</si>
  <si>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</si>
  <si>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</si>
  <si>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</si>
  <si>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</si>
  <si>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</si>
  <si>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</si>
  <si>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</si>
  <si>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</si>
  <si>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</si>
  <si>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</si>
  <si>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</si>
  <si>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</si>
  <si>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</si>
  <si>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</si>
  <si>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</si>
  <si>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</si>
  <si>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</si>
  <si>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</si>
  <si>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</si>
  <si>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</si>
  <si>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</si>
  <si>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</si>
  <si>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</si>
  <si>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</si>
  <si>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</si>
  <si>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</si>
  <si>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</si>
  <si>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</si>
  <si>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</si>
  <si>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</si>
  <si>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</si>
  <si>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</si>
  <si>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</si>
  <si>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</si>
  <si>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</si>
  <si>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</si>
  <si>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</si>
  <si>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</si>
  <si>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</si>
  <si>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</si>
  <si>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</si>
  <si>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</si>
  <si>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</si>
  <si>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</si>
  <si>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</si>
  <si>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</si>
  <si>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</si>
  <si>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</si>
  <si>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</si>
  <si>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</si>
  <si>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</si>
  <si>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</si>
  <si>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</si>
  <si>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</si>
  <si>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</si>
  <si>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</si>
  <si>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</si>
  <si>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</si>
  <si>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</si>
  <si>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</si>
  <si>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</si>
  <si>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</si>
  <si>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</si>
  <si>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</si>
  <si>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</si>
  <si>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</si>
  <si>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</si>
  <si>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</si>
  <si>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</si>
  <si>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</si>
  <si>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</si>
  <si>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</si>
  <si>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</si>
  <si>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</si>
  <si>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</si>
  <si>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</si>
  <si>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</si>
  <si>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</si>
  <si>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</si>
  <si>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</si>
  <si>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Jet Blue</t>
  </si>
  <si>
    <t>July 2017</t>
  </si>
  <si>
    <t>Atlas - 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</si>
</sst>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16" xfId="0" applyFont="1" applyBorder="1"/>
    <xf numFmtId="0" fontId="4" fillId="0" borderId="0" xfId="0" applyFont="1" applyBorder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ly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un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2877387</v>
          </cell>
          <cell r="G5">
            <v>16986918</v>
          </cell>
        </row>
        <row r="6">
          <cell r="D6">
            <v>658031</v>
          </cell>
          <cell r="G6">
            <v>4474367</v>
          </cell>
        </row>
        <row r="7">
          <cell r="D7">
            <v>324</v>
          </cell>
          <cell r="G7">
            <v>3239</v>
          </cell>
        </row>
        <row r="10">
          <cell r="D10">
            <v>125828</v>
          </cell>
          <cell r="G10">
            <v>727919</v>
          </cell>
        </row>
        <row r="16">
          <cell r="D16">
            <v>21868</v>
          </cell>
          <cell r="G16">
            <v>132257</v>
          </cell>
        </row>
        <row r="17">
          <cell r="D17">
            <v>12875</v>
          </cell>
          <cell r="G17">
            <v>88822</v>
          </cell>
        </row>
        <row r="18">
          <cell r="D18">
            <v>2</v>
          </cell>
          <cell r="G18">
            <v>24</v>
          </cell>
        </row>
        <row r="19">
          <cell r="D19">
            <v>1146</v>
          </cell>
          <cell r="G19">
            <v>8368</v>
          </cell>
        </row>
        <row r="20">
          <cell r="D20">
            <v>2053</v>
          </cell>
          <cell r="G20">
            <v>12990</v>
          </cell>
        </row>
        <row r="21">
          <cell r="D21">
            <v>100</v>
          </cell>
          <cell r="G21">
            <v>375</v>
          </cell>
        </row>
        <row r="27">
          <cell r="D27">
            <v>16308.074063873129</v>
          </cell>
          <cell r="G27">
            <v>116279.52714420811</v>
          </cell>
        </row>
        <row r="28">
          <cell r="D28">
            <v>2446.7030985450901</v>
          </cell>
          <cell r="G28">
            <v>14636.266397802279</v>
          </cell>
        </row>
        <row r="32">
          <cell r="B32">
            <v>991162</v>
          </cell>
          <cell r="D32">
            <v>6463916</v>
          </cell>
        </row>
        <row r="33">
          <cell r="B33">
            <v>777473</v>
          </cell>
          <cell r="D33">
            <v>4237587</v>
          </cell>
        </row>
      </sheetData>
      <sheetData sheetId="1"/>
      <sheetData sheetId="2"/>
      <sheetData sheetId="3"/>
      <sheetData sheetId="4"/>
      <sheetData sheetId="5">
        <row r="27">
          <cell r="D27">
            <v>263710</v>
          </cell>
          <cell r="I27">
            <v>3397860</v>
          </cell>
          <cell r="N27">
            <v>3661570</v>
          </cell>
        </row>
      </sheetData>
      <sheetData sheetId="6"/>
      <sheetData sheetId="7">
        <row r="5">
          <cell r="F5">
            <v>9185.8052254845807</v>
          </cell>
          <cell r="I5">
            <v>63767.411531914862</v>
          </cell>
        </row>
        <row r="6">
          <cell r="F6">
            <v>1153.36065900825</v>
          </cell>
          <cell r="I6">
            <v>6289.7163725788696</v>
          </cell>
        </row>
        <row r="10">
          <cell r="F10">
            <v>7122.2688383885497</v>
          </cell>
          <cell r="I10">
            <v>52512.115612293259</v>
          </cell>
        </row>
        <row r="11">
          <cell r="F11">
            <v>1293.3424395368399</v>
          </cell>
          <cell r="I11">
            <v>8346.5500252234087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16308.074063873129</v>
          </cell>
        </row>
        <row r="21">
          <cell r="F21">
            <v>2446.7030985450901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128052</v>
          </cell>
          <cell r="C25">
            <v>118282</v>
          </cell>
          <cell r="L25">
            <v>1632409</v>
          </cell>
          <cell r="M25">
            <v>1595081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248451</v>
          </cell>
          <cell r="I26">
            <v>3247151</v>
          </cell>
          <cell r="N26">
            <v>3495602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14044570</v>
          </cell>
        </row>
        <row r="6">
          <cell r="G6">
            <v>3879154</v>
          </cell>
        </row>
        <row r="7">
          <cell r="G7">
            <v>2843</v>
          </cell>
        </row>
        <row r="10">
          <cell r="G10">
            <v>616900</v>
          </cell>
        </row>
        <row r="16">
          <cell r="G16">
            <v>107259</v>
          </cell>
        </row>
        <row r="17">
          <cell r="G17">
            <v>75149</v>
          </cell>
        </row>
        <row r="18">
          <cell r="G18">
            <v>22</v>
          </cell>
        </row>
        <row r="19">
          <cell r="G19">
            <v>7364</v>
          </cell>
        </row>
        <row r="20">
          <cell r="G20">
            <v>10133</v>
          </cell>
        </row>
        <row r="21">
          <cell r="G21">
            <v>610</v>
          </cell>
        </row>
        <row r="27">
          <cell r="G27">
            <v>101522.28947569634</v>
          </cell>
        </row>
        <row r="28">
          <cell r="G28">
            <v>12726.686064969799</v>
          </cell>
        </row>
        <row r="32">
          <cell r="D32">
            <v>5718462</v>
          </cell>
        </row>
        <row r="33">
          <cell r="D33">
            <v>3217471</v>
          </cell>
        </row>
      </sheetData>
      <sheetData sheetId="1"/>
      <sheetData sheetId="2"/>
      <sheetData sheetId="3"/>
      <sheetData sheetId="4"/>
      <sheetData sheetId="5">
        <row r="26">
          <cell r="B26">
            <v>128004</v>
          </cell>
          <cell r="C26">
            <v>132185</v>
          </cell>
          <cell r="L26">
            <v>1762626</v>
          </cell>
          <cell r="M26">
            <v>1753039</v>
          </cell>
        </row>
      </sheetData>
      <sheetData sheetId="6"/>
      <sheetData sheetId="7">
        <row r="5">
          <cell r="I5">
            <v>56659.152801058503</v>
          </cell>
        </row>
        <row r="6">
          <cell r="I6">
            <v>5085.4916795683002</v>
          </cell>
        </row>
        <row r="10">
          <cell r="I10">
            <v>44863.136674637819</v>
          </cell>
        </row>
        <row r="11">
          <cell r="I11">
            <v>7641.1943854015008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101522.28947569634</v>
          </cell>
        </row>
        <row r="21">
          <cell r="I21">
            <v>12726.686064969799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T4">
            <v>97</v>
          </cell>
        </row>
        <row r="5">
          <cell r="FT5">
            <v>97</v>
          </cell>
        </row>
        <row r="8">
          <cell r="FT8"/>
        </row>
        <row r="9">
          <cell r="FT9"/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</row>
        <row r="22">
          <cell r="FT22">
            <v>463</v>
          </cell>
        </row>
        <row r="23">
          <cell r="FT23">
            <v>438</v>
          </cell>
        </row>
        <row r="27">
          <cell r="FT27"/>
        </row>
        <row r="28">
          <cell r="FT28"/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3"/>
      <sheetData sheetId="4">
        <row r="4">
          <cell r="FT4"/>
        </row>
        <row r="5">
          <cell r="FT5"/>
        </row>
        <row r="8">
          <cell r="FT8"/>
        </row>
        <row r="9">
          <cell r="FT9"/>
        </row>
        <row r="15">
          <cell r="FN15"/>
          <cell r="FO15"/>
          <cell r="FP15"/>
          <cell r="FQ15"/>
          <cell r="FR15">
            <v>20</v>
          </cell>
          <cell r="FS15">
            <v>28</v>
          </cell>
          <cell r="FT15">
            <v>26</v>
          </cell>
        </row>
        <row r="16">
          <cell r="FN16"/>
          <cell r="FO16"/>
          <cell r="FP16"/>
          <cell r="FQ16"/>
          <cell r="FR16">
            <v>20</v>
          </cell>
          <cell r="FS16">
            <v>28</v>
          </cell>
          <cell r="FT16">
            <v>26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32">
          <cell r="FN32"/>
          <cell r="FO32"/>
          <cell r="FP32"/>
          <cell r="FQ32"/>
          <cell r="FR32">
            <v>3781</v>
          </cell>
          <cell r="FS32">
            <v>6449</v>
          </cell>
          <cell r="FT32">
            <v>6560</v>
          </cell>
        </row>
        <row r="33">
          <cell r="FN33"/>
          <cell r="FO33"/>
          <cell r="FP33"/>
          <cell r="FQ33"/>
          <cell r="FR33">
            <v>3802</v>
          </cell>
          <cell r="FS33">
            <v>6319</v>
          </cell>
          <cell r="FT33">
            <v>4769</v>
          </cell>
        </row>
        <row r="37">
          <cell r="FN37"/>
          <cell r="FO37"/>
          <cell r="FP37"/>
          <cell r="FQ37"/>
          <cell r="FR37">
            <v>16</v>
          </cell>
          <cell r="FS37">
            <v>6</v>
          </cell>
          <cell r="FT37">
            <v>7</v>
          </cell>
        </row>
        <row r="38">
          <cell r="FN38"/>
          <cell r="FO38"/>
          <cell r="FP38"/>
          <cell r="FQ38"/>
          <cell r="FR38">
            <v>13</v>
          </cell>
          <cell r="FS38">
            <v>8</v>
          </cell>
          <cell r="FT38">
            <v>6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</row>
        <row r="47">
          <cell r="FT47">
            <v>378422</v>
          </cell>
        </row>
        <row r="48">
          <cell r="FT48"/>
        </row>
        <row r="52">
          <cell r="FT52">
            <v>129648</v>
          </cell>
        </row>
        <row r="53">
          <cell r="FT53"/>
        </row>
        <row r="57">
          <cell r="FT57"/>
        </row>
        <row r="58">
          <cell r="FT58"/>
        </row>
      </sheetData>
      <sheetData sheetId="5">
        <row r="4">
          <cell r="FT4">
            <v>62</v>
          </cell>
        </row>
        <row r="5">
          <cell r="FT5">
            <v>62</v>
          </cell>
        </row>
        <row r="8">
          <cell r="FT8"/>
        </row>
        <row r="9">
          <cell r="FT9"/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</row>
        <row r="22">
          <cell r="FT22">
            <v>9927</v>
          </cell>
        </row>
        <row r="23">
          <cell r="FT23">
            <v>10158</v>
          </cell>
        </row>
        <row r="27">
          <cell r="FT27">
            <v>397</v>
          </cell>
        </row>
        <row r="28">
          <cell r="FT28">
            <v>490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</row>
        <row r="47">
          <cell r="FT47">
            <v>19614</v>
          </cell>
        </row>
        <row r="48">
          <cell r="FT48">
            <v>2413</v>
          </cell>
        </row>
        <row r="52">
          <cell r="FT52">
            <v>5790</v>
          </cell>
        </row>
        <row r="53">
          <cell r="FT53">
            <v>2048</v>
          </cell>
        </row>
        <row r="57">
          <cell r="FT57"/>
        </row>
        <row r="58">
          <cell r="FT58"/>
        </row>
      </sheetData>
      <sheetData sheetId="6"/>
      <sheetData sheetId="7">
        <row r="4">
          <cell r="FT4">
            <v>676</v>
          </cell>
        </row>
        <row r="5">
          <cell r="FT5">
            <v>675</v>
          </cell>
        </row>
        <row r="8">
          <cell r="FT8"/>
        </row>
        <row r="9">
          <cell r="FT9"/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</row>
        <row r="22">
          <cell r="FT22">
            <v>83355</v>
          </cell>
        </row>
        <row r="23">
          <cell r="FT23">
            <v>81225</v>
          </cell>
        </row>
        <row r="27">
          <cell r="FT27">
            <v>3821</v>
          </cell>
        </row>
        <row r="28">
          <cell r="FT28">
            <v>4338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</row>
        <row r="47">
          <cell r="FT47">
            <v>44930</v>
          </cell>
        </row>
        <row r="48">
          <cell r="FT48">
            <v>28298</v>
          </cell>
        </row>
        <row r="52">
          <cell r="FT52">
            <v>7397</v>
          </cell>
        </row>
        <row r="53">
          <cell r="FT53">
            <v>51276</v>
          </cell>
        </row>
        <row r="57">
          <cell r="FT57"/>
        </row>
        <row r="58">
          <cell r="FT58"/>
        </row>
      </sheetData>
      <sheetData sheetId="8"/>
      <sheetData sheetId="9">
        <row r="4">
          <cell r="FT4">
            <v>83</v>
          </cell>
        </row>
        <row r="5">
          <cell r="FT5">
            <v>83</v>
          </cell>
        </row>
        <row r="8">
          <cell r="FT8"/>
        </row>
        <row r="9">
          <cell r="FT9"/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</row>
        <row r="22">
          <cell r="FT22">
            <v>420</v>
          </cell>
        </row>
        <row r="23">
          <cell r="FT23">
            <v>443</v>
          </cell>
        </row>
        <row r="27">
          <cell r="FT27"/>
        </row>
        <row r="28">
          <cell r="FT28"/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10">
        <row r="4">
          <cell r="FT4"/>
        </row>
        <row r="5">
          <cell r="FT5"/>
        </row>
        <row r="8">
          <cell r="FT8"/>
        </row>
        <row r="9">
          <cell r="FT9"/>
        </row>
        <row r="15">
          <cell r="FN15"/>
          <cell r="FO15"/>
          <cell r="FP15"/>
          <cell r="FQ15"/>
          <cell r="FR15">
            <v>4</v>
          </cell>
          <cell r="FS15">
            <v>11</v>
          </cell>
          <cell r="FT15">
            <v>18</v>
          </cell>
        </row>
        <row r="16">
          <cell r="FN16"/>
          <cell r="FO16"/>
          <cell r="FP16"/>
          <cell r="FQ16"/>
          <cell r="FR16">
            <v>4</v>
          </cell>
          <cell r="FS16">
            <v>11</v>
          </cell>
          <cell r="FT16">
            <v>18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32">
          <cell r="FN32"/>
          <cell r="FO32"/>
          <cell r="FP32"/>
          <cell r="FQ32"/>
          <cell r="FR32">
            <v>730</v>
          </cell>
          <cell r="FS32">
            <v>2566</v>
          </cell>
          <cell r="FT32">
            <v>4485</v>
          </cell>
        </row>
        <row r="33">
          <cell r="FN33"/>
          <cell r="FO33"/>
          <cell r="FP33"/>
          <cell r="FQ33"/>
          <cell r="FR33">
            <v>972</v>
          </cell>
          <cell r="FS33">
            <v>2779</v>
          </cell>
          <cell r="FT33">
            <v>4391</v>
          </cell>
        </row>
        <row r="37">
          <cell r="FN37"/>
          <cell r="FO37"/>
          <cell r="FP37"/>
          <cell r="FQ37"/>
          <cell r="FR37">
            <v>5</v>
          </cell>
          <cell r="FS37"/>
          <cell r="FT37">
            <v>4</v>
          </cell>
        </row>
        <row r="38">
          <cell r="FN38"/>
          <cell r="FO38"/>
          <cell r="FP38"/>
          <cell r="FQ38"/>
          <cell r="FR38">
            <v>4</v>
          </cell>
          <cell r="FS38"/>
          <cell r="FT38">
            <v>5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</row>
        <row r="47">
          <cell r="FT47">
            <v>157395</v>
          </cell>
        </row>
        <row r="48">
          <cell r="FT48"/>
        </row>
        <row r="52">
          <cell r="FT52">
            <v>41837</v>
          </cell>
        </row>
        <row r="53">
          <cell r="FT53"/>
        </row>
        <row r="57">
          <cell r="FT57"/>
        </row>
        <row r="58">
          <cell r="FT58"/>
        </row>
      </sheetData>
      <sheetData sheetId="11">
        <row r="4">
          <cell r="FT4">
            <v>6507</v>
          </cell>
        </row>
        <row r="5">
          <cell r="FT5">
            <v>6489</v>
          </cell>
        </row>
        <row r="8">
          <cell r="FT8">
            <v>4</v>
          </cell>
        </row>
        <row r="9">
          <cell r="FT9">
            <v>18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  <cell r="FS15">
            <v>452</v>
          </cell>
          <cell r="FT15">
            <v>497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  <cell r="FS16">
            <v>450</v>
          </cell>
          <cell r="FT16">
            <v>502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</row>
        <row r="22">
          <cell r="FT22">
            <v>894243</v>
          </cell>
        </row>
        <row r="23">
          <cell r="FT23">
            <v>898878</v>
          </cell>
        </row>
        <row r="27">
          <cell r="FT27">
            <v>33503</v>
          </cell>
        </row>
        <row r="28">
          <cell r="FT28">
            <v>33047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  <cell r="FS32">
            <v>79056</v>
          </cell>
          <cell r="FT32">
            <v>88990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  <cell r="FS33">
            <v>81087</v>
          </cell>
          <cell r="FT33">
            <v>81699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  <cell r="FS37">
            <v>2000</v>
          </cell>
          <cell r="FT37">
            <v>2405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  <cell r="FS38">
            <v>2239</v>
          </cell>
          <cell r="FT38">
            <v>2272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</row>
        <row r="47">
          <cell r="FT47">
            <v>4916832</v>
          </cell>
        </row>
        <row r="48">
          <cell r="FT48">
            <v>1682489</v>
          </cell>
        </row>
        <row r="52">
          <cell r="FT52">
            <v>2560189</v>
          </cell>
        </row>
        <row r="53">
          <cell r="FT53">
            <v>1990818</v>
          </cell>
        </row>
        <row r="57">
          <cell r="FT57"/>
        </row>
        <row r="58">
          <cell r="FT58"/>
        </row>
        <row r="70">
          <cell r="FT70">
            <v>426967</v>
          </cell>
        </row>
        <row r="71">
          <cell r="FT71">
            <v>471911</v>
          </cell>
        </row>
        <row r="73">
          <cell r="FT73">
            <v>38807</v>
          </cell>
        </row>
        <row r="74">
          <cell r="FT74">
            <v>42892</v>
          </cell>
        </row>
      </sheetData>
      <sheetData sheetId="12">
        <row r="4">
          <cell r="FT4">
            <v>156</v>
          </cell>
        </row>
        <row r="5">
          <cell r="FT5">
            <v>156</v>
          </cell>
        </row>
        <row r="8">
          <cell r="FT8"/>
        </row>
        <row r="9">
          <cell r="FT9"/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</row>
        <row r="22">
          <cell r="FT22">
            <v>22803</v>
          </cell>
        </row>
        <row r="23">
          <cell r="FT23">
            <v>22899</v>
          </cell>
        </row>
        <row r="27">
          <cell r="FT27">
            <v>178</v>
          </cell>
        </row>
        <row r="28">
          <cell r="FT28">
            <v>172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13"/>
      <sheetData sheetId="14">
        <row r="8">
          <cell r="FT8"/>
        </row>
        <row r="9">
          <cell r="FT9"/>
        </row>
        <row r="15">
          <cell r="FN15">
            <v>5</v>
          </cell>
          <cell r="FO15"/>
          <cell r="FP15">
            <v>17</v>
          </cell>
          <cell r="FQ15">
            <v>20</v>
          </cell>
          <cell r="FR15">
            <v>37</v>
          </cell>
          <cell r="FS15">
            <v>46</v>
          </cell>
          <cell r="FT15">
            <v>47</v>
          </cell>
        </row>
        <row r="16">
          <cell r="FN16">
            <v>5</v>
          </cell>
          <cell r="FO16"/>
          <cell r="FP16">
            <v>17</v>
          </cell>
          <cell r="FQ16">
            <v>20</v>
          </cell>
          <cell r="FR16">
            <v>37</v>
          </cell>
          <cell r="FS16">
            <v>46</v>
          </cell>
          <cell r="FT16">
            <v>47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</row>
        <row r="32">
          <cell r="FN32">
            <v>852</v>
          </cell>
          <cell r="FO32"/>
          <cell r="FP32">
            <v>2019</v>
          </cell>
          <cell r="FQ32">
            <v>2672</v>
          </cell>
          <cell r="FR32">
            <v>4435</v>
          </cell>
          <cell r="FS32">
            <v>6735</v>
          </cell>
          <cell r="FT32">
            <v>7414</v>
          </cell>
        </row>
        <row r="33">
          <cell r="FN33">
            <v>671</v>
          </cell>
          <cell r="FO33"/>
          <cell r="FP33">
            <v>2431</v>
          </cell>
          <cell r="FQ33">
            <v>2690</v>
          </cell>
          <cell r="FR33">
            <v>5599</v>
          </cell>
          <cell r="FS33">
            <v>7357</v>
          </cell>
          <cell r="FT33">
            <v>6448</v>
          </cell>
        </row>
        <row r="37">
          <cell r="FN37">
            <v>20</v>
          </cell>
          <cell r="FO37"/>
          <cell r="FP37">
            <v>75</v>
          </cell>
          <cell r="FQ37">
            <v>52</v>
          </cell>
          <cell r="FR37">
            <v>75</v>
          </cell>
          <cell r="FS37">
            <v>64</v>
          </cell>
          <cell r="FT37">
            <v>82</v>
          </cell>
        </row>
        <row r="38">
          <cell r="FN38">
            <v>13</v>
          </cell>
          <cell r="FO38"/>
          <cell r="FP38">
            <v>54</v>
          </cell>
          <cell r="FQ38">
            <v>60</v>
          </cell>
          <cell r="FR38">
            <v>82</v>
          </cell>
          <cell r="FS38">
            <v>78</v>
          </cell>
          <cell r="FT38">
            <v>80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</row>
        <row r="47">
          <cell r="FT47">
            <v>71753</v>
          </cell>
        </row>
        <row r="48">
          <cell r="FT48"/>
        </row>
        <row r="52">
          <cell r="FT52">
            <v>264</v>
          </cell>
        </row>
        <row r="53">
          <cell r="FT53"/>
        </row>
        <row r="57">
          <cell r="FT57"/>
        </row>
        <row r="58">
          <cell r="FT58"/>
        </row>
      </sheetData>
      <sheetData sheetId="15">
        <row r="4">
          <cell r="FT4">
            <v>93</v>
          </cell>
        </row>
        <row r="5">
          <cell r="FT5">
            <v>93</v>
          </cell>
        </row>
        <row r="8">
          <cell r="FT8"/>
        </row>
        <row r="9">
          <cell r="FT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</row>
        <row r="22">
          <cell r="FT22">
            <v>11478</v>
          </cell>
        </row>
        <row r="23">
          <cell r="FT23">
            <v>11478</v>
          </cell>
        </row>
        <row r="27">
          <cell r="FT27">
            <v>283</v>
          </cell>
        </row>
        <row r="28">
          <cell r="FT28">
            <v>286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16">
        <row r="4">
          <cell r="FT4"/>
        </row>
        <row r="5">
          <cell r="FT5"/>
        </row>
        <row r="8">
          <cell r="FT8"/>
        </row>
        <row r="9">
          <cell r="FT9"/>
        </row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  <cell r="FS15">
            <v>20</v>
          </cell>
          <cell r="FT15">
            <v>18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  <cell r="FS16">
            <v>20</v>
          </cell>
          <cell r="FT16">
            <v>18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  <cell r="FS32">
            <v>5068</v>
          </cell>
          <cell r="FT32">
            <v>4888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  <cell r="FS33">
            <v>5026</v>
          </cell>
          <cell r="FT33">
            <v>3899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  <cell r="FS37">
            <v>47</v>
          </cell>
          <cell r="FT37">
            <v>41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  <cell r="FS38">
            <v>16</v>
          </cell>
          <cell r="FT38">
            <v>37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</row>
        <row r="47">
          <cell r="FT47">
            <v>470393</v>
          </cell>
        </row>
        <row r="48">
          <cell r="FT48"/>
        </row>
        <row r="52">
          <cell r="FT52">
            <v>130013</v>
          </cell>
        </row>
        <row r="53">
          <cell r="FT53"/>
        </row>
        <row r="57">
          <cell r="FT57"/>
        </row>
        <row r="58">
          <cell r="FT58"/>
        </row>
      </sheetData>
      <sheetData sheetId="17"/>
      <sheetData sheetId="18">
        <row r="4">
          <cell r="FT4">
            <v>734</v>
          </cell>
        </row>
        <row r="5">
          <cell r="FT5">
            <v>735</v>
          </cell>
        </row>
        <row r="8">
          <cell r="FT8"/>
        </row>
        <row r="9">
          <cell r="FT9"/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</row>
        <row r="22">
          <cell r="FT22">
            <v>89240</v>
          </cell>
        </row>
        <row r="23">
          <cell r="FT23">
            <v>90672</v>
          </cell>
        </row>
        <row r="27">
          <cell r="FT27">
            <v>2423</v>
          </cell>
        </row>
        <row r="28">
          <cell r="FT28">
            <v>2440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</row>
        <row r="47">
          <cell r="FT47">
            <v>183735</v>
          </cell>
        </row>
        <row r="48">
          <cell r="FT48"/>
        </row>
        <row r="52">
          <cell r="FT52">
            <v>81391</v>
          </cell>
        </row>
        <row r="53">
          <cell r="FT53"/>
        </row>
        <row r="57">
          <cell r="FT57"/>
        </row>
        <row r="58">
          <cell r="FT58"/>
        </row>
        <row r="70">
          <cell r="FT70">
            <v>90320</v>
          </cell>
        </row>
        <row r="71">
          <cell r="FT71">
            <v>352</v>
          </cell>
        </row>
        <row r="73">
          <cell r="FT73"/>
        </row>
        <row r="74">
          <cell r="FT74"/>
        </row>
      </sheetData>
      <sheetData sheetId="19">
        <row r="4">
          <cell r="FT4">
            <v>370</v>
          </cell>
        </row>
        <row r="5">
          <cell r="FT5">
            <v>370</v>
          </cell>
        </row>
        <row r="8">
          <cell r="FT8"/>
        </row>
        <row r="9">
          <cell r="FT9"/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</row>
        <row r="22">
          <cell r="FT22">
            <v>53870</v>
          </cell>
        </row>
        <row r="23">
          <cell r="FT23">
            <v>54759</v>
          </cell>
        </row>
        <row r="27">
          <cell r="FT27">
            <v>365</v>
          </cell>
        </row>
        <row r="28">
          <cell r="FT28">
            <v>331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  <row r="70">
          <cell r="FT70"/>
        </row>
        <row r="71">
          <cell r="FT71"/>
        </row>
        <row r="73">
          <cell r="FT73"/>
        </row>
        <row r="74">
          <cell r="FT74"/>
        </row>
      </sheetData>
      <sheetData sheetId="20">
        <row r="4">
          <cell r="FT4">
            <v>709</v>
          </cell>
        </row>
        <row r="5">
          <cell r="FT5">
            <v>708</v>
          </cell>
        </row>
        <row r="8">
          <cell r="FT8">
            <v>51</v>
          </cell>
        </row>
        <row r="9">
          <cell r="FT9">
            <v>50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  <cell r="FS15">
            <v>15</v>
          </cell>
          <cell r="FT15">
            <v>5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  <cell r="FS16">
            <v>14</v>
          </cell>
          <cell r="FT16">
            <v>6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</row>
        <row r="22">
          <cell r="FT22">
            <v>97695</v>
          </cell>
        </row>
        <row r="23">
          <cell r="FT23">
            <v>99959</v>
          </cell>
        </row>
        <row r="27">
          <cell r="FT27">
            <v>2167</v>
          </cell>
        </row>
        <row r="28">
          <cell r="FT28">
            <v>1880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  <cell r="FS32">
            <v>1767</v>
          </cell>
          <cell r="FT32">
            <v>643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  <cell r="FS33">
            <v>1806</v>
          </cell>
          <cell r="FT33">
            <v>585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  <cell r="FS37">
            <v>1</v>
          </cell>
          <cell r="FT37">
            <v>8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  <cell r="FS38">
            <v>7</v>
          </cell>
          <cell r="FT38">
            <v>12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</row>
        <row r="47">
          <cell r="FT47">
            <v>260804</v>
          </cell>
        </row>
        <row r="48">
          <cell r="FT48">
            <v>108801</v>
          </cell>
        </row>
        <row r="52">
          <cell r="FT52">
            <v>136494</v>
          </cell>
        </row>
        <row r="53">
          <cell r="FT53">
            <v>60709</v>
          </cell>
        </row>
        <row r="57">
          <cell r="FT57"/>
        </row>
        <row r="58">
          <cell r="FT58"/>
        </row>
        <row r="70">
          <cell r="FT70">
            <v>94548</v>
          </cell>
        </row>
        <row r="71">
          <cell r="FT71">
            <v>5411</v>
          </cell>
        </row>
        <row r="73">
          <cell r="FT73">
            <v>366</v>
          </cell>
        </row>
        <row r="74">
          <cell r="FT74">
            <v>219</v>
          </cell>
        </row>
      </sheetData>
      <sheetData sheetId="21">
        <row r="4">
          <cell r="FT4">
            <v>406</v>
          </cell>
        </row>
        <row r="5">
          <cell r="FT5">
            <v>406</v>
          </cell>
        </row>
        <row r="8">
          <cell r="FT8"/>
        </row>
        <row r="9">
          <cell r="FT9"/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</row>
        <row r="22">
          <cell r="FT22">
            <v>50326</v>
          </cell>
        </row>
        <row r="23">
          <cell r="FT23">
            <v>51105</v>
          </cell>
        </row>
        <row r="27">
          <cell r="FT27">
            <v>1758</v>
          </cell>
        </row>
        <row r="28">
          <cell r="FT28">
            <v>1723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</row>
        <row r="47">
          <cell r="FT47">
            <v>53341</v>
          </cell>
        </row>
        <row r="48">
          <cell r="FT48">
            <v>64938</v>
          </cell>
        </row>
        <row r="52">
          <cell r="FT52">
            <v>24221</v>
          </cell>
        </row>
        <row r="53">
          <cell r="FT53">
            <v>109353</v>
          </cell>
        </row>
        <row r="57">
          <cell r="FT57"/>
        </row>
        <row r="58">
          <cell r="FT58"/>
        </row>
      </sheetData>
      <sheetData sheetId="22"/>
      <sheetData sheetId="23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</row>
      </sheetData>
      <sheetData sheetId="24"/>
      <sheetData sheetId="25">
        <row r="15">
          <cell r="FN15"/>
          <cell r="FO15"/>
          <cell r="FP15"/>
          <cell r="FQ15"/>
          <cell r="FR15"/>
          <cell r="FT15"/>
        </row>
        <row r="16">
          <cell r="FN16"/>
          <cell r="FO16"/>
          <cell r="FP16"/>
          <cell r="FQ16"/>
          <cell r="FR16"/>
          <cell r="FT16"/>
        </row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32">
          <cell r="FN32"/>
          <cell r="FO32"/>
          <cell r="FP32"/>
          <cell r="FQ32"/>
          <cell r="FR32"/>
          <cell r="FS32"/>
          <cell r="FT32"/>
        </row>
        <row r="33">
          <cell r="FN33"/>
          <cell r="FO33"/>
          <cell r="FP33"/>
          <cell r="FQ33"/>
          <cell r="FR33"/>
          <cell r="FS33"/>
          <cell r="FT33"/>
        </row>
        <row r="37">
          <cell r="FN37"/>
          <cell r="FO37"/>
          <cell r="FP37"/>
          <cell r="FQ37"/>
          <cell r="FR37"/>
          <cell r="FS37"/>
          <cell r="FT37"/>
        </row>
        <row r="38">
          <cell r="FN38"/>
          <cell r="FO38"/>
          <cell r="FP38"/>
          <cell r="FQ38"/>
          <cell r="FR38"/>
          <cell r="FS38"/>
          <cell r="FT38"/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</row>
      </sheetData>
      <sheetData sheetId="26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BH52"/>
        </row>
        <row r="53">
          <cell r="FT53"/>
        </row>
        <row r="57">
          <cell r="BG57"/>
        </row>
        <row r="58">
          <cell r="BG58"/>
        </row>
      </sheetData>
      <sheetData sheetId="27">
        <row r="4">
          <cell r="FT4">
            <v>5</v>
          </cell>
        </row>
        <row r="5">
          <cell r="FT5">
            <v>5</v>
          </cell>
        </row>
        <row r="8">
          <cell r="FT8"/>
        </row>
        <row r="9">
          <cell r="FT9"/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</row>
        <row r="22">
          <cell r="FT22">
            <v>216</v>
          </cell>
        </row>
        <row r="23">
          <cell r="FT23">
            <v>130</v>
          </cell>
        </row>
        <row r="27">
          <cell r="FT27">
            <v>21</v>
          </cell>
        </row>
        <row r="28">
          <cell r="FT28">
            <v>22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28">
        <row r="4">
          <cell r="FT4"/>
        </row>
        <row r="5">
          <cell r="FT5"/>
        </row>
        <row r="8">
          <cell r="FT8"/>
        </row>
        <row r="9">
          <cell r="FT9"/>
        </row>
        <row r="15">
          <cell r="FN15">
            <v>21</v>
          </cell>
          <cell r="FO15">
            <v>22</v>
          </cell>
          <cell r="FP15">
            <v>2</v>
          </cell>
          <cell r="FQ15"/>
          <cell r="FR15"/>
          <cell r="FT15"/>
        </row>
        <row r="16">
          <cell r="FN16">
            <v>23</v>
          </cell>
          <cell r="FO16">
            <v>26</v>
          </cell>
          <cell r="FP16">
            <v>5</v>
          </cell>
          <cell r="FQ16"/>
          <cell r="FR16"/>
          <cell r="FT16"/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32">
          <cell r="FN32">
            <v>1136</v>
          </cell>
          <cell r="FO32">
            <v>1111</v>
          </cell>
          <cell r="FP32">
            <v>122</v>
          </cell>
          <cell r="FQ32"/>
          <cell r="FR32"/>
          <cell r="FS32"/>
          <cell r="FT32"/>
        </row>
        <row r="33">
          <cell r="FN33">
            <v>1362</v>
          </cell>
          <cell r="FO33">
            <v>1562</v>
          </cell>
          <cell r="FP33">
            <v>242</v>
          </cell>
          <cell r="FQ33"/>
          <cell r="FR33"/>
          <cell r="FS33"/>
          <cell r="FT33"/>
        </row>
        <row r="37">
          <cell r="FN37">
            <v>17</v>
          </cell>
          <cell r="FO37">
            <v>30</v>
          </cell>
          <cell r="FP37">
            <v>1</v>
          </cell>
          <cell r="FQ37"/>
          <cell r="FR37"/>
          <cell r="FS37"/>
          <cell r="FT37"/>
        </row>
        <row r="38">
          <cell r="FN38">
            <v>14</v>
          </cell>
          <cell r="FO38">
            <v>17</v>
          </cell>
          <cell r="FP38">
            <v>4</v>
          </cell>
          <cell r="FQ38"/>
          <cell r="FR38"/>
          <cell r="FS38"/>
          <cell r="FT38"/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G58"/>
        </row>
        <row r="70">
          <cell r="FT70"/>
        </row>
        <row r="71">
          <cell r="FT71"/>
        </row>
        <row r="73">
          <cell r="FT73"/>
        </row>
        <row r="74">
          <cell r="FT74"/>
        </row>
      </sheetData>
      <sheetData sheetId="29"/>
      <sheetData sheetId="30"/>
      <sheetData sheetId="31"/>
      <sheetData sheetId="32">
        <row r="4">
          <cell r="FT4"/>
        </row>
        <row r="5">
          <cell r="FT5"/>
        </row>
        <row r="8">
          <cell r="FT8"/>
        </row>
        <row r="9">
          <cell r="FT9"/>
        </row>
        <row r="15">
          <cell r="FN15"/>
          <cell r="FO15">
            <v>1</v>
          </cell>
          <cell r="FP15"/>
          <cell r="FQ15"/>
          <cell r="FR15"/>
          <cell r="FT15"/>
        </row>
        <row r="16">
          <cell r="FN16"/>
          <cell r="FO16"/>
          <cell r="FP16"/>
          <cell r="FQ16"/>
          <cell r="FR16"/>
          <cell r="FT16"/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32">
          <cell r="FN32"/>
          <cell r="FO32"/>
          <cell r="FP32"/>
          <cell r="FQ32"/>
          <cell r="FR32"/>
          <cell r="FS32"/>
          <cell r="FT32"/>
        </row>
        <row r="33">
          <cell r="FN33"/>
          <cell r="FO33"/>
          <cell r="FP33"/>
          <cell r="FQ33"/>
          <cell r="FR33"/>
          <cell r="FS33"/>
          <cell r="FT33"/>
        </row>
        <row r="37">
          <cell r="FN37"/>
          <cell r="FO37"/>
          <cell r="FP37"/>
          <cell r="FQ37"/>
          <cell r="FR37"/>
          <cell r="FS37"/>
          <cell r="FT37"/>
        </row>
        <row r="38">
          <cell r="FN38"/>
          <cell r="FO38"/>
          <cell r="FP38"/>
          <cell r="FQ38"/>
          <cell r="FR38"/>
          <cell r="FS38"/>
          <cell r="FT38"/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G58"/>
        </row>
        <row r="70">
          <cell r="BG70">
            <v>26242</v>
          </cell>
          <cell r="FT70"/>
        </row>
        <row r="71">
          <cell r="BG71">
            <v>44562</v>
          </cell>
          <cell r="FT71"/>
        </row>
        <row r="73">
          <cell r="BG73">
            <v>1540</v>
          </cell>
          <cell r="FT73"/>
        </row>
        <row r="74">
          <cell r="BG74">
            <v>2614</v>
          </cell>
          <cell r="FT74"/>
        </row>
      </sheetData>
      <sheetData sheetId="33"/>
      <sheetData sheetId="34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G58"/>
        </row>
      </sheetData>
      <sheetData sheetId="35"/>
      <sheetData sheetId="36">
        <row r="4">
          <cell r="FT4">
            <v>218</v>
          </cell>
        </row>
        <row r="5">
          <cell r="FT5">
            <v>218</v>
          </cell>
        </row>
        <row r="8">
          <cell r="FT8"/>
        </row>
        <row r="9">
          <cell r="FT9"/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  <cell r="FS15">
            <v>13</v>
          </cell>
          <cell r="FT15">
            <v>21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  <cell r="FS16">
            <v>12</v>
          </cell>
          <cell r="FT16">
            <v>21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</row>
        <row r="22">
          <cell r="FT22">
            <v>13708</v>
          </cell>
        </row>
        <row r="23">
          <cell r="FT23">
            <v>13529</v>
          </cell>
        </row>
        <row r="27">
          <cell r="FT27">
            <v>440</v>
          </cell>
        </row>
        <row r="28">
          <cell r="FT28">
            <v>487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  <cell r="FS32">
            <v>849</v>
          </cell>
          <cell r="FT32">
            <v>1484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  <cell r="FS33">
            <v>815</v>
          </cell>
          <cell r="FT33">
            <v>1363</v>
          </cell>
        </row>
        <row r="37">
          <cell r="FN37">
            <v>47</v>
          </cell>
          <cell r="FO37">
            <v>35</v>
          </cell>
          <cell r="FP37"/>
          <cell r="FQ37">
            <v>53</v>
          </cell>
          <cell r="FR37">
            <v>60</v>
          </cell>
          <cell r="FS37">
            <v>18</v>
          </cell>
          <cell r="FT37">
            <v>37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  <cell r="FS38">
            <v>20</v>
          </cell>
          <cell r="FT38">
            <v>42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</row>
        <row r="47">
          <cell r="FT47">
            <v>639</v>
          </cell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K58"/>
        </row>
        <row r="70">
          <cell r="FT70">
            <v>5615</v>
          </cell>
        </row>
        <row r="71">
          <cell r="FT71">
            <v>7914</v>
          </cell>
        </row>
        <row r="73">
          <cell r="FT73">
            <v>566</v>
          </cell>
        </row>
        <row r="74">
          <cell r="FT74">
            <v>797</v>
          </cell>
        </row>
      </sheetData>
      <sheetData sheetId="37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AJ57"/>
        </row>
        <row r="58">
          <cell r="AJ58"/>
        </row>
      </sheetData>
      <sheetData sheetId="38">
        <row r="4">
          <cell r="FT4">
            <v>61</v>
          </cell>
        </row>
        <row r="5">
          <cell r="FT5">
            <v>61</v>
          </cell>
        </row>
        <row r="8">
          <cell r="FT8"/>
        </row>
        <row r="9">
          <cell r="FT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</row>
        <row r="22">
          <cell r="FT22">
            <v>3952</v>
          </cell>
        </row>
        <row r="23">
          <cell r="FT23">
            <v>3963</v>
          </cell>
        </row>
        <row r="27">
          <cell r="FT27">
            <v>148</v>
          </cell>
        </row>
        <row r="28">
          <cell r="FT28">
            <v>154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</row>
        <row r="47">
          <cell r="FT47">
            <v>5837</v>
          </cell>
        </row>
        <row r="48">
          <cell r="FT48">
            <v>518</v>
          </cell>
        </row>
        <row r="52">
          <cell r="FT52">
            <v>862</v>
          </cell>
        </row>
        <row r="53">
          <cell r="FT53"/>
        </row>
        <row r="57">
          <cell r="FT57"/>
        </row>
        <row r="58">
          <cell r="BF58"/>
        </row>
      </sheetData>
      <sheetData sheetId="39">
        <row r="4">
          <cell r="FT4">
            <v>131</v>
          </cell>
        </row>
        <row r="5">
          <cell r="FT5">
            <v>131</v>
          </cell>
        </row>
        <row r="8">
          <cell r="FT8"/>
        </row>
        <row r="9">
          <cell r="FT9"/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</row>
        <row r="22">
          <cell r="FT22">
            <v>9146</v>
          </cell>
        </row>
        <row r="23">
          <cell r="FT23">
            <v>9172</v>
          </cell>
        </row>
        <row r="27">
          <cell r="FT27">
            <v>275</v>
          </cell>
        </row>
        <row r="28">
          <cell r="FT28">
            <v>268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4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T4">
            <v>926</v>
          </cell>
        </row>
        <row r="5">
          <cell r="FT5">
            <v>921</v>
          </cell>
        </row>
        <row r="8">
          <cell r="FT8"/>
        </row>
        <row r="9">
          <cell r="FT9">
            <v>4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  <cell r="FS15">
            <v>152</v>
          </cell>
          <cell r="FT15">
            <v>100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  <cell r="FS16">
            <v>152</v>
          </cell>
          <cell r="FT16">
            <v>100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</row>
        <row r="22">
          <cell r="FT22">
            <v>56626</v>
          </cell>
        </row>
        <row r="23">
          <cell r="FT23">
            <v>57166</v>
          </cell>
        </row>
        <row r="27">
          <cell r="FT27">
            <v>2450</v>
          </cell>
        </row>
        <row r="28">
          <cell r="FT28">
            <v>2482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  <cell r="FS32">
            <v>9734</v>
          </cell>
          <cell r="FT32">
            <v>6677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  <cell r="FS33">
            <v>10134</v>
          </cell>
          <cell r="FT33">
            <v>6305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  <cell r="FS37">
            <v>134</v>
          </cell>
          <cell r="FT37">
            <v>136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  <cell r="FS38">
            <v>156</v>
          </cell>
          <cell r="FT38">
            <v>154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  <row r="70">
          <cell r="FT70">
            <v>20980</v>
          </cell>
        </row>
        <row r="71">
          <cell r="FT71">
            <v>36186</v>
          </cell>
        </row>
        <row r="73">
          <cell r="FT73">
            <v>2314</v>
          </cell>
        </row>
        <row r="74">
          <cell r="FT74">
            <v>3991</v>
          </cell>
        </row>
      </sheetData>
      <sheetData sheetId="43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G58"/>
        </row>
      </sheetData>
      <sheetData sheetId="44">
        <row r="4">
          <cell r="FT4">
            <v>220</v>
          </cell>
        </row>
        <row r="5">
          <cell r="FT5">
            <v>219</v>
          </cell>
        </row>
        <row r="8">
          <cell r="FT8"/>
        </row>
        <row r="9">
          <cell r="FT9"/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</row>
        <row r="22">
          <cell r="FT22">
            <v>12602</v>
          </cell>
        </row>
        <row r="23">
          <cell r="FT23">
            <v>12353</v>
          </cell>
        </row>
        <row r="27">
          <cell r="FT27">
            <v>666</v>
          </cell>
        </row>
        <row r="28">
          <cell r="FT28">
            <v>708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45">
        <row r="4">
          <cell r="FT4">
            <v>227</v>
          </cell>
        </row>
        <row r="5">
          <cell r="FT5">
            <v>227</v>
          </cell>
        </row>
        <row r="8">
          <cell r="FT8"/>
        </row>
        <row r="9">
          <cell r="FT9"/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</row>
        <row r="22">
          <cell r="FT22">
            <v>14815</v>
          </cell>
        </row>
        <row r="23">
          <cell r="FT23">
            <v>14522</v>
          </cell>
        </row>
        <row r="27">
          <cell r="FT27">
            <v>438</v>
          </cell>
        </row>
        <row r="28">
          <cell r="FT28">
            <v>478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</sheetData>
      <sheetData sheetId="46">
        <row r="8">
          <cell r="FT8"/>
        </row>
        <row r="9">
          <cell r="FT9"/>
        </row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  <cell r="FS15">
            <v>90</v>
          </cell>
          <cell r="FT15">
            <v>91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  <cell r="FS16">
            <v>90</v>
          </cell>
          <cell r="FT16">
            <v>91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  <cell r="FS32">
            <v>5746</v>
          </cell>
          <cell r="FT32">
            <v>6179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  <cell r="FS33">
            <v>6122</v>
          </cell>
          <cell r="FT33">
            <v>5525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  <cell r="FS37">
            <v>46</v>
          </cell>
          <cell r="FT37">
            <v>54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  <cell r="FS38">
            <v>40</v>
          </cell>
          <cell r="FT38">
            <v>59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</row>
        <row r="47">
          <cell r="FT47">
            <v>1470</v>
          </cell>
        </row>
        <row r="48">
          <cell r="FT48"/>
        </row>
        <row r="52">
          <cell r="FT52">
            <v>1415</v>
          </cell>
        </row>
        <row r="53">
          <cell r="FT53"/>
        </row>
      </sheetData>
      <sheetData sheetId="47">
        <row r="4">
          <cell r="FT4">
            <v>4260</v>
          </cell>
        </row>
        <row r="5">
          <cell r="FT5">
            <v>4258</v>
          </cell>
        </row>
        <row r="8">
          <cell r="FT8"/>
        </row>
        <row r="9">
          <cell r="FT9">
            <v>4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  <cell r="FS15">
            <v>126</v>
          </cell>
          <cell r="FT15">
            <v>141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  <cell r="FS16">
            <v>126</v>
          </cell>
          <cell r="FT16">
            <v>142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</row>
        <row r="22">
          <cell r="FT22">
            <v>205459</v>
          </cell>
        </row>
        <row r="23">
          <cell r="FT23">
            <v>206931</v>
          </cell>
        </row>
        <row r="27">
          <cell r="FT27">
            <v>8186</v>
          </cell>
        </row>
        <row r="28">
          <cell r="FT28">
            <v>7862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  <cell r="FS32">
            <v>7659</v>
          </cell>
          <cell r="FT32">
            <v>9166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  <cell r="FS33">
            <v>8116</v>
          </cell>
          <cell r="FT33">
            <v>8964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  <cell r="FS37">
            <v>59</v>
          </cell>
          <cell r="FT37">
            <v>101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  <cell r="FS38">
            <v>60</v>
          </cell>
          <cell r="FT38">
            <v>98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  <row r="70">
          <cell r="FT70">
            <v>58355</v>
          </cell>
        </row>
        <row r="71">
          <cell r="FT71">
            <v>148576</v>
          </cell>
        </row>
        <row r="73">
          <cell r="FT73">
            <v>2528</v>
          </cell>
        </row>
        <row r="74">
          <cell r="FT74">
            <v>6436</v>
          </cell>
        </row>
      </sheetData>
      <sheetData sheetId="48">
        <row r="4">
          <cell r="FT4">
            <v>38</v>
          </cell>
        </row>
        <row r="5">
          <cell r="FT5">
            <v>38</v>
          </cell>
        </row>
        <row r="8">
          <cell r="FT8"/>
        </row>
        <row r="9">
          <cell r="FT9"/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</row>
        <row r="22">
          <cell r="FT22">
            <v>2472</v>
          </cell>
        </row>
        <row r="23">
          <cell r="FT23">
            <v>2665</v>
          </cell>
        </row>
        <row r="27">
          <cell r="FT27">
            <v>103</v>
          </cell>
        </row>
        <row r="28">
          <cell r="FT28">
            <v>55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49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</row>
      </sheetData>
      <sheetData sheetId="50">
        <row r="4">
          <cell r="FT4">
            <v>32</v>
          </cell>
        </row>
        <row r="5">
          <cell r="FT5">
            <v>32</v>
          </cell>
        </row>
        <row r="8">
          <cell r="FT8"/>
        </row>
        <row r="9">
          <cell r="FT9"/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</row>
        <row r="22">
          <cell r="FT22">
            <v>2021</v>
          </cell>
        </row>
        <row r="23">
          <cell r="FT23">
            <v>1931</v>
          </cell>
        </row>
        <row r="27">
          <cell r="FT27">
            <v>126</v>
          </cell>
        </row>
        <row r="28">
          <cell r="FT28">
            <v>142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</row>
        <row r="47">
          <cell r="FT47">
            <v>704</v>
          </cell>
        </row>
        <row r="48">
          <cell r="FT48">
            <v>1</v>
          </cell>
        </row>
        <row r="52">
          <cell r="FT52"/>
        </row>
        <row r="53">
          <cell r="FT53"/>
        </row>
        <row r="57">
          <cell r="FT57"/>
        </row>
        <row r="58">
          <cell r="FT58"/>
        </row>
      </sheetData>
      <sheetData sheetId="51">
        <row r="4">
          <cell r="FT4">
            <v>31</v>
          </cell>
        </row>
        <row r="5">
          <cell r="FT5">
            <v>31</v>
          </cell>
        </row>
        <row r="8">
          <cell r="FT8"/>
        </row>
        <row r="9">
          <cell r="FT9"/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</row>
        <row r="22">
          <cell r="FT22">
            <v>2081</v>
          </cell>
        </row>
        <row r="23">
          <cell r="FT23">
            <v>2101</v>
          </cell>
        </row>
        <row r="27">
          <cell r="FT27">
            <v>87</v>
          </cell>
        </row>
        <row r="28">
          <cell r="FT28">
            <v>95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</row>
        <row r="47">
          <cell r="FT47"/>
        </row>
        <row r="48">
          <cell r="FT48"/>
        </row>
        <row r="52">
          <cell r="FT52">
            <v>220</v>
          </cell>
        </row>
        <row r="53">
          <cell r="FT53"/>
        </row>
        <row r="57">
          <cell r="FT57"/>
        </row>
        <row r="58">
          <cell r="FT58"/>
        </row>
      </sheetData>
      <sheetData sheetId="52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H58"/>
        </row>
        <row r="70">
          <cell r="FT70"/>
        </row>
        <row r="71">
          <cell r="FT71"/>
        </row>
        <row r="73">
          <cell r="FT73"/>
        </row>
        <row r="74">
          <cell r="FT74"/>
        </row>
      </sheetData>
      <sheetData sheetId="53">
        <row r="4">
          <cell r="FT4"/>
        </row>
        <row r="5">
          <cell r="FT5"/>
        </row>
        <row r="8">
          <cell r="FT8"/>
        </row>
        <row r="9">
          <cell r="FT9"/>
        </row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22">
          <cell r="FT22"/>
        </row>
        <row r="23">
          <cell r="FT23"/>
        </row>
        <row r="27">
          <cell r="FT27"/>
        </row>
        <row r="28">
          <cell r="FT28"/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BG58"/>
        </row>
      </sheetData>
      <sheetData sheetId="54"/>
      <sheetData sheetId="55"/>
      <sheetData sheetId="56"/>
      <sheetData sheetId="57">
        <row r="4">
          <cell r="FT4"/>
        </row>
        <row r="5">
          <cell r="FT5"/>
        </row>
        <row r="15">
          <cell r="FN15"/>
          <cell r="FO15"/>
          <cell r="FP15"/>
          <cell r="FQ15"/>
          <cell r="FR15"/>
          <cell r="FT15"/>
        </row>
        <row r="16">
          <cell r="FN16"/>
          <cell r="FO16"/>
          <cell r="FP16"/>
          <cell r="FQ16"/>
          <cell r="FR16"/>
          <cell r="FT16"/>
        </row>
        <row r="22">
          <cell r="FT22"/>
        </row>
        <row r="23">
          <cell r="FT23"/>
        </row>
        <row r="32">
          <cell r="FN32"/>
          <cell r="FO32"/>
          <cell r="FP32"/>
          <cell r="FQ32"/>
          <cell r="FR32"/>
          <cell r="FS32"/>
          <cell r="FT32"/>
        </row>
        <row r="33">
          <cell r="FN33"/>
          <cell r="FO33"/>
          <cell r="FP33"/>
          <cell r="FQ33"/>
          <cell r="FR33"/>
          <cell r="FS33"/>
          <cell r="FT33"/>
        </row>
        <row r="37">
          <cell r="FN37"/>
          <cell r="FO37"/>
          <cell r="FP37"/>
          <cell r="FQ37"/>
          <cell r="FR37"/>
          <cell r="FS37"/>
          <cell r="FT37"/>
        </row>
        <row r="38">
          <cell r="FN38"/>
          <cell r="FO38"/>
          <cell r="FP38"/>
          <cell r="FQ38"/>
          <cell r="FR38"/>
          <cell r="FS38"/>
          <cell r="FT38"/>
        </row>
      </sheetData>
      <sheetData sheetId="58">
        <row r="4">
          <cell r="FT4"/>
        </row>
        <row r="5">
          <cell r="FT5"/>
        </row>
        <row r="15">
          <cell r="FT15"/>
        </row>
        <row r="16">
          <cell r="FT16"/>
        </row>
        <row r="22">
          <cell r="FT22"/>
        </row>
        <row r="23">
          <cell r="FT23"/>
        </row>
        <row r="32">
          <cell r="FT32"/>
        </row>
        <row r="33">
          <cell r="FT33"/>
        </row>
      </sheetData>
      <sheetData sheetId="59">
        <row r="15">
          <cell r="FN15"/>
          <cell r="FO15"/>
          <cell r="FP15"/>
          <cell r="FQ15"/>
          <cell r="FR15"/>
          <cell r="FT15"/>
        </row>
        <row r="16">
          <cell r="FN16"/>
          <cell r="FO16"/>
          <cell r="FP16"/>
          <cell r="FQ16"/>
          <cell r="FR16"/>
          <cell r="FT16"/>
        </row>
        <row r="32">
          <cell r="FN32"/>
          <cell r="FO32"/>
          <cell r="FP32"/>
          <cell r="FQ32"/>
          <cell r="FR32"/>
          <cell r="FS32"/>
          <cell r="FT32"/>
        </row>
        <row r="33">
          <cell r="FN33"/>
          <cell r="FO33"/>
          <cell r="FP33"/>
          <cell r="FQ33"/>
          <cell r="FR33"/>
          <cell r="FS33"/>
          <cell r="FT33"/>
        </row>
        <row r="37">
          <cell r="FN37"/>
          <cell r="FO37"/>
          <cell r="FP37"/>
          <cell r="FQ37"/>
          <cell r="FR37"/>
          <cell r="FS37"/>
          <cell r="FT37"/>
        </row>
        <row r="38">
          <cell r="FN38"/>
          <cell r="FO38"/>
          <cell r="FP38"/>
          <cell r="FQ38"/>
          <cell r="FR38"/>
          <cell r="FS38"/>
          <cell r="FT38"/>
        </row>
      </sheetData>
      <sheetData sheetId="60">
        <row r="4">
          <cell r="FT4">
            <v>30</v>
          </cell>
        </row>
        <row r="5">
          <cell r="FT5">
            <v>30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  <cell r="FT19">
            <v>60</v>
          </cell>
        </row>
        <row r="47">
          <cell r="FT47">
            <v>1090432</v>
          </cell>
        </row>
        <row r="48">
          <cell r="FT48"/>
        </row>
        <row r="52">
          <cell r="FT52">
            <v>957802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</row>
      </sheetData>
      <sheetData sheetId="61">
        <row r="4">
          <cell r="FT4">
            <v>2</v>
          </cell>
        </row>
        <row r="5">
          <cell r="FT5">
            <v>2</v>
          </cell>
        </row>
        <row r="15">
          <cell r="FN15"/>
          <cell r="FO15"/>
          <cell r="FP15"/>
          <cell r="FQ15"/>
          <cell r="FR15"/>
          <cell r="FT15"/>
        </row>
        <row r="16">
          <cell r="FN16"/>
          <cell r="FO16"/>
          <cell r="FP16"/>
          <cell r="FQ16"/>
          <cell r="FR16"/>
          <cell r="FT16"/>
        </row>
        <row r="22">
          <cell r="FT22">
            <v>122</v>
          </cell>
        </row>
        <row r="23">
          <cell r="FT23">
            <v>122</v>
          </cell>
        </row>
        <row r="32">
          <cell r="FN32"/>
          <cell r="FO32"/>
          <cell r="FP32"/>
          <cell r="FQ32">
            <v>37</v>
          </cell>
          <cell r="FR32"/>
          <cell r="FS32"/>
          <cell r="FT32"/>
        </row>
        <row r="33">
          <cell r="FN33"/>
          <cell r="FO33"/>
          <cell r="FP33"/>
          <cell r="FQ33"/>
          <cell r="FR33"/>
          <cell r="FS33"/>
          <cell r="FT33"/>
        </row>
        <row r="37">
          <cell r="FN37"/>
          <cell r="FO37"/>
          <cell r="FP37"/>
          <cell r="FQ37"/>
          <cell r="FR37"/>
          <cell r="FS37"/>
          <cell r="FT37"/>
        </row>
        <row r="38">
          <cell r="FN38"/>
          <cell r="FO38"/>
          <cell r="FP38"/>
          <cell r="FQ38"/>
          <cell r="FR38"/>
          <cell r="FS38"/>
          <cell r="FT38"/>
        </row>
      </sheetData>
      <sheetData sheetId="62"/>
      <sheetData sheetId="63">
        <row r="4">
          <cell r="FT4">
            <v>22</v>
          </cell>
        </row>
        <row r="5">
          <cell r="FT5">
            <v>22</v>
          </cell>
        </row>
        <row r="19"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  <cell r="FT19">
            <v>44</v>
          </cell>
        </row>
        <row r="47">
          <cell r="FT47">
            <v>835658</v>
          </cell>
        </row>
        <row r="48">
          <cell r="FT48"/>
        </row>
        <row r="52">
          <cell r="FT52">
            <v>535740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</row>
      </sheetData>
      <sheetData sheetId="64">
        <row r="4">
          <cell r="FT4">
            <v>20</v>
          </cell>
        </row>
        <row r="5">
          <cell r="FT5">
            <v>20</v>
          </cell>
        </row>
        <row r="15">
          <cell r="FT15"/>
        </row>
        <row r="19"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N19">
            <v>38</v>
          </cell>
          <cell r="FO19">
            <v>52</v>
          </cell>
          <cell r="FP19">
            <v>48</v>
          </cell>
          <cell r="FQ19">
            <v>40</v>
          </cell>
          <cell r="FR19">
            <v>44</v>
          </cell>
          <cell r="FS19">
            <v>40</v>
          </cell>
          <cell r="FT19">
            <v>40</v>
          </cell>
        </row>
        <row r="47">
          <cell r="FT47">
            <v>23746</v>
          </cell>
        </row>
        <row r="48">
          <cell r="FT48"/>
        </row>
        <row r="52">
          <cell r="FT52">
            <v>45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</row>
      </sheetData>
      <sheetData sheetId="65">
        <row r="15">
          <cell r="FT15"/>
        </row>
        <row r="16">
          <cell r="FT16"/>
        </row>
        <row r="19"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</row>
        <row r="47">
          <cell r="FT47"/>
        </row>
        <row r="48">
          <cell r="FT48"/>
        </row>
        <row r="52">
          <cell r="FT52"/>
        </row>
        <row r="53">
          <cell r="FT53"/>
        </row>
        <row r="57">
          <cell r="FT57"/>
        </row>
        <row r="58">
          <cell r="FT58"/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</row>
      </sheetData>
      <sheetData sheetId="66">
        <row r="4">
          <cell r="FT4">
            <v>106</v>
          </cell>
        </row>
        <row r="5">
          <cell r="FT5">
            <v>106</v>
          </cell>
        </row>
        <row r="15">
          <cell r="FT15"/>
        </row>
        <row r="19"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  <cell r="FT19">
            <v>212</v>
          </cell>
        </row>
        <row r="47">
          <cell r="FT47">
            <v>8162583</v>
          </cell>
        </row>
        <row r="48">
          <cell r="FT48">
            <v>64701</v>
          </cell>
        </row>
        <row r="52">
          <cell r="FT52">
            <v>7699026</v>
          </cell>
        </row>
        <row r="53">
          <cell r="FT53">
            <v>4950</v>
          </cell>
        </row>
        <row r="57">
          <cell r="FT57"/>
        </row>
        <row r="58">
          <cell r="FT58"/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</row>
      </sheetData>
      <sheetData sheetId="67">
        <row r="4">
          <cell r="FT4">
            <v>104</v>
          </cell>
        </row>
        <row r="5">
          <cell r="FT5">
            <v>104</v>
          </cell>
        </row>
        <row r="15">
          <cell r="FT15">
            <v>17</v>
          </cell>
        </row>
        <row r="16">
          <cell r="FT16">
            <v>17</v>
          </cell>
        </row>
        <row r="19"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  <cell r="FT19">
            <v>242</v>
          </cell>
        </row>
        <row r="47">
          <cell r="FT47">
            <v>6011671</v>
          </cell>
        </row>
        <row r="48">
          <cell r="FT48">
            <v>1163</v>
          </cell>
        </row>
        <row r="52">
          <cell r="FT52">
            <v>4762794</v>
          </cell>
        </row>
        <row r="53">
          <cell r="FT53">
            <v>479851</v>
          </cell>
        </row>
        <row r="57">
          <cell r="FT57"/>
        </row>
        <row r="58">
          <cell r="FT58"/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</row>
      </sheetData>
      <sheetData sheetId="68"/>
      <sheetData sheetId="69"/>
      <sheetData sheetId="70"/>
      <sheetData sheetId="71">
        <row r="4">
          <cell r="FT4">
            <v>268</v>
          </cell>
        </row>
        <row r="5">
          <cell r="FT5">
            <v>268</v>
          </cell>
        </row>
        <row r="19"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N19">
            <v>614</v>
          </cell>
          <cell r="FO19">
            <v>520</v>
          </cell>
          <cell r="FP19">
            <v>554</v>
          </cell>
          <cell r="FQ19">
            <v>520</v>
          </cell>
          <cell r="FR19">
            <v>590</v>
          </cell>
          <cell r="FS19">
            <v>540</v>
          </cell>
          <cell r="FT19">
            <v>536</v>
          </cell>
        </row>
      </sheetData>
      <sheetData sheetId="72">
        <row r="4">
          <cell r="FT4"/>
        </row>
        <row r="5">
          <cell r="FT5">
            <v>1</v>
          </cell>
        </row>
        <row r="19"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4</v>
          </cell>
          <cell r="FS19">
            <v>0</v>
          </cell>
          <cell r="FT19">
            <v>1</v>
          </cell>
        </row>
        <row r="47">
          <cell r="FT47"/>
        </row>
        <row r="48">
          <cell r="FT48"/>
        </row>
        <row r="52">
          <cell r="FT52">
            <v>1371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</row>
      </sheetData>
      <sheetData sheetId="73">
        <row r="4">
          <cell r="FT4">
            <v>19</v>
          </cell>
        </row>
        <row r="5">
          <cell r="FT5">
            <v>19</v>
          </cell>
        </row>
        <row r="19"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N19">
            <v>38</v>
          </cell>
          <cell r="FO19">
            <v>38</v>
          </cell>
          <cell r="FP19">
            <v>38</v>
          </cell>
          <cell r="FQ19">
            <v>38</v>
          </cell>
          <cell r="FR19">
            <v>44</v>
          </cell>
          <cell r="FS19">
            <v>44</v>
          </cell>
          <cell r="FT19">
            <v>38</v>
          </cell>
        </row>
        <row r="47">
          <cell r="FT47">
            <v>139764</v>
          </cell>
        </row>
        <row r="48">
          <cell r="FT48"/>
        </row>
        <row r="52">
          <cell r="FT52">
            <v>58146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</row>
      </sheetData>
      <sheetData sheetId="74">
        <row r="4">
          <cell r="FT4">
            <v>44</v>
          </cell>
        </row>
        <row r="5">
          <cell r="FT5">
            <v>44</v>
          </cell>
        </row>
        <row r="8">
          <cell r="FT8"/>
        </row>
        <row r="9">
          <cell r="FT9">
            <v>3</v>
          </cell>
        </row>
        <row r="19"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N19">
            <v>48</v>
          </cell>
          <cell r="FO19">
            <v>1</v>
          </cell>
          <cell r="FP19">
            <v>88</v>
          </cell>
          <cell r="FQ19">
            <v>90</v>
          </cell>
          <cell r="FR19">
            <v>88</v>
          </cell>
          <cell r="FS19">
            <v>83</v>
          </cell>
          <cell r="FT19">
            <v>91</v>
          </cell>
        </row>
        <row r="47">
          <cell r="FT47">
            <v>76487</v>
          </cell>
        </row>
        <row r="48">
          <cell r="FT48"/>
        </row>
        <row r="52">
          <cell r="FT52">
            <v>48107</v>
          </cell>
        </row>
        <row r="53">
          <cell r="FT53"/>
        </row>
        <row r="57">
          <cell r="FT57"/>
        </row>
        <row r="58">
          <cell r="FT58"/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</row>
      </sheetData>
      <sheetData sheetId="75">
        <row r="4">
          <cell r="FT4">
            <v>45</v>
          </cell>
        </row>
        <row r="5">
          <cell r="FT5">
            <v>45</v>
          </cell>
        </row>
      </sheetData>
      <sheetData sheetId="76">
        <row r="4">
          <cell r="FT4">
            <v>826</v>
          </cell>
        </row>
        <row r="5">
          <cell r="FT5">
            <v>827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43282</v>
      </c>
      <c r="B2" s="17"/>
      <c r="C2" s="17"/>
      <c r="D2" s="520" t="s">
        <v>211</v>
      </c>
      <c r="E2" s="520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21"/>
      <c r="E3" s="522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1426800</v>
      </c>
      <c r="C5" s="296">
        <f>'Major Airline Stats'!K5</f>
        <v>1423805</v>
      </c>
      <c r="D5" s="5">
        <f>'Major Airline Stats'!K6</f>
        <v>2850605</v>
      </c>
      <c r="E5" s="9">
        <f>'[1]Monthly Summary'!D5</f>
        <v>2877387</v>
      </c>
      <c r="F5" s="39">
        <f>(D5-E5)/E5</f>
        <v>-9.3077503999288245E-3</v>
      </c>
      <c r="G5" s="9">
        <f>+D5+'[2]Monthly Summary'!G5</f>
        <v>16895175</v>
      </c>
      <c r="H5" s="9">
        <f>'[1]Monthly Summary'!G5</f>
        <v>16986918</v>
      </c>
      <c r="I5" s="85">
        <f>(G5-H5)/H5</f>
        <v>-5.4008031356835894E-3</v>
      </c>
      <c r="J5" s="9"/>
    </row>
    <row r="6" spans="1:14" x14ac:dyDescent="0.2">
      <c r="A6" s="67" t="s">
        <v>5</v>
      </c>
      <c r="B6" s="294">
        <f>'Regional Major'!M5</f>
        <v>346604</v>
      </c>
      <c r="C6" s="294">
        <f>'Regional Major'!M6</f>
        <v>346620</v>
      </c>
      <c r="D6" s="5">
        <f>B6+C6</f>
        <v>693224</v>
      </c>
      <c r="E6" s="9">
        <f>'[1]Monthly Summary'!D6</f>
        <v>658031</v>
      </c>
      <c r="F6" s="39">
        <f>(D6-E6)/E6</f>
        <v>5.3482282749596904E-2</v>
      </c>
      <c r="G6" s="9">
        <f>+D6+'[2]Monthly Summary'!G6</f>
        <v>4572378</v>
      </c>
      <c r="H6" s="9">
        <f>'[1]Monthly Summary'!G6</f>
        <v>4474367</v>
      </c>
      <c r="I6" s="85">
        <f>(G6-H6)/H6</f>
        <v>2.1904997958370424E-2</v>
      </c>
      <c r="J6" s="20"/>
      <c r="K6" s="2"/>
    </row>
    <row r="7" spans="1:14" x14ac:dyDescent="0.2">
      <c r="A7" s="67" t="s">
        <v>6</v>
      </c>
      <c r="B7" s="9">
        <f>Charter!G5</f>
        <v>122</v>
      </c>
      <c r="C7" s="295">
        <f>Charter!G6</f>
        <v>122</v>
      </c>
      <c r="D7" s="5">
        <f>B7+C7</f>
        <v>244</v>
      </c>
      <c r="E7" s="9">
        <f>'[1]Monthly Summary'!D7</f>
        <v>324</v>
      </c>
      <c r="F7" s="39">
        <f>(D7-E7)/E7</f>
        <v>-0.24691358024691357</v>
      </c>
      <c r="G7" s="9">
        <f>+D7+'[2]Monthly Summary'!G7</f>
        <v>3087</v>
      </c>
      <c r="H7" s="9">
        <f>'[1]Monthly Summary'!G7</f>
        <v>3239</v>
      </c>
      <c r="I7" s="85">
        <f>(G7-H7)/H7</f>
        <v>-4.6928064217351032E-2</v>
      </c>
      <c r="J7" s="20"/>
      <c r="K7" s="2"/>
    </row>
    <row r="8" spans="1:14" x14ac:dyDescent="0.2">
      <c r="A8" s="70" t="s">
        <v>7</v>
      </c>
      <c r="B8" s="148">
        <f>SUM(B5:B7)</f>
        <v>1773526</v>
      </c>
      <c r="C8" s="148">
        <f>SUM(C5:C7)</f>
        <v>1770547</v>
      </c>
      <c r="D8" s="148">
        <f>SUM(D5:D7)</f>
        <v>3544073</v>
      </c>
      <c r="E8" s="148">
        <f>SUM(E5:E7)</f>
        <v>3535742</v>
      </c>
      <c r="F8" s="92">
        <f>(D8-E8)/E8</f>
        <v>2.3562239552546538E-3</v>
      </c>
      <c r="G8" s="148">
        <f>SUM(G5:G7)</f>
        <v>21470640</v>
      </c>
      <c r="H8" s="148">
        <f>SUM(H5:H7)</f>
        <v>21464524</v>
      </c>
      <c r="I8" s="91">
        <f>(G8-H8)/H8</f>
        <v>2.8493527273188075E-4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60710</v>
      </c>
      <c r="C10" s="297">
        <f>'Major Airline Stats'!K10+'Regional Major'!M11</f>
        <v>60225</v>
      </c>
      <c r="D10" s="120">
        <f>SUM(B10:C10)</f>
        <v>120935</v>
      </c>
      <c r="E10" s="120">
        <f>'[1]Monthly Summary'!D10</f>
        <v>125828</v>
      </c>
      <c r="F10" s="93">
        <f>(D10-E10)/E10</f>
        <v>-3.8886416377912708E-2</v>
      </c>
      <c r="G10" s="509">
        <f>+D10+'[2]Monthly Summary'!G10</f>
        <v>737835</v>
      </c>
      <c r="H10" s="120">
        <f>'[1]Monthly Summary'!G10</f>
        <v>727919</v>
      </c>
      <c r="I10" s="96">
        <f>(G10-H10)/H10</f>
        <v>1.3622394799421364E-2</v>
      </c>
      <c r="J10" s="264"/>
    </row>
    <row r="11" spans="1:14" ht="15.75" thickBot="1" x14ac:dyDescent="0.3">
      <c r="A11" s="69" t="s">
        <v>13</v>
      </c>
      <c r="B11" s="273">
        <f>B10+B8</f>
        <v>1834236</v>
      </c>
      <c r="C11" s="273">
        <f>C10+C8</f>
        <v>1830772</v>
      </c>
      <c r="D11" s="273">
        <f>D10+D8</f>
        <v>3665008</v>
      </c>
      <c r="E11" s="273">
        <f>E10+E8</f>
        <v>3661570</v>
      </c>
      <c r="F11" s="94">
        <f>(D11-E11)/E11</f>
        <v>9.3894149231067551E-4</v>
      </c>
      <c r="G11" s="273">
        <f>G8+G10</f>
        <v>22208475</v>
      </c>
      <c r="H11" s="273">
        <f>H8+H10</f>
        <v>22192443</v>
      </c>
      <c r="I11" s="97">
        <f>(G11-H11)/H11</f>
        <v>7.2240807377538382E-4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0" t="s">
        <v>211</v>
      </c>
      <c r="E13" s="520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21"/>
      <c r="E14" s="522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10559</v>
      </c>
      <c r="C16" s="305">
        <f>'Major Airline Stats'!K16+'Major Airline Stats'!K20</f>
        <v>10559</v>
      </c>
      <c r="D16" s="47">
        <f t="shared" ref="D16:D21" si="0">SUM(B16:C16)</f>
        <v>21118</v>
      </c>
      <c r="E16" s="9">
        <f>'[1]Monthly Summary'!D16</f>
        <v>21868</v>
      </c>
      <c r="F16" s="95">
        <f t="shared" ref="F16:F22" si="1">(D16-E16)/E16</f>
        <v>-3.4296689226266691E-2</v>
      </c>
      <c r="G16" s="9">
        <f>+D16+'[2]Monthly Summary'!G16</f>
        <v>128377</v>
      </c>
      <c r="H16" s="9">
        <f>'[1]Monthly Summary'!G16</f>
        <v>132257</v>
      </c>
      <c r="I16" s="262">
        <f t="shared" ref="I16:I22" si="2">(G16-H16)/H16</f>
        <v>-2.9336821491490053E-2</v>
      </c>
      <c r="N16" s="130"/>
    </row>
    <row r="17" spans="1:12" x14ac:dyDescent="0.2">
      <c r="A17" s="68" t="s">
        <v>5</v>
      </c>
      <c r="B17" s="47">
        <f>'Regional Major'!M15+'Regional Major'!M18</f>
        <v>6502</v>
      </c>
      <c r="C17" s="47">
        <f>'Regional Major'!M16+'Regional Major'!M19</f>
        <v>6503</v>
      </c>
      <c r="D17" s="47">
        <f>SUM(B17:C17)</f>
        <v>13005</v>
      </c>
      <c r="E17" s="9">
        <f>'[1]Monthly Summary'!D17</f>
        <v>12875</v>
      </c>
      <c r="F17" s="95">
        <f t="shared" si="1"/>
        <v>1.0097087378640776E-2</v>
      </c>
      <c r="G17" s="9">
        <f>+D17+'[2]Monthly Summary'!G17</f>
        <v>88154</v>
      </c>
      <c r="H17" s="9">
        <f>'[1]Monthly Summary'!G17</f>
        <v>88822</v>
      </c>
      <c r="I17" s="262">
        <f t="shared" si="2"/>
        <v>-7.5206592961203304E-3</v>
      </c>
    </row>
    <row r="18" spans="1:12" x14ac:dyDescent="0.2">
      <c r="A18" s="68" t="s">
        <v>10</v>
      </c>
      <c r="B18" s="47">
        <f>Charter!G10</f>
        <v>2</v>
      </c>
      <c r="C18" s="47">
        <f>Charter!G11</f>
        <v>2</v>
      </c>
      <c r="D18" s="47">
        <f t="shared" si="0"/>
        <v>4</v>
      </c>
      <c r="E18" s="9">
        <f>'[1]Monthly Summary'!D18</f>
        <v>2</v>
      </c>
      <c r="F18" s="95">
        <f t="shared" si="1"/>
        <v>1</v>
      </c>
      <c r="G18" s="9">
        <f>+D18+'[2]Monthly Summary'!G18</f>
        <v>26</v>
      </c>
      <c r="H18" s="9">
        <f>'[1]Monthly Summary'!G18</f>
        <v>24</v>
      </c>
      <c r="I18" s="262">
        <f t="shared" si="2"/>
        <v>8.3333333333333329E-2</v>
      </c>
    </row>
    <row r="19" spans="1:12" x14ac:dyDescent="0.2">
      <c r="A19" s="68" t="s">
        <v>11</v>
      </c>
      <c r="B19" s="47">
        <f>Cargo!N4</f>
        <v>630</v>
      </c>
      <c r="C19" s="47">
        <f>Cargo!N5</f>
        <v>631</v>
      </c>
      <c r="D19" s="47">
        <f t="shared" si="0"/>
        <v>1261</v>
      </c>
      <c r="E19" s="9">
        <f>'[1]Monthly Summary'!D19</f>
        <v>1146</v>
      </c>
      <c r="F19" s="95">
        <f t="shared" si="1"/>
        <v>0.10034904013961606</v>
      </c>
      <c r="G19" s="9">
        <f>+D19+'[2]Monthly Summary'!G19</f>
        <v>8625</v>
      </c>
      <c r="H19" s="9">
        <f>'[1]Monthly Summary'!G19</f>
        <v>8368</v>
      </c>
      <c r="I19" s="262">
        <f t="shared" si="2"/>
        <v>3.071223709369025E-2</v>
      </c>
    </row>
    <row r="20" spans="1:12" x14ac:dyDescent="0.2">
      <c r="A20" s="68" t="s">
        <v>153</v>
      </c>
      <c r="B20" s="47">
        <f>'[3]General Avation'!$FT$4</f>
        <v>826</v>
      </c>
      <c r="C20" s="47">
        <f>'[3]General Avation'!$FT$5</f>
        <v>827</v>
      </c>
      <c r="D20" s="47">
        <f>SUM(B20:C20)</f>
        <v>1653</v>
      </c>
      <c r="E20" s="9">
        <f>'[1]Monthly Summary'!D20</f>
        <v>2053</v>
      </c>
      <c r="F20" s="95">
        <f t="shared" si="1"/>
        <v>-0.19483682415976619</v>
      </c>
      <c r="G20" s="9">
        <f>+D20+'[2]Monthly Summary'!G20</f>
        <v>11786</v>
      </c>
      <c r="H20" s="9">
        <f>'[1]Monthly Summary'!G20</f>
        <v>12990</v>
      </c>
      <c r="I20" s="262">
        <f t="shared" si="2"/>
        <v>-9.2686682063125483E-2</v>
      </c>
    </row>
    <row r="21" spans="1:12" ht="12.75" customHeight="1" x14ac:dyDescent="0.2">
      <c r="A21" s="68" t="s">
        <v>12</v>
      </c>
      <c r="B21" s="18">
        <f>'[3]Military '!$FT$4</f>
        <v>45</v>
      </c>
      <c r="C21" s="18">
        <f>'[3]Military '!$FT$5</f>
        <v>45</v>
      </c>
      <c r="D21" s="18">
        <f t="shared" si="0"/>
        <v>90</v>
      </c>
      <c r="E21" s="120">
        <f>'[1]Monthly Summary'!D21</f>
        <v>100</v>
      </c>
      <c r="F21" s="260">
        <f t="shared" si="1"/>
        <v>-0.1</v>
      </c>
      <c r="G21" s="120">
        <f>+D21+'[2]Monthly Summary'!G21</f>
        <v>700</v>
      </c>
      <c r="H21" s="120">
        <f>'[1]Monthly Summary'!G21</f>
        <v>375</v>
      </c>
      <c r="I21" s="263">
        <f t="shared" si="2"/>
        <v>0.8666666666666667</v>
      </c>
    </row>
    <row r="22" spans="1:12" ht="15.75" thickBot="1" x14ac:dyDescent="0.3">
      <c r="A22" s="69" t="s">
        <v>28</v>
      </c>
      <c r="B22" s="274">
        <f>SUM(B16:B21)</f>
        <v>18564</v>
      </c>
      <c r="C22" s="274">
        <f>SUM(C16:C21)</f>
        <v>18567</v>
      </c>
      <c r="D22" s="274">
        <f>SUM(D16:D21)</f>
        <v>37131</v>
      </c>
      <c r="E22" s="274">
        <f>SUM(E16:E21)</f>
        <v>38044</v>
      </c>
      <c r="F22" s="270">
        <f t="shared" si="1"/>
        <v>-2.3998528020187152E-2</v>
      </c>
      <c r="G22" s="274">
        <f>SUM(G16:G21)</f>
        <v>237668</v>
      </c>
      <c r="H22" s="274">
        <f>SUM(H16:H21)</f>
        <v>242836</v>
      </c>
      <c r="I22" s="271">
        <f t="shared" si="2"/>
        <v>-2.1281852773064949E-2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0" t="s">
        <v>211</v>
      </c>
      <c r="E24" s="520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21"/>
      <c r="E25" s="522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(Cargo!N16+'Major Airline Stats'!K28+'Regional Major'!M25)*0.00045359237</f>
        <v>10390.0820816177</v>
      </c>
      <c r="C27" s="22">
        <f>(Cargo!N21+'Major Airline Stats'!K33+'Regional Major'!M30)*0.00045359237</f>
        <v>7793.9742746496395</v>
      </c>
      <c r="D27" s="22">
        <f>(SUM(B27:C27)+('Cargo Summary'!E17*0.00045359237))</f>
        <v>18184.056356267341</v>
      </c>
      <c r="E27" s="9">
        <f>'[1]Monthly Summary'!D27</f>
        <v>16308.074063873129</v>
      </c>
      <c r="F27" s="98">
        <f>(D27-E27)/E27</f>
        <v>0.11503395710901441</v>
      </c>
      <c r="G27" s="9">
        <f>+D27+'[2]Monthly Summary'!G27</f>
        <v>119706.34583196367</v>
      </c>
      <c r="H27" s="9">
        <f>'[1]Monthly Summary'!G27</f>
        <v>116279.52714420811</v>
      </c>
      <c r="I27" s="100">
        <f>(G27-H27)/H27</f>
        <v>2.9470524794151146E-2</v>
      </c>
    </row>
    <row r="28" spans="1:12" x14ac:dyDescent="0.2">
      <c r="A28" s="62" t="s">
        <v>16</v>
      </c>
      <c r="B28" s="22">
        <f>(Cargo!N17+'Major Airline Stats'!K29+'Regional Major'!M26)*0.00045359237</f>
        <v>886.01195535314002</v>
      </c>
      <c r="C28" s="22">
        <f>(Cargo!N22+'Major Airline Stats'!K34+'Regional Major'!M31)*0.00045359237</f>
        <v>1224.2480745918499</v>
      </c>
      <c r="D28" s="22">
        <f>SUM(B28:C28)</f>
        <v>2110.26002994499</v>
      </c>
      <c r="E28" s="9">
        <f>'[1]Monthly Summary'!D28</f>
        <v>2446.7030985450901</v>
      </c>
      <c r="F28" s="98">
        <f>(D28-E28)/E28</f>
        <v>-0.13750874341891459</v>
      </c>
      <c r="G28" s="120">
        <f>+D28+'[2]Monthly Summary'!G28</f>
        <v>14836.946094914789</v>
      </c>
      <c r="H28" s="9">
        <f>'[1]Monthly Summary'!G28</f>
        <v>14636.266397802279</v>
      </c>
      <c r="I28" s="100">
        <f>(G28-H28)/H28</f>
        <v>1.3711126298073036E-2</v>
      </c>
    </row>
    <row r="29" spans="1:12" ht="15.75" thickBot="1" x14ac:dyDescent="0.3">
      <c r="A29" s="63" t="s">
        <v>62</v>
      </c>
      <c r="B29" s="54">
        <f>SUM(B27:B28)</f>
        <v>11276.094036970841</v>
      </c>
      <c r="C29" s="54">
        <f>SUM(C27:C28)</f>
        <v>9018.2223492414887</v>
      </c>
      <c r="D29" s="54">
        <f>SUM(D27:D28)</f>
        <v>20294.316386212333</v>
      </c>
      <c r="E29" s="54">
        <f>SUM(E27:E28)</f>
        <v>18754.777162418221</v>
      </c>
      <c r="F29" s="99">
        <f>(D29-E29)/E29</f>
        <v>8.2087844097615811E-2</v>
      </c>
      <c r="G29" s="54">
        <f>SUM(G27:G28)</f>
        <v>134543.29192687845</v>
      </c>
      <c r="H29" s="54">
        <f>SUM(H27:H28)</f>
        <v>130915.79354201039</v>
      </c>
      <c r="I29" s="101">
        <f>(G29-H29)/H29</f>
        <v>2.7708638405831501E-2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9" t="s">
        <v>149</v>
      </c>
      <c r="C31" s="518"/>
      <c r="D31" s="519" t="s">
        <v>156</v>
      </c>
      <c r="E31" s="518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1045862</v>
      </c>
      <c r="C32" s="392">
        <f>B32/C8</f>
        <v>0.59069993623439532</v>
      </c>
      <c r="D32" s="393">
        <f>+B32+'[2]Monthly Summary'!$D$32</f>
        <v>6764324</v>
      </c>
      <c r="E32" s="394">
        <f>+D32/D34</f>
        <v>0.63179719198093121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724685</v>
      </c>
      <c r="C33" s="397">
        <f>+B33/C8</f>
        <v>0.40930006376560463</v>
      </c>
      <c r="D33" s="398">
        <f>+B33+'[2]Monthly Summary'!$D$33</f>
        <v>3942156</v>
      </c>
      <c r="E33" s="399">
        <f>+D33/D34</f>
        <v>0.36820280801906885</v>
      </c>
      <c r="G33" s="408"/>
      <c r="H33" s="408"/>
      <c r="I33" s="407"/>
    </row>
    <row r="34" spans="1:14" ht="13.5" thickBot="1" x14ac:dyDescent="0.25">
      <c r="B34" s="309"/>
      <c r="D34" s="400">
        <f>SUM(D32:D33)</f>
        <v>10706480</v>
      </c>
    </row>
    <row r="35" spans="1:14" ht="13.5" thickBot="1" x14ac:dyDescent="0.25">
      <c r="B35" s="517" t="s">
        <v>230</v>
      </c>
      <c r="C35" s="518"/>
      <c r="D35" s="519" t="s">
        <v>213</v>
      </c>
      <c r="E35" s="518"/>
    </row>
    <row r="36" spans="1:14" x14ac:dyDescent="0.2">
      <c r="A36" s="390" t="s">
        <v>150</v>
      </c>
      <c r="B36" s="391">
        <f>'[1]Monthly Summary'!$B$32</f>
        <v>991162</v>
      </c>
      <c r="C36" s="392">
        <f>+B36/B38</f>
        <v>0.56041071221591787</v>
      </c>
      <c r="D36" s="393">
        <f>'[1]Monthly Summary'!$D$32</f>
        <v>6463916</v>
      </c>
      <c r="E36" s="394">
        <f>+D36/D38</f>
        <v>0.60401945408976665</v>
      </c>
    </row>
    <row r="37" spans="1:14" ht="13.5" thickBot="1" x14ac:dyDescent="0.25">
      <c r="A37" s="395" t="s">
        <v>151</v>
      </c>
      <c r="B37" s="396">
        <f>'[1]Monthly Summary'!$B$33</f>
        <v>777473</v>
      </c>
      <c r="C37" s="399">
        <f>+B37/B38</f>
        <v>0.43958928778408207</v>
      </c>
      <c r="D37" s="398">
        <f>'[1]Monthly Summary'!$D$33</f>
        <v>4237587</v>
      </c>
      <c r="E37" s="399">
        <f>+D37/D38</f>
        <v>0.39598054591023335</v>
      </c>
      <c r="M37" s="13"/>
    </row>
    <row r="38" spans="1:14" x14ac:dyDescent="0.2">
      <c r="B38" s="415">
        <f>+SUM(B36:B37)</f>
        <v>1768635</v>
      </c>
      <c r="D38" s="400">
        <f>SUM(D36:D37)</f>
        <v>10701503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zoomScaleSheetLayoutView="100" workbookViewId="0">
      <selection activeCell="J4" sqref="J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43282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4" t="s">
        <v>144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6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[3]Delta!$FT$32</f>
        <v>88990</v>
      </c>
      <c r="C4" s="21">
        <f>'[3]Atlantic Southeast'!$FT$32</f>
        <v>0</v>
      </c>
      <c r="D4" s="21">
        <f>[3]Pinnacle!$FT$32</f>
        <v>6677</v>
      </c>
      <c r="E4" s="21">
        <f>[3]Compass!$FT$32</f>
        <v>0</v>
      </c>
      <c r="F4" s="21">
        <f>'[3]Sky West'!$FT$32</f>
        <v>9166</v>
      </c>
      <c r="G4" s="21">
        <f>'[3]Go Jet'!$FT$32</f>
        <v>1484</v>
      </c>
      <c r="H4" s="21">
        <f>'[3]Sun Country'!$FT$32</f>
        <v>643</v>
      </c>
      <c r="I4" s="21">
        <f>[3]Icelandair!$FT$32</f>
        <v>7414</v>
      </c>
      <c r="J4" s="21">
        <f>[3]KLM!$FT$32</f>
        <v>4888</v>
      </c>
      <c r="K4" s="21">
        <f>'[3]Air Georgian'!$FT$32</f>
        <v>0</v>
      </c>
      <c r="L4" s="21">
        <f>'[3]Sky Regional'!$FT$32</f>
        <v>6179</v>
      </c>
      <c r="M4" s="21">
        <f>[3]Condor!$FT$32</f>
        <v>4485</v>
      </c>
      <c r="N4" s="21">
        <f>'[3]Air France'!$FT$32</f>
        <v>6560</v>
      </c>
      <c r="O4" s="21">
        <f>'[3]Charter Misc'!$FT$32+[3]Ryan!$FT$32+[3]Omni!$FT$32</f>
        <v>0</v>
      </c>
      <c r="P4" s="281">
        <f>SUM(B4:O4)</f>
        <v>136486</v>
      </c>
    </row>
    <row r="5" spans="1:16" x14ac:dyDescent="0.2">
      <c r="A5" s="62" t="s">
        <v>31</v>
      </c>
      <c r="B5" s="14">
        <f>[3]Delta!$FT$33</f>
        <v>81699</v>
      </c>
      <c r="C5" s="14">
        <f>'[3]Atlantic Southeast'!$FT$33</f>
        <v>0</v>
      </c>
      <c r="D5" s="14">
        <f>[3]Pinnacle!$FT$33</f>
        <v>6305</v>
      </c>
      <c r="E5" s="14">
        <f>[3]Compass!$FT$33</f>
        <v>0</v>
      </c>
      <c r="F5" s="14">
        <f>'[3]Sky West'!$FT$33</f>
        <v>8964</v>
      </c>
      <c r="G5" s="14">
        <f>'[3]Go Jet'!$FT$33</f>
        <v>1363</v>
      </c>
      <c r="H5" s="14">
        <f>'[3]Sun Country'!$FT$33</f>
        <v>585</v>
      </c>
      <c r="I5" s="14">
        <f>[3]Icelandair!$FT$33</f>
        <v>6448</v>
      </c>
      <c r="J5" s="14">
        <f>[3]KLM!$FT$33</f>
        <v>3899</v>
      </c>
      <c r="K5" s="14">
        <f>'[3]Air Georgian'!$FT$33</f>
        <v>0</v>
      </c>
      <c r="L5" s="14">
        <f>'[3]Sky Regional'!$FT$33</f>
        <v>5525</v>
      </c>
      <c r="M5" s="14">
        <f>[3]Condor!$FT$33</f>
        <v>4391</v>
      </c>
      <c r="N5" s="14">
        <f>'[3]Air France'!$FT$33</f>
        <v>4769</v>
      </c>
      <c r="O5" s="14">
        <f>'[3]Charter Misc'!$FT$33++[3]Ryan!$FT$33+[3]Omni!$FT$33</f>
        <v>0</v>
      </c>
      <c r="P5" s="282">
        <f>SUM(B5:O5)</f>
        <v>123948</v>
      </c>
    </row>
    <row r="6" spans="1:16" ht="15" x14ac:dyDescent="0.25">
      <c r="A6" s="60" t="s">
        <v>7</v>
      </c>
      <c r="B6" s="34">
        <f t="shared" ref="B6:O6" si="0">SUM(B4:B5)</f>
        <v>170689</v>
      </c>
      <c r="C6" s="34">
        <f t="shared" si="0"/>
        <v>0</v>
      </c>
      <c r="D6" s="34">
        <f t="shared" si="0"/>
        <v>12982</v>
      </c>
      <c r="E6" s="34">
        <f t="shared" si="0"/>
        <v>0</v>
      </c>
      <c r="F6" s="34">
        <f t="shared" si="0"/>
        <v>18130</v>
      </c>
      <c r="G6" s="34">
        <f t="shared" ref="G6" si="1">SUM(G4:G5)</f>
        <v>2847</v>
      </c>
      <c r="H6" s="34">
        <f t="shared" si="0"/>
        <v>1228</v>
      </c>
      <c r="I6" s="34">
        <f t="shared" si="0"/>
        <v>13862</v>
      </c>
      <c r="J6" s="34">
        <f t="shared" ref="J6" si="2">SUM(J4:J5)</f>
        <v>8787</v>
      </c>
      <c r="K6" s="34">
        <f t="shared" si="0"/>
        <v>0</v>
      </c>
      <c r="L6" s="34">
        <f t="shared" ref="L6" si="3">SUM(L4:L5)</f>
        <v>11704</v>
      </c>
      <c r="M6" s="34">
        <f t="shared" ref="M6" si="4">SUM(M4:M5)</f>
        <v>8876</v>
      </c>
      <c r="N6" s="34">
        <f t="shared" si="0"/>
        <v>11329</v>
      </c>
      <c r="O6" s="34">
        <f t="shared" si="0"/>
        <v>0</v>
      </c>
      <c r="P6" s="283">
        <f>SUM(B6:O6)</f>
        <v>260434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[3]Delta!$FT$37</f>
        <v>2405</v>
      </c>
      <c r="C9" s="21">
        <f>'[3]Atlantic Southeast'!$FT$37</f>
        <v>0</v>
      </c>
      <c r="D9" s="21">
        <f>[3]Pinnacle!$FT$37</f>
        <v>136</v>
      </c>
      <c r="E9" s="21">
        <f>[3]Compass!$FT$37</f>
        <v>0</v>
      </c>
      <c r="F9" s="21">
        <f>'[3]Sky West'!$FT$37</f>
        <v>101</v>
      </c>
      <c r="G9" s="21">
        <f>'[3]Go Jet'!$FT$37</f>
        <v>37</v>
      </c>
      <c r="H9" s="21">
        <f>'[3]Sun Country'!$FT$37</f>
        <v>8</v>
      </c>
      <c r="I9" s="21">
        <f>[3]Icelandair!$FT$37</f>
        <v>82</v>
      </c>
      <c r="J9" s="21">
        <f>[3]KLM!$FT$37</f>
        <v>41</v>
      </c>
      <c r="K9" s="21">
        <f>'[3]Air Georgian'!$FT$37</f>
        <v>0</v>
      </c>
      <c r="L9" s="21">
        <f>'[3]Sky Regional'!$FT$37</f>
        <v>54</v>
      </c>
      <c r="M9" s="21">
        <f>[3]Condor!$FT$37</f>
        <v>4</v>
      </c>
      <c r="N9" s="21">
        <f>'[3]Air France'!$FT$37</f>
        <v>7</v>
      </c>
      <c r="O9" s="21">
        <f>'[3]Charter Misc'!$FT$37+[3]Ryan!$FT$37+[3]Omni!$FT$37</f>
        <v>0</v>
      </c>
      <c r="P9" s="281">
        <f>SUM(B9:O9)</f>
        <v>2875</v>
      </c>
    </row>
    <row r="10" spans="1:16" x14ac:dyDescent="0.2">
      <c r="A10" s="62" t="s">
        <v>33</v>
      </c>
      <c r="B10" s="14">
        <f>[3]Delta!$FT$38</f>
        <v>2272</v>
      </c>
      <c r="C10" s="14">
        <f>'[3]Atlantic Southeast'!$FT$38</f>
        <v>0</v>
      </c>
      <c r="D10" s="14">
        <f>[3]Pinnacle!$FT$38</f>
        <v>154</v>
      </c>
      <c r="E10" s="14">
        <f>[3]Compass!$FT$38</f>
        <v>0</v>
      </c>
      <c r="F10" s="14">
        <f>'[3]Sky West'!$FT$38</f>
        <v>98</v>
      </c>
      <c r="G10" s="14">
        <f>'[3]Go Jet'!$FT$38</f>
        <v>42</v>
      </c>
      <c r="H10" s="14">
        <f>'[3]Sun Country'!$FT$38</f>
        <v>12</v>
      </c>
      <c r="I10" s="14">
        <f>[3]Icelandair!$FT$38</f>
        <v>80</v>
      </c>
      <c r="J10" s="14">
        <f>[3]KLM!$FT$38</f>
        <v>37</v>
      </c>
      <c r="K10" s="14">
        <f>'[3]Air Georgian'!$FT$38</f>
        <v>0</v>
      </c>
      <c r="L10" s="14">
        <f>'[3]Sky Regional'!$FT$38</f>
        <v>59</v>
      </c>
      <c r="M10" s="14">
        <f>[3]Condor!$FT$38</f>
        <v>5</v>
      </c>
      <c r="N10" s="14">
        <f>'[3]Air France'!$FT$38</f>
        <v>6</v>
      </c>
      <c r="O10" s="14">
        <f>'[3]Charter Misc'!$FT$38+[3]Ryan!$FT$38+[3]Omni!$FT$38</f>
        <v>0</v>
      </c>
      <c r="P10" s="282">
        <f>SUM(B10:O10)</f>
        <v>2765</v>
      </c>
    </row>
    <row r="11" spans="1:16" ht="15.75" thickBot="1" x14ac:dyDescent="0.3">
      <c r="A11" s="63" t="s">
        <v>34</v>
      </c>
      <c r="B11" s="284">
        <f t="shared" ref="B11:H11" si="5">SUM(B9:B10)</f>
        <v>4677</v>
      </c>
      <c r="C11" s="284">
        <f t="shared" si="5"/>
        <v>0</v>
      </c>
      <c r="D11" s="284">
        <f t="shared" si="5"/>
        <v>290</v>
      </c>
      <c r="E11" s="284">
        <f t="shared" si="5"/>
        <v>0</v>
      </c>
      <c r="F11" s="284">
        <f t="shared" si="5"/>
        <v>199</v>
      </c>
      <c r="G11" s="284">
        <f t="shared" ref="G11" si="6">SUM(G9:G10)</f>
        <v>79</v>
      </c>
      <c r="H11" s="284">
        <f t="shared" si="5"/>
        <v>20</v>
      </c>
      <c r="I11" s="284">
        <f t="shared" ref="I11:O11" si="7">SUM(I9:I10)</f>
        <v>162</v>
      </c>
      <c r="J11" s="284">
        <f t="shared" ref="J11" si="8">SUM(J9:J10)</f>
        <v>78</v>
      </c>
      <c r="K11" s="284">
        <f t="shared" si="7"/>
        <v>0</v>
      </c>
      <c r="L11" s="284">
        <f t="shared" ref="L11" si="9">SUM(L9:L10)</f>
        <v>113</v>
      </c>
      <c r="M11" s="284">
        <f t="shared" si="7"/>
        <v>9</v>
      </c>
      <c r="N11" s="284">
        <f t="shared" si="7"/>
        <v>13</v>
      </c>
      <c r="O11" s="284">
        <f t="shared" si="7"/>
        <v>0</v>
      </c>
      <c r="P11" s="285">
        <f>SUM(B11:O11)</f>
        <v>5640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7" t="s">
        <v>146</v>
      </c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9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SUM([3]Delta!$FN$32:$FT$32)</f>
        <v>583312</v>
      </c>
      <c r="C16" s="21">
        <f>SUM('[3]Atlantic Southeast'!$FN$32:$FT$32)</f>
        <v>2369</v>
      </c>
      <c r="D16" s="21">
        <f>SUM([3]Pinnacle!$FN$32:$FT$32)</f>
        <v>41305</v>
      </c>
      <c r="E16" s="21">
        <f>SUM([3]Compass!$FN$32:$FT$32)</f>
        <v>0</v>
      </c>
      <c r="F16" s="21">
        <f>SUM('[3]Sky West'!$FN$32:$FT$32)</f>
        <v>76519</v>
      </c>
      <c r="G16" s="21">
        <f>SUM('[3]Go Jet'!$FN$32:$FT$32)</f>
        <v>15144</v>
      </c>
      <c r="H16" s="21">
        <f>SUM('[3]Sun Country'!$FN$32:$FT$32)</f>
        <v>125258</v>
      </c>
      <c r="I16" s="21">
        <f>SUM([3]Icelandair!$FN$32:$FT$32)</f>
        <v>24127</v>
      </c>
      <c r="J16" s="21">
        <f>SUM([3]KLM!$FN$32:$FT$32)</f>
        <v>24844</v>
      </c>
      <c r="K16" s="21">
        <f>SUM('[3]Air Georgian'!$FN$32:$FT$32)</f>
        <v>0</v>
      </c>
      <c r="L16" s="21">
        <f>SUM('[3]Sky Regional'!$FN$32:$FT$32)</f>
        <v>33671</v>
      </c>
      <c r="M16" s="21">
        <f>SUM([3]Condor!$FN$32:$FT$32)</f>
        <v>7781</v>
      </c>
      <c r="N16" s="21">
        <f>SUM('[3]Air France'!$FN$32:$FT$32)</f>
        <v>16790</v>
      </c>
      <c r="O16" s="21">
        <f>SUM('[3]Charter Misc'!$FN$32:$FT$32)+SUM([3]Ryan!$FN$32:$FT$32)+SUM([3]Omni!$FN$32:$FT$32)</f>
        <v>37</v>
      </c>
      <c r="P16" s="281">
        <f>SUM(B16:O16)</f>
        <v>951157</v>
      </c>
    </row>
    <row r="17" spans="1:19" x14ac:dyDescent="0.2">
      <c r="A17" s="62" t="s">
        <v>31</v>
      </c>
      <c r="B17" s="14">
        <f>SUM([3]Delta!$FN$33:$FT$33)</f>
        <v>568794</v>
      </c>
      <c r="C17" s="14">
        <f>SUM('[3]Atlantic Southeast'!$FN$33:$FT$33)</f>
        <v>3166</v>
      </c>
      <c r="D17" s="14">
        <f>SUM([3]Pinnacle!$FN$33:$FT$33)</f>
        <v>41797</v>
      </c>
      <c r="E17" s="14">
        <f>SUM([3]Compass!$FN$33:$FT$33)</f>
        <v>0</v>
      </c>
      <c r="F17" s="14">
        <f>SUM('[3]Sky West'!$FN$33:$FT$33)</f>
        <v>79375</v>
      </c>
      <c r="G17" s="14">
        <f>SUM('[3]Go Jet'!$FN$33:$FT$33)</f>
        <v>14020</v>
      </c>
      <c r="H17" s="14">
        <f>SUM('[3]Sun Country'!$FN$33:$FT$33)</f>
        <v>118863</v>
      </c>
      <c r="I17" s="14">
        <f>SUM([3]Icelandair!$FN$33:$FT$33)</f>
        <v>25196</v>
      </c>
      <c r="J17" s="14">
        <f>SUM([3]KLM!$FN$33:$FT$33)</f>
        <v>22290</v>
      </c>
      <c r="K17" s="14">
        <f>SUM('[3]Air Georgian'!$FN$33:$FT$33)</f>
        <v>0</v>
      </c>
      <c r="L17" s="14">
        <f>SUM('[3]Sky Regional'!$FN$33:$FT$33)</f>
        <v>32608</v>
      </c>
      <c r="M17" s="14">
        <f>SUM([3]Condor!$FN$33:$FT$33)</f>
        <v>8142</v>
      </c>
      <c r="N17" s="14">
        <f>SUM('[3]Air France'!$FN$33:$FT$33)</f>
        <v>14890</v>
      </c>
      <c r="O17" s="14">
        <f>SUM('[3]Charter Misc'!$FN$33:$FT$33)++SUM([3]Ryan!$FN$33:$FT$33)+SUM([3]Omni!$FN$33:$FT$33)</f>
        <v>0</v>
      </c>
      <c r="P17" s="282">
        <f>SUM(B17:O17)</f>
        <v>929141</v>
      </c>
    </row>
    <row r="18" spans="1:19" ht="15" x14ac:dyDescent="0.25">
      <c r="A18" s="60" t="s">
        <v>7</v>
      </c>
      <c r="B18" s="34">
        <f t="shared" ref="B18:O18" si="10">SUM(B16:B17)</f>
        <v>1152106</v>
      </c>
      <c r="C18" s="34">
        <f t="shared" si="10"/>
        <v>5535</v>
      </c>
      <c r="D18" s="34">
        <f t="shared" si="10"/>
        <v>83102</v>
      </c>
      <c r="E18" s="34">
        <f t="shared" si="10"/>
        <v>0</v>
      </c>
      <c r="F18" s="34">
        <f t="shared" si="10"/>
        <v>155894</v>
      </c>
      <c r="G18" s="34">
        <f t="shared" ref="G18" si="11">SUM(G16:G17)</f>
        <v>29164</v>
      </c>
      <c r="H18" s="34">
        <f t="shared" si="10"/>
        <v>244121</v>
      </c>
      <c r="I18" s="34">
        <f t="shared" si="10"/>
        <v>49323</v>
      </c>
      <c r="J18" s="34">
        <f t="shared" ref="J18" si="12">SUM(J16:J17)</f>
        <v>47134</v>
      </c>
      <c r="K18" s="34">
        <f t="shared" si="10"/>
        <v>0</v>
      </c>
      <c r="L18" s="34">
        <f t="shared" ref="L18" si="13">SUM(L16:L17)</f>
        <v>66279</v>
      </c>
      <c r="M18" s="34">
        <f t="shared" ref="M18" si="14">SUM(M16:M17)</f>
        <v>15923</v>
      </c>
      <c r="N18" s="34">
        <f t="shared" si="10"/>
        <v>31680</v>
      </c>
      <c r="O18" s="34">
        <f t="shared" si="10"/>
        <v>37</v>
      </c>
      <c r="P18" s="283">
        <f>SUM(B18:O18)</f>
        <v>1880298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SUM([3]Delta!$FN$37:$FT$37)</f>
        <v>33633</v>
      </c>
      <c r="C21" s="21">
        <f>SUM('[3]Atlantic Southeast'!$FN$37:$FT$37)</f>
        <v>48</v>
      </c>
      <c r="D21" s="21">
        <f>SUM([3]Pinnacle!$FN$37:$FT$37)</f>
        <v>668</v>
      </c>
      <c r="E21" s="21">
        <f>SUM([3]Compass!$FN$37:$FT$37)</f>
        <v>0</v>
      </c>
      <c r="F21" s="21">
        <f>SUM('[3]Sky West'!$FN$37:$FT$37)</f>
        <v>746</v>
      </c>
      <c r="G21" s="21">
        <f>SUM('[3]Go Jet'!$FN$37:$FT$37)</f>
        <v>250</v>
      </c>
      <c r="H21" s="21">
        <f>SUM('[3]Sun Country'!$FN$37:$FT$37)</f>
        <v>775</v>
      </c>
      <c r="I21" s="21">
        <f>SUM([3]Icelandair!$FN$37:$FT$37)</f>
        <v>368</v>
      </c>
      <c r="J21" s="21">
        <f>SUM([3]KLM!$FN$37:$FT$37)</f>
        <v>199</v>
      </c>
      <c r="K21" s="21">
        <f>SUM('[3]Air Georgian'!$FN$37:$FT$37)</f>
        <v>0</v>
      </c>
      <c r="L21" s="21">
        <f>SUM('[3]Sky Regional'!$FN$37:$FT$37)</f>
        <v>361</v>
      </c>
      <c r="M21" s="21">
        <f>SUM([3]Condor!$FN$37:$FT$37)</f>
        <v>9</v>
      </c>
      <c r="N21" s="21">
        <f>SUM('[3]Air France'!$FN$37:$FT$37)</f>
        <v>29</v>
      </c>
      <c r="O21" s="21">
        <f>SUM('[3]Charter Misc'!$FN$37:$FT$37)++SUM([3]Ryan!$FN$37:$FT$37)+SUM([3]Omni!$FN$37:$FT$37)</f>
        <v>0</v>
      </c>
      <c r="P21" s="281">
        <f>SUM(B21:O21)</f>
        <v>37086</v>
      </c>
    </row>
    <row r="22" spans="1:19" x14ac:dyDescent="0.2">
      <c r="A22" s="62" t="s">
        <v>33</v>
      </c>
      <c r="B22" s="14">
        <f>SUM([3]Delta!$FN$38:$FT$38)</f>
        <v>15762</v>
      </c>
      <c r="C22" s="14">
        <f>SUM('[3]Atlantic Southeast'!$FN$38:$FT$38)</f>
        <v>35</v>
      </c>
      <c r="D22" s="14">
        <f>SUM([3]Pinnacle!$FN$38:$FT$38)</f>
        <v>703</v>
      </c>
      <c r="E22" s="14">
        <f>SUM([3]Compass!$FN$38:$FT$38)</f>
        <v>0</v>
      </c>
      <c r="F22" s="14">
        <f>SUM('[3]Sky West'!$FN$38:$FT$38)</f>
        <v>743</v>
      </c>
      <c r="G22" s="14">
        <f>SUM('[3]Go Jet'!$FN$38:$FT$38)</f>
        <v>287</v>
      </c>
      <c r="H22" s="14">
        <f>SUM('[3]Sun Country'!$FN$38:$FT$38)</f>
        <v>944</v>
      </c>
      <c r="I22" s="14">
        <f>SUM([3]Icelandair!$FN$38:$FT$38)</f>
        <v>367</v>
      </c>
      <c r="J22" s="14">
        <f>SUM([3]KLM!$FN$38:$FT$38)</f>
        <v>151</v>
      </c>
      <c r="K22" s="14">
        <f>SUM('[3]Air Georgian'!$FN$38:$FT$38)</f>
        <v>0</v>
      </c>
      <c r="L22" s="14">
        <f>SUM('[3]Sky Regional'!$FN$38:$FT$38)</f>
        <v>383</v>
      </c>
      <c r="M22" s="14">
        <f>SUM([3]Condor!$FN$38:$FT$38)</f>
        <v>9</v>
      </c>
      <c r="N22" s="14">
        <f>SUM('[3]Air France'!$FN$38:$FT$38)</f>
        <v>27</v>
      </c>
      <c r="O22" s="14">
        <f>SUM('[3]Charter Misc'!$FN$38:$FT$38)++SUM([3]Ryan!$FN$38:$FT$38)+SUM([3]Omni!$FN$38:$FT$38)</f>
        <v>0</v>
      </c>
      <c r="P22" s="282">
        <f>SUM(B22:O22)</f>
        <v>19411</v>
      </c>
    </row>
    <row r="23" spans="1:19" ht="15.75" thickBot="1" x14ac:dyDescent="0.3">
      <c r="A23" s="63" t="s">
        <v>34</v>
      </c>
      <c r="B23" s="284">
        <f t="shared" ref="B23:O23" si="15">SUM(B21:B22)</f>
        <v>49395</v>
      </c>
      <c r="C23" s="284">
        <f t="shared" si="15"/>
        <v>83</v>
      </c>
      <c r="D23" s="284">
        <f t="shared" si="15"/>
        <v>1371</v>
      </c>
      <c r="E23" s="284">
        <f t="shared" si="15"/>
        <v>0</v>
      </c>
      <c r="F23" s="284">
        <f t="shared" si="15"/>
        <v>1489</v>
      </c>
      <c r="G23" s="284">
        <f t="shared" ref="G23" si="16">SUM(G21:G22)</f>
        <v>537</v>
      </c>
      <c r="H23" s="284">
        <f t="shared" si="15"/>
        <v>1719</v>
      </c>
      <c r="I23" s="284">
        <f t="shared" si="15"/>
        <v>735</v>
      </c>
      <c r="J23" s="284">
        <f t="shared" ref="J23" si="17">SUM(J21:J22)</f>
        <v>350</v>
      </c>
      <c r="K23" s="284">
        <f t="shared" si="15"/>
        <v>0</v>
      </c>
      <c r="L23" s="284">
        <f t="shared" ref="L23" si="18">SUM(L21:L22)</f>
        <v>744</v>
      </c>
      <c r="M23" s="284">
        <f t="shared" ref="M23" si="19">SUM(M21:M22)</f>
        <v>18</v>
      </c>
      <c r="N23" s="284">
        <f t="shared" si="15"/>
        <v>56</v>
      </c>
      <c r="O23" s="284">
        <f t="shared" si="15"/>
        <v>0</v>
      </c>
      <c r="P23" s="285">
        <f>SUM(B23:O23)</f>
        <v>56497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60" t="s">
        <v>147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  <c r="L26" s="561"/>
      <c r="M26" s="561"/>
      <c r="N26" s="561"/>
      <c r="O26" s="561"/>
      <c r="P26" s="562"/>
    </row>
    <row r="27" spans="1:19" x14ac:dyDescent="0.2">
      <c r="A27" s="62" t="s">
        <v>22</v>
      </c>
      <c r="B27" s="21">
        <f>[3]Delta!$FT$15</f>
        <v>497</v>
      </c>
      <c r="C27" s="21">
        <f>'[3]Atlantic Southeast'!$FT$15</f>
        <v>0</v>
      </c>
      <c r="D27" s="21">
        <f>[3]Pinnacle!$FT$15</f>
        <v>100</v>
      </c>
      <c r="E27" s="21">
        <f>[3]Compass!$FT$15</f>
        <v>0</v>
      </c>
      <c r="F27" s="21">
        <f>'[3]Sky West'!$FT$15</f>
        <v>141</v>
      </c>
      <c r="G27" s="21">
        <f>'[3]Go Jet'!$FT$15</f>
        <v>21</v>
      </c>
      <c r="H27" s="21">
        <f>'[3]Sun Country'!$FT$15</f>
        <v>5</v>
      </c>
      <c r="I27" s="21">
        <f>[3]Icelandair!$FT$15</f>
        <v>47</v>
      </c>
      <c r="J27" s="21">
        <f>[3]KLM!$FT$15</f>
        <v>18</v>
      </c>
      <c r="K27" s="21">
        <f>'[3]Air Georgian'!$FT$15</f>
        <v>0</v>
      </c>
      <c r="L27" s="21">
        <f>'[3]Sky Regional'!$FT$15</f>
        <v>91</v>
      </c>
      <c r="M27" s="21">
        <f>[3]Condor!$FT$15</f>
        <v>18</v>
      </c>
      <c r="N27" s="21">
        <f>'[3]Air France'!$FT$15</f>
        <v>26</v>
      </c>
      <c r="O27" s="21">
        <f>'[3]Charter Misc'!$FT$15+[3]Ryan!$FT$15+[3]Omni!$FT$15</f>
        <v>0</v>
      </c>
      <c r="P27" s="281">
        <f>SUM(B27:O27)</f>
        <v>964</v>
      </c>
    </row>
    <row r="28" spans="1:19" x14ac:dyDescent="0.2">
      <c r="A28" s="62" t="s">
        <v>23</v>
      </c>
      <c r="B28" s="21">
        <f>[3]Delta!$FT$16</f>
        <v>502</v>
      </c>
      <c r="C28" s="21">
        <f>'[3]Atlantic Southeast'!$FT$16</f>
        <v>0</v>
      </c>
      <c r="D28" s="21">
        <f>[3]Pinnacle!$FT$16</f>
        <v>100</v>
      </c>
      <c r="E28" s="21">
        <f>[3]Compass!$FT$16</f>
        <v>0</v>
      </c>
      <c r="F28" s="21">
        <f>'[3]Sky West'!$FT$16</f>
        <v>142</v>
      </c>
      <c r="G28" s="21">
        <f>'[3]Go Jet'!$FT$16</f>
        <v>21</v>
      </c>
      <c r="H28" s="21">
        <f>'[3]Sun Country'!$FT$16</f>
        <v>6</v>
      </c>
      <c r="I28" s="21">
        <f>[3]Icelandair!$FT$16</f>
        <v>47</v>
      </c>
      <c r="J28" s="21">
        <f>[3]KLM!$FT$16</f>
        <v>18</v>
      </c>
      <c r="K28" s="21">
        <f>'[3]Air Georgian'!$FT$16</f>
        <v>0</v>
      </c>
      <c r="L28" s="21">
        <f>'[3]Sky Regional'!$FT$16</f>
        <v>91</v>
      </c>
      <c r="M28" s="21">
        <f>[3]Condor!$FT$16</f>
        <v>18</v>
      </c>
      <c r="N28" s="21">
        <f>'[3]Air France'!$FT$16</f>
        <v>26</v>
      </c>
      <c r="O28" s="21">
        <f>'[3]Charter Misc'!$FT$16+[3]Ryan!$FT$16+[3]Omni!$FT$16</f>
        <v>0</v>
      </c>
      <c r="P28" s="281">
        <f>SUM(B28:O28)</f>
        <v>971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999</v>
      </c>
      <c r="C30" s="381">
        <f t="shared" si="20"/>
        <v>0</v>
      </c>
      <c r="D30" s="381">
        <f t="shared" si="20"/>
        <v>200</v>
      </c>
      <c r="E30" s="381">
        <f t="shared" si="20"/>
        <v>0</v>
      </c>
      <c r="F30" s="381">
        <f>SUM(F27:F28)</f>
        <v>283</v>
      </c>
      <c r="G30" s="381">
        <f>SUM(G27:G28)</f>
        <v>42</v>
      </c>
      <c r="H30" s="381">
        <f t="shared" si="20"/>
        <v>11</v>
      </c>
      <c r="I30" s="381">
        <f t="shared" si="20"/>
        <v>94</v>
      </c>
      <c r="J30" s="381">
        <f t="shared" ref="J30" si="21">SUM(J27:J28)</f>
        <v>36</v>
      </c>
      <c r="K30" s="381">
        <f t="shared" si="20"/>
        <v>0</v>
      </c>
      <c r="L30" s="381">
        <f t="shared" ref="L30" si="22">SUM(L27:L28)</f>
        <v>182</v>
      </c>
      <c r="M30" s="381">
        <f>SUM(M27:M28)</f>
        <v>36</v>
      </c>
      <c r="N30" s="381">
        <f>SUM(N27:N28)</f>
        <v>52</v>
      </c>
      <c r="O30" s="381">
        <f>SUM(O27:O28)</f>
        <v>0</v>
      </c>
      <c r="P30" s="382">
        <f>SUM(B30:O30)</f>
        <v>1935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3" t="s">
        <v>148</v>
      </c>
      <c r="B33" s="564"/>
      <c r="C33" s="564"/>
      <c r="D33" s="564"/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5"/>
    </row>
    <row r="34" spans="1:16" x14ac:dyDescent="0.2">
      <c r="A34" s="62" t="s">
        <v>22</v>
      </c>
      <c r="B34" s="21">
        <f>SUM([3]Delta!$FN$15:$FT$15)</f>
        <v>3504</v>
      </c>
      <c r="C34" s="21">
        <f>SUM('[3]Atlantic Southeast'!$FN$15:$FT$15)</f>
        <v>45</v>
      </c>
      <c r="D34" s="21">
        <f>SUM([3]Pinnacle!$FN$15:$FT$15)</f>
        <v>645</v>
      </c>
      <c r="E34" s="21">
        <f>SUM([3]Compass!$FN$15:$FT$15)</f>
        <v>1</v>
      </c>
      <c r="F34" s="21">
        <f>SUM('[3]Sky West'!$FN$15:$FT$15)</f>
        <v>1248</v>
      </c>
      <c r="G34" s="21">
        <f>SUM('[3]Go Jet'!$FN$15:$FT$15)</f>
        <v>238</v>
      </c>
      <c r="H34" s="21">
        <f>SUM('[3]Sun Country'!$FN$15:$FT$15)</f>
        <v>1022</v>
      </c>
      <c r="I34" s="21">
        <f>SUM([3]Icelandair!$FN$15:$FT$15)</f>
        <v>172</v>
      </c>
      <c r="J34" s="21">
        <f>SUM([3]KLM!$FN$15:$FT$15)</f>
        <v>102</v>
      </c>
      <c r="K34" s="21">
        <f>SUM('[3]Air Georgian'!$FN$15:$FT$15)</f>
        <v>0</v>
      </c>
      <c r="L34" s="21">
        <f>SUM('[3]Sky Regional'!$FN$15:$FT$15)</f>
        <v>594</v>
      </c>
      <c r="M34" s="21">
        <f>SUM([3]Condor!$FN$15:$FT$15)</f>
        <v>33</v>
      </c>
      <c r="N34" s="21">
        <f>SUM('[3]Air France'!$FN$15:$FT$15)</f>
        <v>74</v>
      </c>
      <c r="O34" s="21">
        <f>SUM('[3]Charter Misc'!$FN$15:$FT$15)+SUM([3]Ryan!$FN$15:$FT$15)+SUM([3]Omni!$FN$15:$FT$15)</f>
        <v>0</v>
      </c>
      <c r="P34" s="281">
        <f>SUM(B34:O34)</f>
        <v>7678</v>
      </c>
    </row>
    <row r="35" spans="1:16" x14ac:dyDescent="0.2">
      <c r="A35" s="62" t="s">
        <v>23</v>
      </c>
      <c r="B35" s="21">
        <f>SUM([3]Delta!$FN$16:$FT$16)</f>
        <v>3527</v>
      </c>
      <c r="C35" s="21">
        <f>SUM('[3]Atlantic Southeast'!$FN$16:$FT$16)</f>
        <v>54</v>
      </c>
      <c r="D35" s="21">
        <f>SUM([3]Pinnacle!$FN$16:$FT$16)</f>
        <v>644</v>
      </c>
      <c r="E35" s="21">
        <f>SUM([3]Compass!$FN$16:$FT$16)</f>
        <v>0</v>
      </c>
      <c r="F35" s="21">
        <f>SUM('[3]Sky West'!$FN$16:$FT$16)</f>
        <v>1256</v>
      </c>
      <c r="G35" s="21">
        <f>SUM('[3]Go Jet'!$FN$16:$FT$16)</f>
        <v>231</v>
      </c>
      <c r="H35" s="21">
        <f>SUM('[3]Sun Country'!$FN$16:$FT$16)</f>
        <v>1015</v>
      </c>
      <c r="I35" s="21">
        <f>SUM([3]Icelandair!$FN$16:$FT$16)</f>
        <v>172</v>
      </c>
      <c r="J35" s="21">
        <f>SUM([3]KLM!$FN$16:$FT$16)</f>
        <v>102</v>
      </c>
      <c r="K35" s="21">
        <f>SUM('[3]Air Georgian'!$FN$16:$FT$16)</f>
        <v>0</v>
      </c>
      <c r="L35" s="21">
        <f>SUM('[3]Sky Regional'!$FN$16:$FT$16)</f>
        <v>594</v>
      </c>
      <c r="M35" s="21">
        <f>SUM([3]Condor!$FN$16:$FT$16)</f>
        <v>33</v>
      </c>
      <c r="N35" s="21">
        <f>SUM('[3]Air France'!$FN$16:$FT$16)</f>
        <v>74</v>
      </c>
      <c r="O35" s="21">
        <f>SUM('[3]Charter Misc'!$FN$16:$FT$16)+SUM([3]Ryan!$FN$16:$FT$16)+SUM([3]Omni!$FN$16:$FT$16)</f>
        <v>0</v>
      </c>
      <c r="P35" s="281">
        <f>SUM(B35:O35)</f>
        <v>7702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7031</v>
      </c>
      <c r="C37" s="381">
        <f t="shared" si="23"/>
        <v>99</v>
      </c>
      <c r="D37" s="381">
        <f t="shared" si="23"/>
        <v>1289</v>
      </c>
      <c r="E37" s="381">
        <f t="shared" si="23"/>
        <v>1</v>
      </c>
      <c r="F37" s="381">
        <f>+SUM(F34:F35)</f>
        <v>2504</v>
      </c>
      <c r="G37" s="381">
        <f>+SUM(G34:G35)</f>
        <v>469</v>
      </c>
      <c r="H37" s="381">
        <f t="shared" si="23"/>
        <v>2037</v>
      </c>
      <c r="I37" s="381">
        <f t="shared" si="23"/>
        <v>344</v>
      </c>
      <c r="J37" s="381">
        <f t="shared" ref="J37" si="24">+SUM(J34:J35)</f>
        <v>204</v>
      </c>
      <c r="K37" s="381">
        <f t="shared" si="23"/>
        <v>0</v>
      </c>
      <c r="L37" s="381">
        <f t="shared" ref="L37" si="25">+SUM(L34:L35)</f>
        <v>1188</v>
      </c>
      <c r="M37" s="381">
        <f>+SUM(M34:M35)</f>
        <v>66</v>
      </c>
      <c r="N37" s="381">
        <f>+SUM(N34:N35)</f>
        <v>148</v>
      </c>
      <c r="O37" s="381">
        <f>+SUM(O34:O35)</f>
        <v>0</v>
      </c>
      <c r="P37" s="382">
        <f>SUM(B37:O37)</f>
        <v>15380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&amp;"Arial,Bold"July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3"/>
  <sheetViews>
    <sheetView topLeftCell="A13" zoomScaleNormal="100" zoomScaleSheetLayoutView="85" workbookViewId="0">
      <selection activeCell="D57" sqref="D57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9" t="s">
        <v>135</v>
      </c>
      <c r="B1" s="570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5" t="s">
        <v>139</v>
      </c>
      <c r="K1" s="576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71">
        <v>43282</v>
      </c>
      <c r="B2" s="572"/>
      <c r="C2" s="573" t="s">
        <v>9</v>
      </c>
      <c r="D2" s="574"/>
      <c r="E2" s="574"/>
      <c r="F2" s="574"/>
      <c r="G2" s="574"/>
      <c r="H2" s="574"/>
      <c r="I2" s="454"/>
      <c r="J2" s="571">
        <f>+A2</f>
        <v>43282</v>
      </c>
      <c r="K2" s="572"/>
      <c r="L2" s="566" t="s">
        <v>141</v>
      </c>
      <c r="M2" s="567"/>
      <c r="N2" s="567"/>
      <c r="O2" s="567"/>
      <c r="P2" s="567"/>
      <c r="Q2" s="567"/>
      <c r="R2" s="568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182</v>
      </c>
      <c r="D4" s="352">
        <f>SUM(D5:D7)</f>
        <v>184</v>
      </c>
      <c r="E4" s="353">
        <f>(C4-D4)/D4</f>
        <v>-1.0869565217391304E-2</v>
      </c>
      <c r="F4" s="350">
        <f>SUM(F5:F7)</f>
        <v>1188</v>
      </c>
      <c r="G4" s="352">
        <f>SUM(G5:G7)</f>
        <v>1221</v>
      </c>
      <c r="H4" s="351">
        <f>(F4-G4)/G4</f>
        <v>-2.7027027027027029E-2</v>
      </c>
      <c r="I4" s="353">
        <f>F4/$F$66</f>
        <v>5.4865123238704849E-3</v>
      </c>
      <c r="J4" s="349" t="s">
        <v>101</v>
      </c>
      <c r="K4" s="55"/>
      <c r="L4" s="350">
        <f>SUM(L5:L7)</f>
        <v>11704</v>
      </c>
      <c r="M4" s="352">
        <f>SUM(M5:M7)</f>
        <v>11391</v>
      </c>
      <c r="N4" s="353">
        <f>(L4-M4)/M4</f>
        <v>2.7477833377227635E-2</v>
      </c>
      <c r="O4" s="350">
        <f>SUM(O5:O7)</f>
        <v>66279</v>
      </c>
      <c r="P4" s="352">
        <f>SUM(P5:P7)</f>
        <v>55148</v>
      </c>
      <c r="Q4" s="351">
        <f>(O4-P4)/P4</f>
        <v>0.20183868861971421</v>
      </c>
      <c r="R4" s="353">
        <f>O4/$O$66</f>
        <v>3.0874035806502959E-3</v>
      </c>
      <c r="S4" s="20"/>
    </row>
    <row r="5" spans="1:19" ht="14.1" customHeight="1" x14ac:dyDescent="0.2">
      <c r="A5" s="349"/>
      <c r="B5" s="425" t="s">
        <v>101</v>
      </c>
      <c r="C5" s="354">
        <f>+[3]AirCanada!$FT$19</f>
        <v>0</v>
      </c>
      <c r="D5" s="9">
        <f>+[3]AirCanada!$FF$19</f>
        <v>0</v>
      </c>
      <c r="E5" s="86" t="e">
        <f>(C5-D5)/D5</f>
        <v>#DIV/0!</v>
      </c>
      <c r="F5" s="295">
        <f>SUM([3]AirCanada!$FN$19:$FT$19)</f>
        <v>0</v>
      </c>
      <c r="G5" s="295">
        <f>SUM([3]AirCanada!$EZ$19:$FF$19)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+[3]AirCanada!$FT$41</f>
        <v>0</v>
      </c>
      <c r="M5" s="295">
        <f>+[3]AirCanada!$FF$41</f>
        <v>0</v>
      </c>
      <c r="N5" s="433" t="e">
        <f>(L5-M5)/M5</f>
        <v>#DIV/0!</v>
      </c>
      <c r="O5" s="431">
        <f>SUM([3]AirCanada!$FN$41:$FT$41)</f>
        <v>0</v>
      </c>
      <c r="P5" s="295">
        <f>SUM([3]AirCanada!$EZ$41:$FF$41)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Georgian'!$FT$19</f>
        <v>0</v>
      </c>
      <c r="D6" s="9">
        <f>'[3]Air Georgian'!$FF$19</f>
        <v>0</v>
      </c>
      <c r="E6" s="86" t="e">
        <f>(C6-D6)/D6</f>
        <v>#DIV/0!</v>
      </c>
      <c r="F6" s="295">
        <f>SUM('[3]Air Georgian'!$FN$19:$FT$19)</f>
        <v>0</v>
      </c>
      <c r="G6" s="295">
        <f>SUM('[3]Air Georgian'!$EZ$19:$FF$19)</f>
        <v>935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Georgian'!$FT$41</f>
        <v>0</v>
      </c>
      <c r="M6" s="9">
        <f>'[3]Air Georgian'!$FF$41</f>
        <v>0</v>
      </c>
      <c r="N6" s="86" t="e">
        <f>(L6-M6)/M6</f>
        <v>#DIV/0!</v>
      </c>
      <c r="O6" s="354">
        <f>SUM('[3]Air Georgian'!$FN$41:$FT$41)</f>
        <v>0</v>
      </c>
      <c r="P6" s="9">
        <f>SUM('[3]Air Georgian'!$EZ$41:$FF$41)</f>
        <v>37149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Regional'!$FT$19</f>
        <v>182</v>
      </c>
      <c r="D7" s="9">
        <f>'[3]Sky Regional'!$FF$19</f>
        <v>184</v>
      </c>
      <c r="E7" s="86">
        <f>(C7-D7)/D7</f>
        <v>-1.0869565217391304E-2</v>
      </c>
      <c r="F7" s="295">
        <f>SUM('[3]Sky Regional'!$FN$19:$FT$19)</f>
        <v>1188</v>
      </c>
      <c r="G7" s="295">
        <f>SUM('[3]Sky Regional'!$EZ$19:$FF$19)</f>
        <v>286</v>
      </c>
      <c r="H7" s="432">
        <f>(F7-G7)/G7</f>
        <v>3.1538461538461537</v>
      </c>
      <c r="I7" s="86">
        <f>F7/$F$66</f>
        <v>5.4865123238704849E-3</v>
      </c>
      <c r="J7" s="349"/>
      <c r="K7" s="425" t="s">
        <v>214</v>
      </c>
      <c r="L7" s="354">
        <f>'[3]Sky Regional'!$FT$41</f>
        <v>11704</v>
      </c>
      <c r="M7" s="9">
        <f>'[3]Sky Regional'!$FF$41</f>
        <v>11391</v>
      </c>
      <c r="N7" s="86">
        <f>(L7-M7)/M7</f>
        <v>2.7477833377227635E-2</v>
      </c>
      <c r="O7" s="354">
        <f>SUM('[3]Sky Regional'!$FN$41:$FT$41)</f>
        <v>66279</v>
      </c>
      <c r="P7" s="9">
        <f>SUM('[3]Sky Regional'!$EZ$41:$FF$41)</f>
        <v>17999</v>
      </c>
      <c r="Q7" s="39">
        <f>(O7-P7)/P7</f>
        <v>2.6823712428468247</v>
      </c>
      <c r="R7" s="86">
        <f>O7/$O$66</f>
        <v>3.0874035806502959E-3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One'!$FT$19</f>
        <v>194</v>
      </c>
      <c r="D9" s="352">
        <f>'[3]Air Choice One'!$FF$19</f>
        <v>250</v>
      </c>
      <c r="E9" s="353">
        <f>(C9-D9)/D9</f>
        <v>-0.224</v>
      </c>
      <c r="F9" s="352">
        <f>SUM('[3]Air Choice One'!$FN$19:$FT$19)</f>
        <v>1392</v>
      </c>
      <c r="G9" s="352">
        <f>SUM('[3]Air Choice One'!$EZ$19:$FF$19)</f>
        <v>1718</v>
      </c>
      <c r="H9" s="351">
        <f>(F9-G9)/G9</f>
        <v>-0.18975552968568102</v>
      </c>
      <c r="I9" s="353">
        <f>F9/$F$66</f>
        <v>6.4286407027169317E-3</v>
      </c>
      <c r="J9" s="349" t="s">
        <v>196</v>
      </c>
      <c r="K9" s="55"/>
      <c r="L9" s="350">
        <f>'[3]Air Choice One'!$FT$41</f>
        <v>901</v>
      </c>
      <c r="M9" s="352">
        <f>'[3]Air Choice One'!$FF$41</f>
        <v>958</v>
      </c>
      <c r="N9" s="353">
        <f>(L9-M9)/M9</f>
        <v>-5.9498956158663886E-2</v>
      </c>
      <c r="O9" s="350">
        <f>SUM('[3]Air Choice One'!$FN$41:$FT$41)</f>
        <v>5748</v>
      </c>
      <c r="P9" s="352">
        <f>SUM('[3]Air Choice One'!$EZ$41:$FF$41)</f>
        <v>5795</v>
      </c>
      <c r="Q9" s="351">
        <f>(O9-P9)/P9</f>
        <v>-8.1104400345125109E-3</v>
      </c>
      <c r="R9" s="353">
        <f>O9/$O$66</f>
        <v>2.6775291995319636E-4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France'!$FT$19</f>
        <v>52</v>
      </c>
      <c r="D11" s="352">
        <f>'[3]Air France'!$FF$19</f>
        <v>60</v>
      </c>
      <c r="E11" s="353">
        <f>(C11-D11)/D11</f>
        <v>-0.13333333333333333</v>
      </c>
      <c r="F11" s="352">
        <f>SUM('[3]Air France'!$FN$19:$FT$19)</f>
        <v>148</v>
      </c>
      <c r="G11" s="352">
        <f>SUM('[3]Air France'!$EZ$19:$FF$19)</f>
        <v>154</v>
      </c>
      <c r="H11" s="351">
        <f>(F11-G11)/G11</f>
        <v>-3.896103896103896E-2</v>
      </c>
      <c r="I11" s="353">
        <f>F11/$F$66</f>
        <v>6.8350490230036347E-4</v>
      </c>
      <c r="J11" s="349" t="s">
        <v>162</v>
      </c>
      <c r="K11" s="55"/>
      <c r="L11" s="350">
        <f>'[3]Air France'!$FT$41</f>
        <v>11329</v>
      </c>
      <c r="M11" s="352">
        <f>'[3]Air France'!$FF$41</f>
        <v>14824</v>
      </c>
      <c r="N11" s="353">
        <f>(L11-M11)/M11</f>
        <v>-0.2357663248785753</v>
      </c>
      <c r="O11" s="350">
        <f>SUM('[3]Air France'!$FN$41:$FT$41)</f>
        <v>31680</v>
      </c>
      <c r="P11" s="352">
        <f>SUM('[3]Air France'!$EZ$41:$FF$41)</f>
        <v>38538</v>
      </c>
      <c r="Q11" s="351">
        <f>(O11-P11)/P11</f>
        <v>-0.1779542269967305</v>
      </c>
      <c r="R11" s="353">
        <f>O11/$O$66</f>
        <v>1.4757154669654245E-3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308</v>
      </c>
      <c r="D13" s="352">
        <f>SUM(D14:D16)</f>
        <v>294</v>
      </c>
      <c r="E13" s="353">
        <f>(C13-D13)/D13</f>
        <v>4.7619047619047616E-2</v>
      </c>
      <c r="F13" s="352">
        <f>SUM(F14:F16)</f>
        <v>2216</v>
      </c>
      <c r="G13" s="352">
        <f>SUM(G14:G16)</f>
        <v>1386</v>
      </c>
      <c r="H13" s="351">
        <f>(F13-G13)/G13</f>
        <v>0.59884559884559885</v>
      </c>
      <c r="I13" s="353">
        <f>F13/$F$66</f>
        <v>1.0234100429037874E-2</v>
      </c>
      <c r="J13" s="349" t="s">
        <v>131</v>
      </c>
      <c r="K13" s="55"/>
      <c r="L13" s="350">
        <f>SUM(L14:L16)</f>
        <v>32182</v>
      </c>
      <c r="M13" s="352">
        <f>SUM(M14:M16)</f>
        <v>33666</v>
      </c>
      <c r="N13" s="353">
        <f>(L13-M13)/M13</f>
        <v>-4.4080080793679081E-2</v>
      </c>
      <c r="O13" s="350">
        <f>SUM(O14:O16)</f>
        <v>214284</v>
      </c>
      <c r="P13" s="352">
        <f>SUM(P14:P16)</f>
        <v>163923</v>
      </c>
      <c r="Q13" s="351">
        <f>(O13-P13)/P13</f>
        <v>0.30722351347888949</v>
      </c>
      <c r="R13" s="353">
        <f>O13/$O$66</f>
        <v>9.9817617778793881E-3</v>
      </c>
      <c r="S13" s="20"/>
    </row>
    <row r="14" spans="1:19" ht="14.1" customHeight="1" x14ac:dyDescent="0.2">
      <c r="A14" s="349"/>
      <c r="B14" s="425" t="s">
        <v>131</v>
      </c>
      <c r="C14" s="431">
        <f>[3]Alaska!$FT$19</f>
        <v>124</v>
      </c>
      <c r="D14" s="295">
        <f>[3]Alaska!$FF$19</f>
        <v>180</v>
      </c>
      <c r="E14" s="433">
        <f>(C14-D14)/D14</f>
        <v>-0.31111111111111112</v>
      </c>
      <c r="F14" s="295">
        <f>SUM([3]Alaska!$FN$19:$FT$19)</f>
        <v>824</v>
      </c>
      <c r="G14" s="295">
        <f>SUM([3]Alaska!$EZ$19:$FF$19)</f>
        <v>915</v>
      </c>
      <c r="H14" s="432">
        <f>(F14-G14)/G14</f>
        <v>-9.94535519125683E-2</v>
      </c>
      <c r="I14" s="433">
        <f>F14/$F$66</f>
        <v>3.8054597263209424E-3</v>
      </c>
      <c r="J14" s="349"/>
      <c r="K14" s="425" t="s">
        <v>131</v>
      </c>
      <c r="L14" s="431">
        <f>[3]Alaska!$FT$41</f>
        <v>20085</v>
      </c>
      <c r="M14" s="295">
        <f>[3]Alaska!$FF$41</f>
        <v>26803</v>
      </c>
      <c r="N14" s="433">
        <f>(L14-M14)/M14</f>
        <v>-0.25064358467335746</v>
      </c>
      <c r="O14" s="431">
        <f>SUM([3]Alaska!$FN$41:$FT$41)</f>
        <v>123592</v>
      </c>
      <c r="P14" s="295">
        <f>SUM([3]Alaska!$EZ$41:$FF$41)</f>
        <v>133578</v>
      </c>
      <c r="Q14" s="432">
        <f>(O14-P14)/P14</f>
        <v>-7.4757819401398432E-2</v>
      </c>
      <c r="R14" s="433">
        <f>O14/$O$66</f>
        <v>5.7571535982699103E-3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West_AS'!$FT$19</f>
        <v>62</v>
      </c>
      <c r="D15" s="9">
        <f>'[3]Sky West_AS'!$FF$19</f>
        <v>114</v>
      </c>
      <c r="E15" s="86">
        <f>(C15-D15)/D15</f>
        <v>-0.45614035087719296</v>
      </c>
      <c r="F15" s="9">
        <f>SUM('[3]Sky West_AS'!$FN$19:$FT$19)</f>
        <v>644</v>
      </c>
      <c r="G15" s="9">
        <f>SUM('[3]Sky West_AS'!$EZ$19:$FF$19)</f>
        <v>471</v>
      </c>
      <c r="H15" s="39">
        <f>(F15-G15)/G15</f>
        <v>0.36730360934182588</v>
      </c>
      <c r="I15" s="86">
        <f>F15/$F$66</f>
        <v>2.9741699802799601E-3</v>
      </c>
      <c r="J15" s="349"/>
      <c r="K15" s="425" t="s">
        <v>100</v>
      </c>
      <c r="L15" s="354">
        <f>'[3]Sky West_AS'!$FT$41</f>
        <v>4182</v>
      </c>
      <c r="M15" s="9">
        <f>'[3]Sky West_AS'!$FF$41</f>
        <v>6863</v>
      </c>
      <c r="N15" s="86">
        <f>(L15-M15)/M15</f>
        <v>-0.39064549031035989</v>
      </c>
      <c r="O15" s="354">
        <f>SUM('[3]Sky West_AS'!$FN$41:$FT$41)</f>
        <v>42437</v>
      </c>
      <c r="P15" s="9">
        <f>SUM('[3]Sky West_AS'!$EZ$41:$FF$41)</f>
        <v>30345</v>
      </c>
      <c r="Q15" s="39">
        <f>(O15-P15)/P15</f>
        <v>0.39848409952216179</v>
      </c>
      <c r="R15" s="433">
        <f>O15/$O$66</f>
        <v>1.9767972623614813E-3</v>
      </c>
      <c r="S15" s="20"/>
    </row>
    <row r="16" spans="1:19" ht="14.1" customHeight="1" x14ac:dyDescent="0.2">
      <c r="A16" s="349"/>
      <c r="B16" s="425" t="s">
        <v>215</v>
      </c>
      <c r="C16" s="354">
        <f>[3]Horizon_AS!$FT$19</f>
        <v>122</v>
      </c>
      <c r="D16" s="9">
        <f>[3]Horizon_AS!$FF$19</f>
        <v>0</v>
      </c>
      <c r="E16" s="86" t="e">
        <f>(C16-D16)/D16</f>
        <v>#DIV/0!</v>
      </c>
      <c r="F16" s="9">
        <f>SUM([3]Horizon_AS!$FN$19:$FT$19)</f>
        <v>748</v>
      </c>
      <c r="G16" s="9">
        <f>SUM([3]Horizon_AS!$EZ$19:$FF$19)</f>
        <v>0</v>
      </c>
      <c r="H16" s="39" t="e">
        <f>(F16-G16)/G16</f>
        <v>#DIV/0!</v>
      </c>
      <c r="I16" s="86">
        <f>F16/$F$66</f>
        <v>3.4544707224369721E-3</v>
      </c>
      <c r="J16" s="349"/>
      <c r="K16" s="425" t="s">
        <v>215</v>
      </c>
      <c r="L16" s="354">
        <f>[3]Horizon_AS!$FT$41</f>
        <v>7915</v>
      </c>
      <c r="M16" s="9">
        <f>[3]Horizon_AS!$FF$41</f>
        <v>0</v>
      </c>
      <c r="N16" s="86" t="e">
        <f>(L16-M16)/M16</f>
        <v>#DIV/0!</v>
      </c>
      <c r="O16" s="354">
        <f>SUM([3]Horizon_AS!$FN$41:$FT$41)</f>
        <v>48255</v>
      </c>
      <c r="P16" s="9">
        <f>SUM([3]Horizon_AS!$EZ$41:$FF$41)</f>
        <v>0</v>
      </c>
      <c r="Q16" s="39" t="e">
        <f>(O16-P16)/P16</f>
        <v>#DIV/0!</v>
      </c>
      <c r="R16" s="433">
        <f>O16/$O$66</f>
        <v>2.2478109172479974E-3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1864</v>
      </c>
      <c r="D18" s="352">
        <f>SUM(D19:D25)</f>
        <v>2048</v>
      </c>
      <c r="E18" s="353">
        <f t="shared" ref="E18:E25" si="0">(C18-D18)/D18</f>
        <v>-8.984375E-2</v>
      </c>
      <c r="F18" s="350">
        <f>SUM(F19:F25)</f>
        <v>12046</v>
      </c>
      <c r="G18" s="352">
        <f>SUM(G19:G25)</f>
        <v>13603</v>
      </c>
      <c r="H18" s="351">
        <f t="shared" ref="H18:H25" si="1">(F18-G18)/G18</f>
        <v>-0.11446004557818128</v>
      </c>
      <c r="I18" s="353">
        <f t="shared" ref="I18:I25" si="2">F18/$F$66</f>
        <v>5.5631757115609311E-2</v>
      </c>
      <c r="J18" s="349" t="s">
        <v>17</v>
      </c>
      <c r="K18" s="357"/>
      <c r="L18" s="350">
        <f>SUM(L19:L25)</f>
        <v>193833</v>
      </c>
      <c r="M18" s="352">
        <f>SUM(M19:M25)</f>
        <v>211041</v>
      </c>
      <c r="N18" s="353">
        <f t="shared" ref="N18:N25" si="3">(L18-M18)/M18</f>
        <v>-8.1538658364962255E-2</v>
      </c>
      <c r="O18" s="350">
        <f>SUM(O19:O25)</f>
        <v>1247518</v>
      </c>
      <c r="P18" s="352">
        <f>SUM(P19:P25)</f>
        <v>1393445</v>
      </c>
      <c r="Q18" s="351">
        <f t="shared" ref="Q18:Q25" si="4">(O18-P18)/P18</f>
        <v>-0.10472390370628192</v>
      </c>
      <c r="R18" s="353">
        <f t="shared" ref="R18:R25" si="5">O18/$O$66</f>
        <v>5.8111793179222618E-2</v>
      </c>
      <c r="S18" s="20"/>
    </row>
    <row r="19" spans="1:22" ht="14.1" customHeight="1" x14ac:dyDescent="0.2">
      <c r="A19" s="53"/>
      <c r="B19" s="359" t="s">
        <v>17</v>
      </c>
      <c r="C19" s="354">
        <f>[3]American!$FT$19</f>
        <v>1351</v>
      </c>
      <c r="D19" s="9">
        <f>[3]American!$FF$19</f>
        <v>1523</v>
      </c>
      <c r="E19" s="86">
        <f t="shared" si="0"/>
        <v>-0.11293499671700591</v>
      </c>
      <c r="F19" s="9">
        <f>SUM([3]American!$FN$19:$FT$19)</f>
        <v>8278</v>
      </c>
      <c r="G19" s="9">
        <f>SUM([3]American!$EZ$19:$FF$19)</f>
        <v>10543</v>
      </c>
      <c r="H19" s="39">
        <f t="shared" si="1"/>
        <v>-0.21483448733756996</v>
      </c>
      <c r="I19" s="86">
        <f t="shared" si="2"/>
        <v>3.8230091765151408E-2</v>
      </c>
      <c r="J19" s="53"/>
      <c r="K19" s="358" t="s">
        <v>17</v>
      </c>
      <c r="L19" s="354">
        <f>[3]American!$FT$41</f>
        <v>164580</v>
      </c>
      <c r="M19" s="9">
        <f>[3]American!$FF$41</f>
        <v>183111</v>
      </c>
      <c r="N19" s="86">
        <f t="shared" si="3"/>
        <v>-0.10120091092288284</v>
      </c>
      <c r="O19" s="354">
        <f>SUM([3]American!$FN$41:$FT$41)</f>
        <v>1033778</v>
      </c>
      <c r="P19" s="9">
        <f>SUM([3]American!$EZ$41:$FF$41)</f>
        <v>1241569</v>
      </c>
      <c r="Q19" s="39">
        <f t="shared" si="4"/>
        <v>-0.16736162065902097</v>
      </c>
      <c r="R19" s="86">
        <f t="shared" si="5"/>
        <v>4.8155371969967886E-2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Eagle'!$FT$19</f>
        <v>10</v>
      </c>
      <c r="D20" s="9">
        <f>'[3]American Eagle'!$FF$19</f>
        <v>10</v>
      </c>
      <c r="E20" s="86">
        <f t="shared" si="0"/>
        <v>0</v>
      </c>
      <c r="F20" s="9">
        <f>SUM('[3]American Eagle'!$FN$19:$FT$19)</f>
        <v>354</v>
      </c>
      <c r="G20" s="9">
        <f>SUM('[3]American Eagle'!$EZ$19:$FF$19)</f>
        <v>118</v>
      </c>
      <c r="H20" s="39">
        <f t="shared" si="1"/>
        <v>2</v>
      </c>
      <c r="I20" s="86">
        <f t="shared" si="2"/>
        <v>1.6348698338805991E-3</v>
      </c>
      <c r="J20" s="53"/>
      <c r="K20" s="424" t="s">
        <v>173</v>
      </c>
      <c r="L20" s="354">
        <f>'[3]American Eagle'!$FT$41</f>
        <v>346</v>
      </c>
      <c r="M20" s="9">
        <f>'[3]American Eagle'!$FF$41</f>
        <v>550</v>
      </c>
      <c r="N20" s="86">
        <f t="shared" si="3"/>
        <v>-0.37090909090909091</v>
      </c>
      <c r="O20" s="354">
        <f>SUM('[3]American Eagle'!$FN$41:$FT$41)</f>
        <v>22173</v>
      </c>
      <c r="P20" s="9">
        <f>SUM('[3]American Eagle'!$EZ$41:$FF$41)</f>
        <v>6093</v>
      </c>
      <c r="Q20" s="39">
        <f t="shared" si="4"/>
        <v>2.6390940423436731</v>
      </c>
      <c r="R20" s="86">
        <f t="shared" si="5"/>
        <v>1.0328610810929407E-3</v>
      </c>
      <c r="S20" s="20"/>
    </row>
    <row r="21" spans="1:22" ht="14.1" customHeight="1" x14ac:dyDescent="0.2">
      <c r="A21" s="53"/>
      <c r="B21" s="426" t="s">
        <v>52</v>
      </c>
      <c r="C21" s="354">
        <f>[3]Republic!$FT$19</f>
        <v>439</v>
      </c>
      <c r="D21" s="9">
        <f>[3]Republic!$FF$19</f>
        <v>459</v>
      </c>
      <c r="E21" s="86">
        <f t="shared" si="0"/>
        <v>-4.357298474945534E-2</v>
      </c>
      <c r="F21" s="9">
        <f>SUM([3]Republic!$FN$19:$FT$19)</f>
        <v>2897</v>
      </c>
      <c r="G21" s="9">
        <f>SUM([3]Republic!$EZ$19:$FF$19)</f>
        <v>2589</v>
      </c>
      <c r="H21" s="39">
        <f t="shared" si="1"/>
        <v>0.11896485129393589</v>
      </c>
      <c r="I21" s="86">
        <f t="shared" si="2"/>
        <v>1.3379146634892924E-2</v>
      </c>
      <c r="J21" s="363"/>
      <c r="K21" s="360" t="s">
        <v>52</v>
      </c>
      <c r="L21" s="354">
        <f>[3]Republic!$FT$41</f>
        <v>24955</v>
      </c>
      <c r="M21" s="9">
        <f>[3]Republic!$FF$41</f>
        <v>24432</v>
      </c>
      <c r="N21" s="86">
        <f t="shared" si="3"/>
        <v>2.1406352324819907E-2</v>
      </c>
      <c r="O21" s="354">
        <f>SUM([3]Republic!$FN$41:$FT$41)</f>
        <v>163052</v>
      </c>
      <c r="P21" s="9">
        <f>SUM([3]Republic!$EZ$41:$FF$41)</f>
        <v>129108</v>
      </c>
      <c r="Q21" s="39">
        <f t="shared" si="4"/>
        <v>0.26291167084921152</v>
      </c>
      <c r="R21" s="86">
        <f t="shared" si="5"/>
        <v>7.5952764621100505E-3</v>
      </c>
      <c r="S21" s="20"/>
    </row>
    <row r="22" spans="1:22" ht="14.1" customHeight="1" x14ac:dyDescent="0.2">
      <c r="A22" s="53"/>
      <c r="B22" s="426" t="s">
        <v>200</v>
      </c>
      <c r="C22" s="354">
        <f>[3]PSA!$FT$19</f>
        <v>0</v>
      </c>
      <c r="D22" s="9">
        <f>[3]PSA!$FF$19</f>
        <v>38</v>
      </c>
      <c r="E22" s="86">
        <f t="shared" si="0"/>
        <v>-1</v>
      </c>
      <c r="F22" s="9">
        <f>SUM([3]PSA!$FN$19:$FT$19)</f>
        <v>178</v>
      </c>
      <c r="G22" s="9">
        <f>SUM([3]PSA!$EZ$19:$FF$19)</f>
        <v>280</v>
      </c>
      <c r="H22" s="39">
        <f t="shared" si="1"/>
        <v>-0.36428571428571427</v>
      </c>
      <c r="I22" s="86">
        <f t="shared" si="2"/>
        <v>8.2205319330719393E-4</v>
      </c>
      <c r="J22" s="363"/>
      <c r="K22" s="426" t="s">
        <v>200</v>
      </c>
      <c r="L22" s="354">
        <f>[3]PSA!$FT$41</f>
        <v>0</v>
      </c>
      <c r="M22" s="9">
        <f>[3]PSA!$FF$41</f>
        <v>2026</v>
      </c>
      <c r="N22" s="86">
        <f t="shared" si="3"/>
        <v>-1</v>
      </c>
      <c r="O22" s="354">
        <f>SUM([3]PSA!$FN$41:$FT$41)</f>
        <v>7565</v>
      </c>
      <c r="P22" s="9">
        <f>SUM([3]PSA!$EZ$41:$FF$41)</f>
        <v>12976</v>
      </c>
      <c r="Q22" s="39">
        <f t="shared" si="4"/>
        <v>-0.41700061652281134</v>
      </c>
      <c r="R22" s="86">
        <f t="shared" si="5"/>
        <v>3.523922824366615E-4</v>
      </c>
      <c r="S22" s="20"/>
    </row>
    <row r="23" spans="1:22" ht="14.1" customHeight="1" x14ac:dyDescent="0.2">
      <c r="A23" s="53"/>
      <c r="B23" s="425" t="s">
        <v>100</v>
      </c>
      <c r="C23" s="354">
        <f>'[3]Sky West_AA'!$FT$19</f>
        <v>64</v>
      </c>
      <c r="D23" s="9">
        <f>'[3]Sky West_AA'!$FF$19</f>
        <v>18</v>
      </c>
      <c r="E23" s="86">
        <f>(C23-D23)/D23</f>
        <v>2.5555555555555554</v>
      </c>
      <c r="F23" s="9">
        <f>SUM('[3]Sky West_AA'!$FN$19:$FT$19)</f>
        <v>339</v>
      </c>
      <c r="G23" s="9">
        <f>SUM('[3]Sky West_AA'!$EZ$19:$FF$19)</f>
        <v>71</v>
      </c>
      <c r="H23" s="39">
        <f>(F23-G23)/G23</f>
        <v>3.7746478873239435</v>
      </c>
      <c r="I23" s="86">
        <f t="shared" si="2"/>
        <v>1.565595688377184E-3</v>
      </c>
      <c r="J23" s="363"/>
      <c r="K23" s="425" t="s">
        <v>100</v>
      </c>
      <c r="L23" s="354">
        <f>'[3]Sky West_AA'!$FT$41</f>
        <v>3952</v>
      </c>
      <c r="M23" s="9">
        <f>'[3]Sky West_AA'!$FF$41</f>
        <v>922</v>
      </c>
      <c r="N23" s="86">
        <f>(L23-M23)/M23</f>
        <v>3.2863340563991321</v>
      </c>
      <c r="O23" s="354">
        <f>SUM('[3]Sky West_AA'!$FN$41:$FT$41)</f>
        <v>20950</v>
      </c>
      <c r="P23" s="9">
        <f>SUM('[3]Sky West_AA'!$EZ$41:$FF$41)</f>
        <v>3609</v>
      </c>
      <c r="Q23" s="39">
        <f>(O23-P23)/P23</f>
        <v>4.8049321141590466</v>
      </c>
      <c r="R23" s="433">
        <f t="shared" si="5"/>
        <v>9.7589138361507709E-4</v>
      </c>
      <c r="S23" s="20"/>
    </row>
    <row r="24" spans="1:22" ht="14.1" customHeight="1" x14ac:dyDescent="0.2">
      <c r="A24" s="53"/>
      <c r="B24" s="426" t="s">
        <v>51</v>
      </c>
      <c r="C24" s="354">
        <f>[3]MESA!$FT$19</f>
        <v>0</v>
      </c>
      <c r="D24" s="9">
        <f>[3]MESA!$FF$19</f>
        <v>0</v>
      </c>
      <c r="E24" s="86" t="e">
        <f t="shared" si="0"/>
        <v>#DIV/0!</v>
      </c>
      <c r="F24" s="9">
        <f>SUM([3]MESA!$FN$19:$FT$19)</f>
        <v>0</v>
      </c>
      <c r="G24" s="9">
        <f>SUM([3]MESA!$EZ$19:$FF$19)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[3]MESA!$FT$41</f>
        <v>0</v>
      </c>
      <c r="M24" s="9">
        <f>[3]MESA!$FF$41</f>
        <v>0</v>
      </c>
      <c r="N24" s="86" t="e">
        <f t="shared" si="3"/>
        <v>#DIV/0!</v>
      </c>
      <c r="O24" s="354">
        <f>SUM([3]MESA!$FN$41:$FT$41)</f>
        <v>0</v>
      </c>
      <c r="P24" s="9">
        <f>SUM([3]MESA!$EZ$41:$FF$41)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Wisconsin'!$FT$19</f>
        <v>0</v>
      </c>
      <c r="D25" s="9">
        <f>'[3]Air Wisconsin'!$FF$19</f>
        <v>0</v>
      </c>
      <c r="E25" s="86" t="e">
        <f t="shared" si="0"/>
        <v>#DIV/0!</v>
      </c>
      <c r="F25" s="9">
        <f>SUM('[3]Air Wisconsin'!$FN$19:$FT$19)</f>
        <v>0</v>
      </c>
      <c r="G25" s="9">
        <f>SUM('[3]Air Wisconsin'!$EZ$19:$FF$19)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Wisconsin'!$FT$41</f>
        <v>0</v>
      </c>
      <c r="M25" s="9">
        <f>'[3]Air Wisconsin'!$FF$41</f>
        <v>0</v>
      </c>
      <c r="N25" s="86" t="e">
        <f t="shared" si="3"/>
        <v>#DIV/0!</v>
      </c>
      <c r="O25" s="354">
        <f>SUM('[3]Air Wisconsin'!$FN$41:$FT$41)</f>
        <v>0</v>
      </c>
      <c r="P25" s="9">
        <f>SUM('[3]Air Wisconsin'!$EZ$41:$FF$41)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Air'!$FT$19</f>
        <v>166</v>
      </c>
      <c r="D27" s="352">
        <f>'[3]Boutique Air'!$FF$19</f>
        <v>152</v>
      </c>
      <c r="E27" s="353">
        <f>(C27-D27)/D27</f>
        <v>9.2105263157894732E-2</v>
      </c>
      <c r="F27" s="352">
        <f>SUM('[3]Boutique Air'!$FN$19:$FT$19)</f>
        <v>1060</v>
      </c>
      <c r="G27" s="352">
        <f>SUM('[3]Boutique Air'!$EZ$19:$FF$19)</f>
        <v>1076</v>
      </c>
      <c r="H27" s="351">
        <f>(F27-G27)/G27</f>
        <v>-1.4869888475836431E-2</v>
      </c>
      <c r="I27" s="353">
        <f>F27/$F$66</f>
        <v>4.8953729489080089E-3</v>
      </c>
      <c r="J27" s="349" t="s">
        <v>197</v>
      </c>
      <c r="K27" s="359"/>
      <c r="L27" s="350">
        <f>'[3]Boutique Air'!$FT$41</f>
        <v>863</v>
      </c>
      <c r="M27" s="352">
        <f>'[3]Boutique Air'!$FF$41</f>
        <v>908</v>
      </c>
      <c r="N27" s="353">
        <f>(L27-M27)/M27</f>
        <v>-4.9559471365638763E-2</v>
      </c>
      <c r="O27" s="350">
        <f>SUM('[3]Boutique Air'!$FN$41:$FT$41)</f>
        <v>5686</v>
      </c>
      <c r="P27" s="352">
        <f>SUM('[3]Boutique Air'!$EZ$41:$FF$41)</f>
        <v>6924</v>
      </c>
      <c r="Q27" s="351">
        <f>(O27-P27)/P27</f>
        <v>-0.17879838243789717</v>
      </c>
      <c r="R27" s="353">
        <f>O27/$O$66</f>
        <v>2.6486484044082714E-4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[3]Condor!$FT$19</f>
        <v>36</v>
      </c>
      <c r="D29" s="352">
        <f>[3]Condor!$FF$19</f>
        <v>36</v>
      </c>
      <c r="E29" s="353">
        <f>(C29-D29)/D29</f>
        <v>0</v>
      </c>
      <c r="F29" s="352">
        <f>SUM([3]Condor!$FN$19:$FT$19)</f>
        <v>68</v>
      </c>
      <c r="G29" s="352">
        <f>SUM([3]Condor!$EZ$19:$FF$19)</f>
        <v>82</v>
      </c>
      <c r="H29" s="351">
        <f>(F29-G29)/G29</f>
        <v>-0.17073170731707318</v>
      </c>
      <c r="I29" s="353">
        <f>F29/$F$66</f>
        <v>3.1404279294881566E-4</v>
      </c>
      <c r="J29" s="349" t="s">
        <v>168</v>
      </c>
      <c r="K29" s="359"/>
      <c r="L29" s="350">
        <f>[3]Condor!$FT$41</f>
        <v>8876</v>
      </c>
      <c r="M29" s="352">
        <f>[3]Condor!$FF$41</f>
        <v>8783</v>
      </c>
      <c r="N29" s="353">
        <f>(L29-M29)/M29</f>
        <v>1.058863713992941E-2</v>
      </c>
      <c r="O29" s="350">
        <f>SUM([3]Condor!$FN$41:$FT$41)</f>
        <v>15923</v>
      </c>
      <c r="P29" s="352">
        <f>SUM([3]Condor!$EZ$41:$FF$41)</f>
        <v>18765</v>
      </c>
      <c r="Q29" s="351">
        <f>(O29-P29)/P29</f>
        <v>-0.15145217159605648</v>
      </c>
      <c r="R29" s="353">
        <f>O29/$O$66</f>
        <v>7.4172403347507745E-4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25351</v>
      </c>
      <c r="D31" s="352">
        <f>SUM(D32:D38)</f>
        <v>25558</v>
      </c>
      <c r="E31" s="353">
        <f t="shared" ref="E31:E38" si="6">(C31-D31)/D31</f>
        <v>-8.0992252914938567E-3</v>
      </c>
      <c r="F31" s="355">
        <f>SUM(F32:F38)</f>
        <v>158568</v>
      </c>
      <c r="G31" s="355">
        <f>SUM(G32:G38)</f>
        <v>159916</v>
      </c>
      <c r="H31" s="351">
        <f>(F31-G31)/G31</f>
        <v>-8.4294254483603896E-3</v>
      </c>
      <c r="I31" s="353">
        <f t="shared" ref="I31:I38" si="7">F31/$F$66</f>
        <v>0.73231084694570292</v>
      </c>
      <c r="J31" s="349" t="s">
        <v>18</v>
      </c>
      <c r="K31" s="361"/>
      <c r="L31" s="350">
        <f>SUM(L32:L38)</f>
        <v>2551188</v>
      </c>
      <c r="M31" s="352">
        <f>SUM(M32:M38)</f>
        <v>2535383</v>
      </c>
      <c r="N31" s="353">
        <f t="shared" ref="N31:N38" si="8">(L31-M31)/M31</f>
        <v>6.2337721756436796E-3</v>
      </c>
      <c r="O31" s="350">
        <f>SUM(O32:O38)</f>
        <v>15232970</v>
      </c>
      <c r="P31" s="352">
        <f>SUM(P32:P38)</f>
        <v>15103301</v>
      </c>
      <c r="Q31" s="351">
        <f t="shared" ref="Q31:Q38" si="9">(O31-P31)/P31</f>
        <v>8.5854741291324331E-3</v>
      </c>
      <c r="R31" s="353">
        <f t="shared" ref="R31:R38" si="10">O31/$O$66</f>
        <v>0.70958110596023682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[3]Delta!$FT$19</f>
        <v>14017</v>
      </c>
      <c r="D32" s="9">
        <f>[3]Delta!$FF$19</f>
        <v>14386</v>
      </c>
      <c r="E32" s="86">
        <f t="shared" si="6"/>
        <v>-2.5649937439176977E-2</v>
      </c>
      <c r="F32" s="9">
        <f>SUM([3]Delta!$FN$19:$FT$19)</f>
        <v>82758</v>
      </c>
      <c r="G32" s="9">
        <f>SUM([3]Delta!$EZ$19:$FF$19)</f>
        <v>82206</v>
      </c>
      <c r="H32" s="39">
        <f t="shared" ref="H32:H38" si="11">(F32-G32)/G32</f>
        <v>6.7148383329683967E-3</v>
      </c>
      <c r="I32" s="86">
        <f t="shared" si="7"/>
        <v>0.38219931557144243</v>
      </c>
      <c r="J32" s="53"/>
      <c r="K32" s="358" t="s">
        <v>18</v>
      </c>
      <c r="L32" s="354">
        <f>[3]Delta!$FT$41</f>
        <v>1963810</v>
      </c>
      <c r="M32" s="9">
        <f>[3]Delta!$FF$41</f>
        <v>1978999</v>
      </c>
      <c r="N32" s="86">
        <f t="shared" si="8"/>
        <v>-7.6750923067672094E-3</v>
      </c>
      <c r="O32" s="354">
        <f>SUM([3]Delta!$FN$41:$FT$41)</f>
        <v>11415435</v>
      </c>
      <c r="P32" s="9">
        <f>SUM([3]Delta!$EZ$41:$FF$41)</f>
        <v>11246351</v>
      </c>
      <c r="Q32" s="39">
        <f t="shared" si="9"/>
        <v>1.5034565433712677E-2</v>
      </c>
      <c r="R32" s="86">
        <f t="shared" si="10"/>
        <v>0.5317529669077794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[3]Compass!$FT$19</f>
        <v>0</v>
      </c>
      <c r="D33" s="9">
        <f>[3]Compass!$FF$19</f>
        <v>1043</v>
      </c>
      <c r="E33" s="86">
        <f t="shared" si="6"/>
        <v>-1</v>
      </c>
      <c r="F33" s="9">
        <f>SUM([3]Compass!$FN$19:$FT$19)</f>
        <v>2</v>
      </c>
      <c r="G33" s="9">
        <f>SUM([3]Compass!$EZ$19:$FF$19)</f>
        <v>7408</v>
      </c>
      <c r="H33" s="39">
        <f t="shared" si="11"/>
        <v>-0.99973002159827218</v>
      </c>
      <c r="I33" s="86">
        <f t="shared" si="7"/>
        <v>9.2365527337886954E-6</v>
      </c>
      <c r="J33" s="53"/>
      <c r="K33" s="360" t="s">
        <v>120</v>
      </c>
      <c r="L33" s="354">
        <f>[3]Compass!$FT$41</f>
        <v>0</v>
      </c>
      <c r="M33" s="9">
        <f>[3]Compass!$FF$41</f>
        <v>65241</v>
      </c>
      <c r="N33" s="86">
        <f t="shared" si="8"/>
        <v>-1</v>
      </c>
      <c r="O33" s="354">
        <f>SUM([3]Compass!$FN$41:$FT$41)</f>
        <v>0</v>
      </c>
      <c r="P33" s="9">
        <f>SUM([3]Compass!$EZ$41:$FF$41)</f>
        <v>435561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[3]Pinnacle!$FT$19</f>
        <v>2051</v>
      </c>
      <c r="D34" s="9">
        <f>[3]Pinnacle!$FF$19</f>
        <v>3280</v>
      </c>
      <c r="E34" s="86">
        <f t="shared" si="6"/>
        <v>-0.37469512195121951</v>
      </c>
      <c r="F34" s="9">
        <f>SUM([3]Pinnacle!$FN$19:$FT$19)</f>
        <v>14159</v>
      </c>
      <c r="G34" s="9">
        <f>SUM([3]Pinnacle!$EZ$19:$FF$19)</f>
        <v>22142</v>
      </c>
      <c r="H34" s="39">
        <f t="shared" si="11"/>
        <v>-0.36053653689820253</v>
      </c>
      <c r="I34" s="86">
        <f t="shared" si="7"/>
        <v>6.5390175078857068E-2</v>
      </c>
      <c r="J34" s="53"/>
      <c r="K34" s="359" t="s">
        <v>164</v>
      </c>
      <c r="L34" s="354">
        <f>[3]Pinnacle!$FT$41</f>
        <v>126774</v>
      </c>
      <c r="M34" s="9">
        <f>[3]Pinnacle!$FF$41</f>
        <v>164340</v>
      </c>
      <c r="N34" s="86">
        <f t="shared" si="8"/>
        <v>-0.22858707557502739</v>
      </c>
      <c r="O34" s="354">
        <f>SUM([3]Pinnacle!$FN$41:$FT$41)</f>
        <v>827651</v>
      </c>
      <c r="P34" s="9">
        <f>SUM([3]Pinnacle!$EZ$41:$FF$41)</f>
        <v>1107682</v>
      </c>
      <c r="Q34" s="39">
        <f t="shared" si="9"/>
        <v>-0.25280811640886103</v>
      </c>
      <c r="R34" s="86">
        <f t="shared" si="10"/>
        <v>3.8553578975675525E-2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Jet'!$FT$19</f>
        <v>478</v>
      </c>
      <c r="D35" s="9">
        <f>'[3]Go Jet'!$FF$19</f>
        <v>318</v>
      </c>
      <c r="E35" s="86">
        <f t="shared" si="6"/>
        <v>0.50314465408805031</v>
      </c>
      <c r="F35" s="9">
        <f>SUM('[3]Go Jet'!$FN$19:$FT$19)</f>
        <v>4414</v>
      </c>
      <c r="G35" s="9">
        <f>SUM('[3]Go Jet'!$EZ$19:$FF$19)</f>
        <v>3454</v>
      </c>
      <c r="H35" s="39">
        <f>(F35-G35)/G35</f>
        <v>0.27793862188766649</v>
      </c>
      <c r="I35" s="86">
        <f t="shared" si="7"/>
        <v>2.0385071883471651E-2</v>
      </c>
      <c r="J35" s="53"/>
      <c r="K35" s="358" t="s">
        <v>160</v>
      </c>
      <c r="L35" s="354">
        <f>'[3]Go Jet'!$FT$41</f>
        <v>30084</v>
      </c>
      <c r="M35" s="9">
        <f>'[3]Go Jet'!$FF$41</f>
        <v>18469</v>
      </c>
      <c r="N35" s="86">
        <f t="shared" si="8"/>
        <v>0.62889165628891652</v>
      </c>
      <c r="O35" s="354">
        <f>SUM('[3]Go Jet'!$FN$41:$FT$41)</f>
        <v>259752</v>
      </c>
      <c r="P35" s="9">
        <f>SUM('[3]Go Jet'!$EZ$41:$FF$41)</f>
        <v>193383</v>
      </c>
      <c r="Q35" s="39">
        <f>(O35-P35)/P35</f>
        <v>0.34319976419850762</v>
      </c>
      <c r="R35" s="86">
        <f t="shared" si="10"/>
        <v>1.2099748862853629E-2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West'!$FT$19</f>
        <v>8805</v>
      </c>
      <c r="D36" s="9">
        <f>'[3]Sky West'!$FF$19</f>
        <v>6281</v>
      </c>
      <c r="E36" s="86">
        <f t="shared" si="6"/>
        <v>0.40184683967521095</v>
      </c>
      <c r="F36" s="9">
        <f>SUM('[3]Sky West'!$FN$19:$FT$19)</f>
        <v>55807</v>
      </c>
      <c r="G36" s="9">
        <f>SUM('[3]Sky West'!$EZ$19:$FF$19)</f>
        <v>40254</v>
      </c>
      <c r="H36" s="39">
        <f t="shared" si="11"/>
        <v>0.38637154071645052</v>
      </c>
      <c r="I36" s="86">
        <f t="shared" si="7"/>
        <v>0.25773214920727289</v>
      </c>
      <c r="J36" s="53"/>
      <c r="K36" s="359" t="s">
        <v>100</v>
      </c>
      <c r="L36" s="354">
        <f>'[3]Sky West'!$FT$41</f>
        <v>430520</v>
      </c>
      <c r="M36" s="9">
        <f>'[3]Sky West'!$FF$41</f>
        <v>296951</v>
      </c>
      <c r="N36" s="86">
        <f t="shared" si="8"/>
        <v>0.44980148239945311</v>
      </c>
      <c r="O36" s="354">
        <f>SUM('[3]Sky West'!$FN$41:$FT$41)</f>
        <v>2656805</v>
      </c>
      <c r="P36" s="9">
        <f>SUM('[3]Sky West'!$EZ$41:$FF$41)</f>
        <v>1870910</v>
      </c>
      <c r="Q36" s="39">
        <f t="shared" si="9"/>
        <v>0.42006029151589336</v>
      </c>
      <c r="R36" s="86">
        <f t="shared" si="10"/>
        <v>0.12375909820742029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America_Delta'!$FT$19</f>
        <v>0</v>
      </c>
      <c r="D37" s="9">
        <f>'[3]Shuttle America_Delta'!$FF$19</f>
        <v>0</v>
      </c>
      <c r="E37" s="86" t="e">
        <f t="shared" si="6"/>
        <v>#DIV/0!</v>
      </c>
      <c r="F37" s="9">
        <f>SUM('[3]Shuttle America_Delta'!$FN$19:$FT$19)</f>
        <v>76</v>
      </c>
      <c r="G37" s="9">
        <f>SUM('[3]Shuttle America_Delta'!$EZ$19:$FF$19)</f>
        <v>158</v>
      </c>
      <c r="H37" s="39">
        <f t="shared" si="11"/>
        <v>-0.51898734177215189</v>
      </c>
      <c r="I37" s="86">
        <f t="shared" si="7"/>
        <v>3.5098900388397041E-4</v>
      </c>
      <c r="J37" s="53"/>
      <c r="K37" s="359" t="s">
        <v>134</v>
      </c>
      <c r="L37" s="354">
        <f>'[3]Shuttle America_Delta'!$FT$41</f>
        <v>0</v>
      </c>
      <c r="M37" s="9">
        <f>'[3]Shuttle America_Delta'!$FF$41</f>
        <v>0</v>
      </c>
      <c r="N37" s="86" t="e">
        <f t="shared" si="8"/>
        <v>#DIV/0!</v>
      </c>
      <c r="O37" s="354">
        <f>SUM('[3]Shuttle America_Delta'!$FN$41:$FT$41)</f>
        <v>4528</v>
      </c>
      <c r="P37" s="9">
        <f>SUM('[3]Shuttle America_Delta'!$EZ$41:$FF$41)</f>
        <v>8496</v>
      </c>
      <c r="Q37" s="39">
        <f t="shared" si="9"/>
        <v>-0.46704331450094161</v>
      </c>
      <c r="R37" s="86">
        <f t="shared" si="10"/>
        <v>2.1092296825818947E-4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Southeast'!$FT$19</f>
        <v>0</v>
      </c>
      <c r="D38" s="9">
        <f>'[3]Atlantic Southeast'!$FF$19</f>
        <v>250</v>
      </c>
      <c r="E38" s="86">
        <f t="shared" si="6"/>
        <v>-1</v>
      </c>
      <c r="F38" s="9">
        <f>SUM('[3]Atlantic Southeast'!$FN$19:$FT$19)</f>
        <v>1352</v>
      </c>
      <c r="G38" s="9">
        <f>SUM('[3]Atlantic Southeast'!$EZ$19:$FF$19)</f>
        <v>4294</v>
      </c>
      <c r="H38" s="39">
        <f t="shared" si="11"/>
        <v>-0.68514205868653932</v>
      </c>
      <c r="I38" s="86">
        <f t="shared" si="7"/>
        <v>6.2439096480411578E-3</v>
      </c>
      <c r="J38" s="53"/>
      <c r="K38" s="426" t="s">
        <v>174</v>
      </c>
      <c r="L38" s="354">
        <f>'[3]Atlantic Southeast'!$FT$41</f>
        <v>0</v>
      </c>
      <c r="M38" s="9">
        <f>'[3]Atlantic Southeast'!$FF$41</f>
        <v>11383</v>
      </c>
      <c r="N38" s="86">
        <f t="shared" si="8"/>
        <v>-1</v>
      </c>
      <c r="O38" s="354">
        <f>SUM('[3]Atlantic Southeast'!$FN$41:$FT$41)</f>
        <v>68799</v>
      </c>
      <c r="P38" s="9">
        <f>SUM('[3]Atlantic Southeast'!$EZ$41:$FF$41)</f>
        <v>240918</v>
      </c>
      <c r="Q38" s="39">
        <f t="shared" si="9"/>
        <v>-0.71442980599208028</v>
      </c>
      <c r="R38" s="86">
        <f t="shared" si="10"/>
        <v>3.2047900382498181E-3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[3]Frontier!$FT$19</f>
        <v>312</v>
      </c>
      <c r="D40" s="352">
        <f>[3]Frontier!$FF$19</f>
        <v>184</v>
      </c>
      <c r="E40" s="353">
        <f>(C40-D40)/D40</f>
        <v>0.69565217391304346</v>
      </c>
      <c r="F40" s="352">
        <f>SUM([3]Frontier!$FN$19:$FT$19)</f>
        <v>1932</v>
      </c>
      <c r="G40" s="352">
        <f>SUM([3]Frontier!$EZ$19:$FF$19)</f>
        <v>1235</v>
      </c>
      <c r="H40" s="351">
        <f>(F40-G40)/G40</f>
        <v>0.56437246963562748</v>
      </c>
      <c r="I40" s="353">
        <f>F40/$F$66</f>
        <v>8.9225099408398803E-3</v>
      </c>
      <c r="J40" s="349" t="s">
        <v>47</v>
      </c>
      <c r="K40" s="362"/>
      <c r="L40" s="350">
        <f>[3]Frontier!$FT$41</f>
        <v>45702</v>
      </c>
      <c r="M40" s="352">
        <f>[3]Frontier!$FF$41</f>
        <v>25172</v>
      </c>
      <c r="N40" s="353">
        <f>(L40-M40)/M40</f>
        <v>0.81558874940409976</v>
      </c>
      <c r="O40" s="350">
        <f>SUM([3]Frontier!$FN$41:$FT$41)</f>
        <v>285337</v>
      </c>
      <c r="P40" s="352">
        <f>SUM([3]Frontier!$EZ$41:$FF$41)</f>
        <v>186395</v>
      </c>
      <c r="Q40" s="351">
        <f>(O40-P40)/P40</f>
        <v>0.53081895973604443</v>
      </c>
      <c r="R40" s="353">
        <f>O40/$O$66</f>
        <v>1.3291547480982113E-2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[3]Icelandair!$FT$19</f>
        <v>94</v>
      </c>
      <c r="D42" s="352">
        <f>[3]Icelandair!$FF$19</f>
        <v>62</v>
      </c>
      <c r="E42" s="353">
        <f>(C42-D42)/D42</f>
        <v>0.5161290322580645</v>
      </c>
      <c r="F42" s="352">
        <f>SUM([3]Icelandair!$FN$19:$FT$19)</f>
        <v>344</v>
      </c>
      <c r="G42" s="352">
        <f>SUM([3]Icelandair!$EZ$19:$FF$19)</f>
        <v>320</v>
      </c>
      <c r="H42" s="351">
        <f>(F42-G42)/G42</f>
        <v>7.4999999999999997E-2</v>
      </c>
      <c r="I42" s="353">
        <f>F42/$F$66</f>
        <v>1.5886870702116556E-3</v>
      </c>
      <c r="J42" s="349" t="s">
        <v>48</v>
      </c>
      <c r="K42" s="362"/>
      <c r="L42" s="350">
        <f>[3]Icelandair!$FT$41</f>
        <v>13862</v>
      </c>
      <c r="M42" s="352">
        <f>[3]Icelandair!$FF$41</f>
        <v>14696</v>
      </c>
      <c r="N42" s="353">
        <f>(L42-M42)/M42</f>
        <v>-5.6750136091453456E-2</v>
      </c>
      <c r="O42" s="350">
        <f>SUM([3]Icelandair!$FN$41:$FT$41)</f>
        <v>49323</v>
      </c>
      <c r="P42" s="352">
        <f>SUM([3]Icelandair!$EZ$41:$FF$41)</f>
        <v>58733</v>
      </c>
      <c r="Q42" s="351">
        <f>(O42-P42)/P42</f>
        <v>-0.16021657330631842</v>
      </c>
      <c r="R42" s="353">
        <f>O42/$O$66</f>
        <v>2.2975604159449379E-3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229</v>
      </c>
      <c r="B44" s="362"/>
      <c r="C44" s="350">
        <f>'[3]Jet Blue'!$FT$19</f>
        <v>186</v>
      </c>
      <c r="D44" s="352">
        <f>'[3]Jet Blue'!$FF$19</f>
        <v>0</v>
      </c>
      <c r="E44" s="353" t="e">
        <f>(C44-D44)/D44</f>
        <v>#DIV/0!</v>
      </c>
      <c r="F44" s="352">
        <f>SUM('[3]Jet Blue'!$FN$19:$FT$19)</f>
        <v>532</v>
      </c>
      <c r="G44" s="352">
        <f>SUM('[3]Jet Blue'!$EZ$19:$FF$19)</f>
        <v>0</v>
      </c>
      <c r="H44" s="351" t="e">
        <f>(F44-G44)/G44</f>
        <v>#DIV/0!</v>
      </c>
      <c r="I44" s="353">
        <f>F44/$F$66</f>
        <v>2.456923027187793E-3</v>
      </c>
      <c r="J44" s="349" t="s">
        <v>229</v>
      </c>
      <c r="K44" s="362"/>
      <c r="L44" s="350">
        <f>'[3]Jet Blue'!$FT$41</f>
        <v>22956</v>
      </c>
      <c r="M44" s="352">
        <f>'[3]Jet Blue'!$FF$41</f>
        <v>0</v>
      </c>
      <c r="N44" s="353" t="e">
        <f>(L44-M44)/M44</f>
        <v>#DIV/0!</v>
      </c>
      <c r="O44" s="350">
        <f>SUM('[3]Jet Blue'!$FN$41:$FT$41)</f>
        <v>64729</v>
      </c>
      <c r="P44" s="352">
        <f>SUM('[3]Jet Blue'!$EZ$41:$FF$41)</f>
        <v>0</v>
      </c>
      <c r="Q44" s="351" t="e">
        <f>(O44-P44)/P44</f>
        <v>#DIV/0!</v>
      </c>
      <c r="R44" s="353">
        <f>O44/$O$66</f>
        <v>3.0152015928410656E-3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[3]KLM!$FT$19</f>
        <v>36</v>
      </c>
      <c r="D46" s="352">
        <f>[3]KLM!$FF$19</f>
        <v>26</v>
      </c>
      <c r="E46" s="353">
        <f>(C46-D46)/D46</f>
        <v>0.38461538461538464</v>
      </c>
      <c r="F46" s="352">
        <f>SUM([3]KLM!$FN$19:$FT$19)</f>
        <v>204</v>
      </c>
      <c r="G46" s="352">
        <f>SUM([3]KLM!$EZ$19:$FF$19)</f>
        <v>106</v>
      </c>
      <c r="H46" s="351">
        <f>(F46-G46)/G46</f>
        <v>0.92452830188679247</v>
      </c>
      <c r="I46" s="353">
        <f>F46/$F$66</f>
        <v>9.4212837884644692E-4</v>
      </c>
      <c r="J46" s="349" t="s">
        <v>216</v>
      </c>
      <c r="K46" s="362"/>
      <c r="L46" s="350">
        <f>[3]KLM!$FT$41</f>
        <v>8787</v>
      </c>
      <c r="M46" s="352">
        <f>[3]KLM!$FF$41</f>
        <v>6075</v>
      </c>
      <c r="N46" s="353">
        <f>(L46-M46)/M46</f>
        <v>0.44641975308641973</v>
      </c>
      <c r="O46" s="350">
        <f>SUM([3]KLM!$FN$41:$FT$41)</f>
        <v>47134</v>
      </c>
      <c r="P46" s="352">
        <f>SUM([3]KLM!$EZ$41:$FF$41)</f>
        <v>24955</v>
      </c>
      <c r="Q46" s="351">
        <f>(O46-P46)/P46</f>
        <v>0.88875976758164699</v>
      </c>
      <c r="R46" s="353">
        <f>O46/$O$66</f>
        <v>2.1955925763872575E-3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515" t="s">
        <v>132</v>
      </c>
      <c r="C48" s="350">
        <f>[3]Southwest!$FT$19</f>
        <v>1469</v>
      </c>
      <c r="D48" s="352">
        <f>[3]Southwest!$FF$19</f>
        <v>1526</v>
      </c>
      <c r="E48" s="353">
        <f>(C48-D48)/D48</f>
        <v>-3.7352555701179554E-2</v>
      </c>
      <c r="F48" s="352">
        <f>SUM([3]Southwest!$FN$19:$FT$19)</f>
        <v>9339</v>
      </c>
      <c r="G48" s="352">
        <f>SUM([3]Southwest!$EZ$19:$FF$19)</f>
        <v>10514</v>
      </c>
      <c r="H48" s="351">
        <f>(F48-G48)/G48</f>
        <v>-0.11175575423245197</v>
      </c>
      <c r="I48" s="353">
        <f>F48/$F$66</f>
        <v>4.3130082990426311E-2</v>
      </c>
      <c r="J48" s="357" t="s">
        <v>132</v>
      </c>
      <c r="L48" s="350">
        <f>[3]Southwest!$FT$41</f>
        <v>179912</v>
      </c>
      <c r="M48" s="352">
        <f>[3]Southwest!$FF$41</f>
        <v>179354</v>
      </c>
      <c r="N48" s="353">
        <f>(L48-M48)/M48</f>
        <v>3.1111656277529355E-3</v>
      </c>
      <c r="O48" s="350">
        <f>SUM([3]Southwest!$FN$41:$FT$41)</f>
        <v>1126934</v>
      </c>
      <c r="P48" s="352">
        <f>SUM([3]Southwest!$EZ$41:$FF$41)</f>
        <v>1211077</v>
      </c>
      <c r="Q48" s="351">
        <f>(O48-P48)/P48</f>
        <v>-6.9477828412231421E-2</v>
      </c>
      <c r="R48" s="353">
        <f>O48/$O$66</f>
        <v>5.2494758019230231E-2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[3]Spirit!$FT$19</f>
        <v>740</v>
      </c>
      <c r="D50" s="352">
        <f>[3]Spirit!$FF$19</f>
        <v>758</v>
      </c>
      <c r="E50" s="353">
        <f>(C50-D50)/D50</f>
        <v>-2.3746701846965697E-2</v>
      </c>
      <c r="F50" s="352">
        <f>SUM([3]Spirit!$FN$19:$FT$19)</f>
        <v>5031</v>
      </c>
      <c r="G50" s="352">
        <f>SUM([3]Spirit!$EZ$19:$FF$19)</f>
        <v>5437</v>
      </c>
      <c r="H50" s="351">
        <f>(F50-G50)/G50</f>
        <v>-7.467353319845503E-2</v>
      </c>
      <c r="I50" s="353">
        <f>F50/$F$66</f>
        <v>2.3234548401845464E-2</v>
      </c>
      <c r="J50" s="349" t="s">
        <v>161</v>
      </c>
      <c r="K50" s="55"/>
      <c r="L50" s="350">
        <f>[3]Spirit!$FT$41</f>
        <v>108629</v>
      </c>
      <c r="M50" s="352">
        <f>[3]Spirit!$FF$41</f>
        <v>108907</v>
      </c>
      <c r="N50" s="353">
        <f>(L50-M50)/M50</f>
        <v>-2.5526366532913403E-3</v>
      </c>
      <c r="O50" s="350">
        <f>SUM([3]Spirit!$FN$41:$FT$41)</f>
        <v>681439</v>
      </c>
      <c r="P50" s="352">
        <f>SUM([3]Spirit!$EZ$41:$FF$41)</f>
        <v>737780</v>
      </c>
      <c r="Q50" s="351">
        <f>(O50-P50)/P50</f>
        <v>-7.6365583236195078E-2</v>
      </c>
      <c r="R50" s="353">
        <f>O50/$O$66</f>
        <v>3.1742742174667042E-2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Country'!$FT$19</f>
        <v>1529</v>
      </c>
      <c r="D52" s="352">
        <f>'[3]Sun Country'!$FF$19</f>
        <v>1811</v>
      </c>
      <c r="E52" s="353">
        <f>(C52-D52)/D52</f>
        <v>-0.15571507454445058</v>
      </c>
      <c r="F52" s="352">
        <f>SUM('[3]Sun Country'!$FN$19:$FT$19)</f>
        <v>12233</v>
      </c>
      <c r="G52" s="352">
        <f>SUM('[3]Sun Country'!$EZ$19:$FF$19)</f>
        <v>12881</v>
      </c>
      <c r="H52" s="351">
        <f>(F52-G52)/G52</f>
        <v>-5.0306653210154491E-2</v>
      </c>
      <c r="I52" s="353">
        <f>F52/$F$66</f>
        <v>5.6495374796218557E-2</v>
      </c>
      <c r="J52" s="349" t="s">
        <v>49</v>
      </c>
      <c r="K52" s="362"/>
      <c r="L52" s="350">
        <f>'[3]Sun Country'!$FT$41</f>
        <v>198882</v>
      </c>
      <c r="M52" s="352">
        <f>'[3]Sun Country'!$FF$41</f>
        <v>221850</v>
      </c>
      <c r="N52" s="353">
        <f>(L52-M52)/M52</f>
        <v>-0.10352941176470588</v>
      </c>
      <c r="O52" s="350">
        <f>SUM('[3]Sun Country'!$FN$41:$FT$41)</f>
        <v>1480096</v>
      </c>
      <c r="P52" s="352">
        <f>SUM('[3]Sun Country'!$EZ$41:$FF$41)</f>
        <v>1486145</v>
      </c>
      <c r="Q52" s="351">
        <f>(O52-P52)/P52</f>
        <v>-4.0702623229900174E-3</v>
      </c>
      <c r="R52" s="353">
        <f>O52/$O$66</f>
        <v>6.8945724740961389E-2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1604</v>
      </c>
      <c r="D54" s="352">
        <f>SUM(D55:D61)</f>
        <v>1794</v>
      </c>
      <c r="E54" s="353">
        <f t="shared" ref="E54:E61" si="12">(C54-D54)/D54</f>
        <v>-0.10590858416945373</v>
      </c>
      <c r="F54" s="352">
        <f>SUM(F55:F61)</f>
        <v>10230</v>
      </c>
      <c r="G54" s="352">
        <f>SUM(G55:G61)</f>
        <v>11430</v>
      </c>
      <c r="H54" s="351">
        <f t="shared" ref="H54:H61" si="13">(F54-G54)/G54</f>
        <v>-0.10498687664041995</v>
      </c>
      <c r="I54" s="353">
        <f t="shared" ref="I54:I61" si="14">F54/$F$66</f>
        <v>4.7244967233329174E-2</v>
      </c>
      <c r="J54" s="349" t="s">
        <v>19</v>
      </c>
      <c r="K54" s="357"/>
      <c r="L54" s="350">
        <f>SUM(L55:L61)</f>
        <v>154223</v>
      </c>
      <c r="M54" s="352">
        <f>SUM(M55:M61)</f>
        <v>162410</v>
      </c>
      <c r="N54" s="353">
        <f t="shared" ref="N54:N61" si="15">(L54-M54)/M54</f>
        <v>-5.0409457545717629E-2</v>
      </c>
      <c r="O54" s="350">
        <f>SUM(O55:O61)</f>
        <v>912473</v>
      </c>
      <c r="P54" s="352">
        <f>SUM(P55:P61)</f>
        <v>970361</v>
      </c>
      <c r="Q54" s="351">
        <f t="shared" ref="Q54:Q61" si="16">(O54-P54)/P54</f>
        <v>-5.9656148587999724E-2</v>
      </c>
      <c r="R54" s="353">
        <f t="shared" ref="R54:R61" si="17">O54/$O$66</f>
        <v>4.2504751240162307E-2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[3]United!$FT$19</f>
        <v>812</v>
      </c>
      <c r="D55" s="9">
        <f>[3]United!$FF$19+[3]Continental!$FF$19</f>
        <v>914</v>
      </c>
      <c r="E55" s="86">
        <f t="shared" si="12"/>
        <v>-0.11159737417943107</v>
      </c>
      <c r="F55" s="9">
        <f>SUM([3]United!$FN$19:$FT$19)</f>
        <v>4234</v>
      </c>
      <c r="G55" s="9">
        <f>SUM([3]United!$EZ$19:$FF$19)+SUM([3]Continental!$EZ$19:$FF$19)</f>
        <v>5070</v>
      </c>
      <c r="H55" s="39">
        <f t="shared" si="13"/>
        <v>-0.16489151873767258</v>
      </c>
      <c r="I55" s="86">
        <f t="shared" si="14"/>
        <v>1.955378213743067E-2</v>
      </c>
      <c r="J55" s="363"/>
      <c r="K55" s="424" t="s">
        <v>19</v>
      </c>
      <c r="L55" s="354">
        <f>[3]United!$FT$41</f>
        <v>101431</v>
      </c>
      <c r="M55" s="9">
        <f>[3]United!$FF$41+[3]Continental!$FF$41</f>
        <v>106947</v>
      </c>
      <c r="N55" s="86">
        <f t="shared" si="15"/>
        <v>-5.1576949330041984E-2</v>
      </c>
      <c r="O55" s="354">
        <f>SUM([3]United!$FN$41:$FT$41)</f>
        <v>528341</v>
      </c>
      <c r="P55" s="9">
        <f>SUM([3]United!$EZ$41:$FF$41)+SUM([3]Continental!$EZ$41:$FF$41)</f>
        <v>590313</v>
      </c>
      <c r="Q55" s="39">
        <f t="shared" si="16"/>
        <v>-0.10498159451003113</v>
      </c>
      <c r="R55" s="86">
        <f t="shared" si="17"/>
        <v>2.4611142220075106E-2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Express'!$FT$19</f>
        <v>0</v>
      </c>
      <c r="D56" s="9">
        <f>'[3]Continental Express'!$FF$19</f>
        <v>10</v>
      </c>
      <c r="E56" s="86">
        <f t="shared" si="12"/>
        <v>-1</v>
      </c>
      <c r="F56" s="9">
        <f>SUM('[3]Continental Express'!$FN$19:$FT$19)</f>
        <v>52</v>
      </c>
      <c r="G56" s="9">
        <f>SUM('[3]Continental Express'!$EZ$19:$FF$19)</f>
        <v>130</v>
      </c>
      <c r="H56" s="39">
        <f t="shared" si="13"/>
        <v>-0.6</v>
      </c>
      <c r="I56" s="86">
        <f t="shared" si="14"/>
        <v>2.4015037107850607E-4</v>
      </c>
      <c r="J56" s="53"/>
      <c r="K56" s="424" t="s">
        <v>174</v>
      </c>
      <c r="L56" s="354">
        <f>'[3]Continental Express'!$FT$41</f>
        <v>0</v>
      </c>
      <c r="M56" s="9">
        <f>'[3]Continental Express'!$FF$41</f>
        <v>490</v>
      </c>
      <c r="N56" s="86">
        <f t="shared" si="15"/>
        <v>-1</v>
      </c>
      <c r="O56" s="354">
        <f>SUM('[3]Continental Express'!$FN$41:$FT$41)</f>
        <v>1597</v>
      </c>
      <c r="P56" s="9">
        <f>SUM('[3]Continental Express'!$EZ$41:$FF$41)</f>
        <v>5353</v>
      </c>
      <c r="Q56" s="39">
        <f t="shared" si="16"/>
        <v>-0.70166261909209793</v>
      </c>
      <c r="R56" s="86">
        <f t="shared" si="17"/>
        <v>7.4391338407316383E-5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Jet_UA'!$FT$19</f>
        <v>0</v>
      </c>
      <c r="D57" s="9">
        <f>'[3]Go Jet_UA'!$FF$19</f>
        <v>26</v>
      </c>
      <c r="E57" s="86">
        <f t="shared" si="12"/>
        <v>-1</v>
      </c>
      <c r="F57" s="9">
        <f>SUM('[3]Go Jet_UA'!$FN$19:$FT$19)</f>
        <v>156</v>
      </c>
      <c r="G57" s="9">
        <f>SUM('[3]Go Jet_UA'!$EZ$19:$FF$19)</f>
        <v>166</v>
      </c>
      <c r="H57" s="39">
        <f t="shared" si="13"/>
        <v>-6.0240963855421686E-2</v>
      </c>
      <c r="I57" s="86">
        <f t="shared" si="14"/>
        <v>7.2045111323551828E-4</v>
      </c>
      <c r="J57" s="363"/>
      <c r="K57" s="358" t="s">
        <v>160</v>
      </c>
      <c r="L57" s="354">
        <f>'[3]Go Jet_UA'!$FT$41</f>
        <v>0</v>
      </c>
      <c r="M57" s="9">
        <f>'[3]Go Jet_UA'!$FF$41</f>
        <v>1722</v>
      </c>
      <c r="N57" s="86">
        <f t="shared" si="15"/>
        <v>-1</v>
      </c>
      <c r="O57" s="354">
        <f>SUM('[3]Go Jet_UA'!$FN$41:$FT$41)</f>
        <v>10304</v>
      </c>
      <c r="P57" s="9">
        <f>SUM('[3]Go Jet_UA'!$EZ$41:$FF$41)</f>
        <v>10613</v>
      </c>
      <c r="Q57" s="39">
        <f t="shared" si="16"/>
        <v>-2.9115236031282389E-2</v>
      </c>
      <c r="R57" s="86">
        <f t="shared" si="17"/>
        <v>4.7998018218471384E-4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[3]MESA_UA!$FT$19</f>
        <v>262</v>
      </c>
      <c r="D58" s="9">
        <f>[3]MESA_UA!$FF$19</f>
        <v>308</v>
      </c>
      <c r="E58" s="86">
        <f t="shared" si="12"/>
        <v>-0.14935064935064934</v>
      </c>
      <c r="F58" s="9">
        <f>SUM([3]MESA_UA!$FN$19:$FT$19)</f>
        <v>1946</v>
      </c>
      <c r="G58" s="9">
        <f>SUM([3]MESA_UA!$EZ$19:$FF$19)</f>
        <v>2154</v>
      </c>
      <c r="H58" s="39">
        <f>(F58-G58)/G58</f>
        <v>-9.6564531104921081E-2</v>
      </c>
      <c r="I58" s="86">
        <f t="shared" si="14"/>
        <v>8.9871658099764003E-3</v>
      </c>
      <c r="J58" s="363"/>
      <c r="K58" s="358" t="s">
        <v>51</v>
      </c>
      <c r="L58" s="354">
        <f>[3]MESA_UA!$FT$41</f>
        <v>18318</v>
      </c>
      <c r="M58" s="9">
        <f>[3]MESA_UA!$FF$41</f>
        <v>18775</v>
      </c>
      <c r="N58" s="86">
        <f t="shared" si="15"/>
        <v>-2.4340878828229027E-2</v>
      </c>
      <c r="O58" s="354">
        <f>SUM([3]MESA_UA!$FN$41:$FT$41)</f>
        <v>124874</v>
      </c>
      <c r="P58" s="9">
        <f>SUM([3]MESA_UA!$EZ$41:$FF$41)</f>
        <v>125156</v>
      </c>
      <c r="Q58" s="39">
        <f t="shared" si="16"/>
        <v>-2.253188021349356E-3</v>
      </c>
      <c r="R58" s="86">
        <f t="shared" si="17"/>
        <v>5.8168716294772858E-3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[3]Republic_UA!$FT$19</f>
        <v>454</v>
      </c>
      <c r="D59" s="9">
        <f>[3]Republic_UA!$FF$19</f>
        <v>304</v>
      </c>
      <c r="E59" s="86">
        <f t="shared" si="12"/>
        <v>0.49342105263157893</v>
      </c>
      <c r="F59" s="9">
        <f>SUM([3]Republic_UA!$FN$19:$FT$19)</f>
        <v>2724</v>
      </c>
      <c r="G59" s="9">
        <f>SUM([3]Republic_UA!$EZ$19:$FF$19)</f>
        <v>2046</v>
      </c>
      <c r="H59" s="39">
        <f t="shared" ref="H59" si="18">(F59-G59)/G59</f>
        <v>0.33137829912023459</v>
      </c>
      <c r="I59" s="86">
        <f t="shared" si="14"/>
        <v>1.2580184823420203E-2</v>
      </c>
      <c r="J59" s="363"/>
      <c r="K59" s="426" t="s">
        <v>52</v>
      </c>
      <c r="L59" s="354">
        <f>[3]Republic_UA!$FT$41</f>
        <v>29337</v>
      </c>
      <c r="M59" s="9">
        <f>[3]Republic_UA!$FF$41</f>
        <v>18670</v>
      </c>
      <c r="N59" s="86">
        <f t="shared" si="15"/>
        <v>0.57134440278521692</v>
      </c>
      <c r="O59" s="354">
        <f>SUM([3]Republic_UA!$FN$41:$FT$41)</f>
        <v>173991</v>
      </c>
      <c r="P59" s="9">
        <f>SUM([3]Republic_UA!$EZ$41:$FF$41)</f>
        <v>117407</v>
      </c>
      <c r="Q59" s="39">
        <f t="shared" si="16"/>
        <v>0.48194741369765004</v>
      </c>
      <c r="R59" s="86">
        <f t="shared" si="17"/>
        <v>8.1048361683327391E-3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West_UA'!$FT$19</f>
        <v>76</v>
      </c>
      <c r="D60" s="9">
        <f>'[3]Sky West_UA'!$FF$19+'[3]Sky West_CO'!$FF$19</f>
        <v>232</v>
      </c>
      <c r="E60" s="86">
        <f t="shared" si="12"/>
        <v>-0.67241379310344829</v>
      </c>
      <c r="F60" s="9">
        <f>SUM('[3]Sky West_UA'!$FN$19:$FT$19)</f>
        <v>1118</v>
      </c>
      <c r="G60" s="9">
        <f>SUM('[3]Sky West_UA'!$EZ$19:$FF$19)+SUM('[3]Sky West_CO'!$EZ$19:$FF$19)</f>
        <v>1840</v>
      </c>
      <c r="H60" s="39">
        <f t="shared" si="13"/>
        <v>-0.3923913043478261</v>
      </c>
      <c r="I60" s="86">
        <f t="shared" si="14"/>
        <v>5.1632329781878808E-3</v>
      </c>
      <c r="J60" s="363"/>
      <c r="K60" s="358" t="s">
        <v>100</v>
      </c>
      <c r="L60" s="354">
        <f>'[3]Sky West_UA'!$FT$41</f>
        <v>5137</v>
      </c>
      <c r="M60" s="9">
        <f>'[3]Sky West_UA'!$FF$41+'[3]Sky West_CO'!$FF$41</f>
        <v>15806</v>
      </c>
      <c r="N60" s="86">
        <f t="shared" si="15"/>
        <v>-0.67499683664431231</v>
      </c>
      <c r="O60" s="354">
        <f>SUM('[3]Sky West_UA'!$FN$41:$FT$41)</f>
        <v>73366</v>
      </c>
      <c r="P60" s="9">
        <f>SUM('[3]Sky West_UA'!$EZ$41:$FF$41)+SUM('[3]Sky West_CO'!$EZ$41:$FF$41)</f>
        <v>120246</v>
      </c>
      <c r="Q60" s="39">
        <f t="shared" si="16"/>
        <v>-0.38986743841790994</v>
      </c>
      <c r="R60" s="86">
        <f t="shared" si="17"/>
        <v>3.417529701685143E-3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America'!$FT$19</f>
        <v>0</v>
      </c>
      <c r="D61" s="9">
        <f>'[3]Shuttle America'!$FF$19</f>
        <v>0</v>
      </c>
      <c r="E61" s="86" t="e">
        <f t="shared" si="12"/>
        <v>#DIV/0!</v>
      </c>
      <c r="F61" s="9">
        <f>SUM('[3]Shuttle America'!$FN$19:$FT$19)</f>
        <v>0</v>
      </c>
      <c r="G61" s="9">
        <f>SUM('[3]Shuttle America'!$EZ$19:$FF$19)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America'!$FT$41</f>
        <v>0</v>
      </c>
      <c r="M61" s="9">
        <f>'[3]Shuttle America'!$FF$41</f>
        <v>0</v>
      </c>
      <c r="N61" s="86" t="e">
        <f t="shared" si="15"/>
        <v>#DIV/0!</v>
      </c>
      <c r="O61" s="354">
        <f>SUM('[3]Shuttle America'!$FN$41:$FT$41)</f>
        <v>0</v>
      </c>
      <c r="P61" s="9">
        <f>SUM('[3]Shuttle America'!$EZ$41:$FF$41)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21118</v>
      </c>
      <c r="D64" s="439">
        <f>+D66-D65</f>
        <v>21868</v>
      </c>
      <c r="E64" s="440">
        <f>(C64-D64)/D64</f>
        <v>-3.4296689226266691E-2</v>
      </c>
      <c r="F64" s="438">
        <f t="shared" ref="F64:G64" si="19">+F66-F65</f>
        <v>128377</v>
      </c>
      <c r="G64" s="439">
        <f t="shared" si="19"/>
        <v>132257</v>
      </c>
      <c r="H64" s="445">
        <f>(F64-G64)/G64</f>
        <v>-2.9336821491490053E-2</v>
      </c>
      <c r="I64" s="501">
        <f>F64/$F$66</f>
        <v>0.59288046515279569</v>
      </c>
      <c r="K64" s="372" t="s">
        <v>136</v>
      </c>
      <c r="L64" s="438">
        <f>+L66-L65</f>
        <v>2850605</v>
      </c>
      <c r="M64" s="439">
        <f>+M66-M65</f>
        <v>2877387</v>
      </c>
      <c r="N64" s="440">
        <f>(L64-M64)/M64</f>
        <v>-9.3077503999288245E-3</v>
      </c>
      <c r="O64" s="438">
        <f t="shared" ref="O64" si="20">+O66-O65</f>
        <v>16895175</v>
      </c>
      <c r="P64" s="439">
        <f>+P66-P65</f>
        <v>16986918</v>
      </c>
      <c r="Q64" s="488">
        <f>(O64-P64)/P64</f>
        <v>-5.4008031356835894E-3</v>
      </c>
      <c r="R64" s="494">
        <f>+O64/O66</f>
        <v>0.78700981895794087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13005</v>
      </c>
      <c r="D65" s="373">
        <f>D61+D38+D36+D34+D33+D37+D20+D60+D57+D35+D56+D58+D25+D24+D21+D15+D6+D59+D22+D23+D7+D16+D5</f>
        <v>12875</v>
      </c>
      <c r="E65" s="374">
        <f>(C65-D65)/D65</f>
        <v>1.0097087378640776E-2</v>
      </c>
      <c r="F65" s="441">
        <f>F61+F38+F36+F34+F33+F37+F20+F60+F57+F35+F56+F58+F25+F24+F21+F15+F6+F59+F22+F23+F7+F16</f>
        <v>88154</v>
      </c>
      <c r="G65" s="373">
        <f>G61+G38+G36+G34+G33+G37+G20+G60+G57+G35+G56+G58+G25+G24+G21+G15+G6+G59+G22+G23+G7+G16</f>
        <v>88822</v>
      </c>
      <c r="H65" s="446">
        <f>(F65-G65)/G65</f>
        <v>-7.5206592961203304E-3</v>
      </c>
      <c r="I65" s="502">
        <f>F65/$F$66</f>
        <v>0.40711953484720431</v>
      </c>
      <c r="K65" s="329" t="s">
        <v>137</v>
      </c>
      <c r="L65" s="441">
        <f>L61+L38+L36+L34+L33+L37+L20+L60+L57+L35+L56+L58+L25+L24+L21+L15+L6+L59+L22+L23+L7+L16</f>
        <v>693224</v>
      </c>
      <c r="M65" s="373">
        <f>M61+M38+M36+M34+M33+M37+M20+M60+M57+M35+M56+M58+M25+M24+M21+M15+M6+M59+M22+M23+M7+M16</f>
        <v>658031</v>
      </c>
      <c r="N65" s="374">
        <f>(L65-M65)/M65</f>
        <v>5.3482282749596904E-2</v>
      </c>
      <c r="O65" s="441">
        <f>O61+O38+O36+O34+O33+O37+O20+O60+O57+O35+O56+O58+O25+O24+O21+O15+O6+O59+O22+O23+O7+O16</f>
        <v>4572378</v>
      </c>
      <c r="P65" s="373">
        <f>P61+P38+P36+P34+P33+P37+P20+P60+P57+P35+P56+P58+P25+P24+P21+P15+P6+P59+P22+P23+P7+P16</f>
        <v>4474367</v>
      </c>
      <c r="Q65" s="486">
        <f>(O65-P65)/P65</f>
        <v>2.1904997958370424E-2</v>
      </c>
      <c r="R65" s="495">
        <f>+O65/O66</f>
        <v>0.21299018104205916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34123</v>
      </c>
      <c r="D66" s="443">
        <f>D54+D52+D42+D40+D31+D18+D13+D4+D50+D29+D27+D9+D46+D11+D44+D48</f>
        <v>34743</v>
      </c>
      <c r="E66" s="444">
        <f>(C66-D66)/D66</f>
        <v>-1.7845321359698355E-2</v>
      </c>
      <c r="F66" s="442">
        <f>F54+F52+F42+F40+F31+F18+F13+F4+F50+F29+F27+F9+F46+F11+F44+F48</f>
        <v>216531</v>
      </c>
      <c r="G66" s="443">
        <f>G54+G52+G42+G40+G31+G18+G13+G4+G50+G29+G27+G9+G46+G11+G44+G48</f>
        <v>221079</v>
      </c>
      <c r="H66" s="447">
        <f>(F66-G66)/G66</f>
        <v>-2.0571831788636641E-2</v>
      </c>
      <c r="I66" s="503">
        <f>+H66/H66</f>
        <v>1</v>
      </c>
      <c r="K66" s="329" t="s">
        <v>138</v>
      </c>
      <c r="L66" s="442">
        <f>L54+L52+L42+L40+L31+L18+L13+L4+L50+L29+L27+L9+L46+L11+L44+L48</f>
        <v>3543829</v>
      </c>
      <c r="M66" s="443">
        <f>M54+M52+M42+M40+M31+M18+M13+M4+M50+M29+M27+M9+M46+M11+M44+M48</f>
        <v>3535418</v>
      </c>
      <c r="N66" s="444">
        <f>(L66-M66)/M66</f>
        <v>2.3790680479649083E-3</v>
      </c>
      <c r="O66" s="442">
        <f>O54+O52+O42+O40+O31+O18+O13+O4+O50+O29+O27+O9+O46+O11+O44+O48</f>
        <v>21467553</v>
      </c>
      <c r="P66" s="443">
        <f>P54+P52+P42+P40+P31+P18+P13+P4+P50+P29+P27+P9+P46+P11+P44+P48</f>
        <v>21461285</v>
      </c>
      <c r="Q66" s="489">
        <f>(O66-P66)/P66</f>
        <v>2.9206079691873062E-4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July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zoomScaleSheetLayoutView="100" workbookViewId="0">
      <selection activeCell="J28" sqref="J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43282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229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[3]American!$FT$22</f>
        <v>83355</v>
      </c>
      <c r="C4" s="21">
        <f>[3]Delta!$FT$22+[3]Delta!$FT$32</f>
        <v>983233</v>
      </c>
      <c r="D4" s="21">
        <f>[3]United!$FT$22</f>
        <v>50326</v>
      </c>
      <c r="E4" s="21">
        <f>[3]Spirit!$FT$22</f>
        <v>53870</v>
      </c>
      <c r="F4" s="21">
        <f>[3]Condor!$FT$22+[3]Condor!$FT$32</f>
        <v>4485</v>
      </c>
      <c r="G4" s="21">
        <f>'[3]Air France'!$FT$22+'[3]Air France'!$FT$32</f>
        <v>6560</v>
      </c>
      <c r="H4" s="21">
        <f>'[3]Jet Blue'!$FT$22</f>
        <v>11478</v>
      </c>
      <c r="I4" s="21">
        <f>[3]KLM!$FT$22+[3]KLM!$FT$32</f>
        <v>4888</v>
      </c>
      <c r="J4" s="21">
        <f>'Other Major Airline Stats'!J5</f>
        <v>228605</v>
      </c>
      <c r="K4" s="281">
        <f>SUM(B4:J4)</f>
        <v>1426800</v>
      </c>
    </row>
    <row r="5" spans="1:20" x14ac:dyDescent="0.2">
      <c r="A5" s="62" t="s">
        <v>31</v>
      </c>
      <c r="B5" s="14">
        <f>[3]American!$FT$23</f>
        <v>81225</v>
      </c>
      <c r="C5" s="14">
        <f>[3]Delta!$FT$23+[3]Delta!$FT$33</f>
        <v>980577</v>
      </c>
      <c r="D5" s="14">
        <f>[3]United!$FT$23</f>
        <v>51105</v>
      </c>
      <c r="E5" s="14">
        <f>[3]Spirit!$FT$23</f>
        <v>54759</v>
      </c>
      <c r="F5" s="14">
        <f>[3]Condor!$FT$23+[3]Condor!$FT$33</f>
        <v>4391</v>
      </c>
      <c r="G5" s="14">
        <f>'[3]Air France'!$FT$23+'[3]Air France'!$FT$33</f>
        <v>4769</v>
      </c>
      <c r="H5" s="14">
        <f>'[3]Jet Blue'!$FT$23</f>
        <v>11478</v>
      </c>
      <c r="I5" s="14">
        <f>[3]KLM!$FT$23+[3]KLM!$FT$33</f>
        <v>3899</v>
      </c>
      <c r="J5" s="14">
        <f>'Other Major Airline Stats'!J6</f>
        <v>231602</v>
      </c>
      <c r="K5" s="282">
        <f>SUM(B5:J5)</f>
        <v>1423805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164580</v>
      </c>
      <c r="C6" s="34">
        <f t="shared" si="0"/>
        <v>1963810</v>
      </c>
      <c r="D6" s="34">
        <f t="shared" si="0"/>
        <v>101431</v>
      </c>
      <c r="E6" s="34">
        <f t="shared" si="0"/>
        <v>108629</v>
      </c>
      <c r="F6" s="34">
        <f t="shared" ref="F6:I6" si="1">SUM(F4:F5)</f>
        <v>8876</v>
      </c>
      <c r="G6" s="34">
        <f t="shared" si="1"/>
        <v>11329</v>
      </c>
      <c r="H6" s="34">
        <f t="shared" si="1"/>
        <v>22956</v>
      </c>
      <c r="I6" s="34">
        <f t="shared" si="1"/>
        <v>8787</v>
      </c>
      <c r="J6" s="34">
        <f t="shared" si="0"/>
        <v>460207</v>
      </c>
      <c r="K6" s="283">
        <f>SUM(B6:J6)</f>
        <v>2850605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[3]American!$FT$27</f>
        <v>3821</v>
      </c>
      <c r="C9" s="21">
        <f>[3]Delta!$FT$27+[3]Delta!$FT$37</f>
        <v>35908</v>
      </c>
      <c r="D9" s="21">
        <f>[3]United!$FT$27</f>
        <v>1758</v>
      </c>
      <c r="E9" s="21">
        <f>[3]Spirit!$FT$27</f>
        <v>365</v>
      </c>
      <c r="F9" s="21">
        <f>[3]Condor!$FT$27+[3]Condor!$FT$37</f>
        <v>4</v>
      </c>
      <c r="G9" s="21">
        <f>'[3]Air France'!$FT$27+'[3]Air France'!$FT$37</f>
        <v>7</v>
      </c>
      <c r="H9" s="21">
        <f>'[3]Jet Blue'!$FT$27</f>
        <v>283</v>
      </c>
      <c r="I9" s="21">
        <f>[3]KLM!$FT$27+[3]KLM!$FT$37</f>
        <v>41</v>
      </c>
      <c r="J9" s="21">
        <f>'Other Major Airline Stats'!J10</f>
        <v>5255</v>
      </c>
      <c r="K9" s="281">
        <f>SUM(B9:J9)</f>
        <v>47442</v>
      </c>
    </row>
    <row r="10" spans="1:20" x14ac:dyDescent="0.2">
      <c r="A10" s="62" t="s">
        <v>33</v>
      </c>
      <c r="B10" s="14">
        <f>[3]American!$FT$28</f>
        <v>4338</v>
      </c>
      <c r="C10" s="14">
        <f>[3]Delta!$FT$28+[3]Delta!$FT$38</f>
        <v>35319</v>
      </c>
      <c r="D10" s="14">
        <f>[3]United!$FT$28</f>
        <v>1723</v>
      </c>
      <c r="E10" s="14">
        <f>[3]Spirit!$FT$28</f>
        <v>331</v>
      </c>
      <c r="F10" s="14">
        <f>[3]Condor!$FT$28+[3]Condor!$FT$38</f>
        <v>5</v>
      </c>
      <c r="G10" s="14">
        <f>'[3]Air France'!$FT$28+'[3]Air France'!$FT$38</f>
        <v>6</v>
      </c>
      <c r="H10" s="14">
        <f>'[3]Jet Blue'!$FT$28</f>
        <v>286</v>
      </c>
      <c r="I10" s="14">
        <f>[3]KLM!$FT$28+[3]KLM!$FT$38</f>
        <v>37</v>
      </c>
      <c r="J10" s="14">
        <f>'Other Major Airline Stats'!J11</f>
        <v>5074</v>
      </c>
      <c r="K10" s="282">
        <f>SUM(B10:J10)</f>
        <v>47119</v>
      </c>
    </row>
    <row r="11" spans="1:20" ht="15.75" thickBot="1" x14ac:dyDescent="0.3">
      <c r="A11" s="63" t="s">
        <v>34</v>
      </c>
      <c r="B11" s="284">
        <f t="shared" ref="B11:J11" si="2">SUM(B9:B10)</f>
        <v>8159</v>
      </c>
      <c r="C11" s="284">
        <f t="shared" si="2"/>
        <v>71227</v>
      </c>
      <c r="D11" s="284">
        <f t="shared" si="2"/>
        <v>3481</v>
      </c>
      <c r="E11" s="284">
        <f t="shared" si="2"/>
        <v>696</v>
      </c>
      <c r="F11" s="284">
        <f t="shared" ref="F11:I11" si="3">SUM(F9:F10)</f>
        <v>9</v>
      </c>
      <c r="G11" s="284">
        <f t="shared" si="3"/>
        <v>13</v>
      </c>
      <c r="H11" s="284">
        <f t="shared" si="3"/>
        <v>569</v>
      </c>
      <c r="I11" s="284">
        <f t="shared" si="3"/>
        <v>78</v>
      </c>
      <c r="J11" s="284">
        <f t="shared" si="2"/>
        <v>10329</v>
      </c>
      <c r="K11" s="285">
        <f>SUM(B11:J11)</f>
        <v>94561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[3]American!$FT$4</f>
        <v>676</v>
      </c>
      <c r="C15" s="21">
        <f>[3]Delta!$FT$4+[3]Delta!$FT$15</f>
        <v>7004</v>
      </c>
      <c r="D15" s="21">
        <f>[3]United!$FT$4</f>
        <v>406</v>
      </c>
      <c r="E15" s="21">
        <f>[3]Spirit!$FT$4</f>
        <v>370</v>
      </c>
      <c r="F15" s="21">
        <f>[3]Condor!$FT$4+[3]Condor!$FT$15</f>
        <v>18</v>
      </c>
      <c r="G15" s="21">
        <f>'[3]Air France'!$FT$4+'[3]Air France'!$FT$15</f>
        <v>26</v>
      </c>
      <c r="H15" s="21">
        <f>'[3]Jet Blue'!$FT$4</f>
        <v>93</v>
      </c>
      <c r="I15" s="21">
        <f>[3]KLM!$FT$4+[3]KLM!$FT$15</f>
        <v>18</v>
      </c>
      <c r="J15" s="21">
        <f>'Other Major Airline Stats'!J16</f>
        <v>1893</v>
      </c>
      <c r="K15" s="27">
        <f>SUM(B15:J15)</f>
        <v>10504</v>
      </c>
    </row>
    <row r="16" spans="1:20" x14ac:dyDescent="0.2">
      <c r="A16" s="62" t="s">
        <v>23</v>
      </c>
      <c r="B16" s="14">
        <f>[3]American!$FT$5</f>
        <v>675</v>
      </c>
      <c r="C16" s="14">
        <f>[3]Delta!$FT$5+[3]Delta!$FT$16</f>
        <v>6991</v>
      </c>
      <c r="D16" s="14">
        <f>[3]United!$FT$5</f>
        <v>406</v>
      </c>
      <c r="E16" s="14">
        <f>[3]Spirit!$FT$5</f>
        <v>370</v>
      </c>
      <c r="F16" s="14">
        <f>[3]Condor!$FT$5+[3]Condor!$FT$16</f>
        <v>18</v>
      </c>
      <c r="G16" s="14">
        <f>'[3]Air France'!$FT$5+'[3]Air France'!$FT$16</f>
        <v>26</v>
      </c>
      <c r="H16" s="14">
        <f>'[3]Jet Blue'!$FT$5</f>
        <v>93</v>
      </c>
      <c r="I16" s="14">
        <f>[3]KLM!$FT$5+[3]KLM!$FT$16</f>
        <v>18</v>
      </c>
      <c r="J16" s="14">
        <f>'Other Major Airline Stats'!J17</f>
        <v>1894</v>
      </c>
      <c r="K16" s="33">
        <f>SUM(B16:J16)</f>
        <v>10491</v>
      </c>
    </row>
    <row r="17" spans="1:11" x14ac:dyDescent="0.2">
      <c r="A17" s="62" t="s">
        <v>24</v>
      </c>
      <c r="B17" s="288">
        <f t="shared" ref="B17:J17" si="4">SUM(B15:B16)</f>
        <v>1351</v>
      </c>
      <c r="C17" s="286">
        <f t="shared" si="4"/>
        <v>13995</v>
      </c>
      <c r="D17" s="286">
        <f t="shared" si="4"/>
        <v>812</v>
      </c>
      <c r="E17" s="286">
        <f t="shared" si="4"/>
        <v>740</v>
      </c>
      <c r="F17" s="286">
        <f t="shared" ref="F17:I17" si="5">SUM(F15:F16)</f>
        <v>36</v>
      </c>
      <c r="G17" s="286">
        <f t="shared" si="5"/>
        <v>52</v>
      </c>
      <c r="H17" s="286">
        <f t="shared" si="5"/>
        <v>186</v>
      </c>
      <c r="I17" s="286">
        <f t="shared" si="5"/>
        <v>36</v>
      </c>
      <c r="J17" s="286">
        <f t="shared" si="4"/>
        <v>3787</v>
      </c>
      <c r="K17" s="287">
        <f>SUM(B17:J17)</f>
        <v>20995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[3]American!$FT$8</f>
        <v>0</v>
      </c>
      <c r="C19" s="21">
        <f>[3]Delta!$FT$8</f>
        <v>4</v>
      </c>
      <c r="D19" s="21">
        <f>[3]United!$FT$8</f>
        <v>0</v>
      </c>
      <c r="E19" s="21">
        <f>[3]Spirit!$FT$8</f>
        <v>0</v>
      </c>
      <c r="F19" s="21">
        <f>[3]Condor!$FT$8</f>
        <v>0</v>
      </c>
      <c r="G19" s="21">
        <f>'[3]Air France'!$FT$8</f>
        <v>0</v>
      </c>
      <c r="H19" s="21">
        <f>'[3]Jet Blue'!$FT$8</f>
        <v>0</v>
      </c>
      <c r="I19" s="21">
        <f>[3]KLM!$FT$8</f>
        <v>0</v>
      </c>
      <c r="J19" s="21">
        <f>'Other Major Airline Stats'!J20</f>
        <v>51</v>
      </c>
      <c r="K19" s="27">
        <f>SUM(B19:J19)</f>
        <v>55</v>
      </c>
    </row>
    <row r="20" spans="1:11" x14ac:dyDescent="0.2">
      <c r="A20" s="62" t="s">
        <v>26</v>
      </c>
      <c r="B20" s="14">
        <f>[3]American!$FT$9</f>
        <v>0</v>
      </c>
      <c r="C20" s="14">
        <f>[3]Delta!$FT$9</f>
        <v>18</v>
      </c>
      <c r="D20" s="14">
        <f>[3]United!$FT$9</f>
        <v>0</v>
      </c>
      <c r="E20" s="14">
        <f>[3]Spirit!$FT$9</f>
        <v>0</v>
      </c>
      <c r="F20" s="14">
        <f>[3]Condor!$FT$9</f>
        <v>0</v>
      </c>
      <c r="G20" s="14">
        <f>'[3]Air France'!$FT$9</f>
        <v>0</v>
      </c>
      <c r="H20" s="14">
        <f>'[3]Jet Blue'!$FT$9</f>
        <v>0</v>
      </c>
      <c r="I20" s="14">
        <f>[3]KLM!$FT$9</f>
        <v>0</v>
      </c>
      <c r="J20" s="14">
        <f>'Other Major Airline Stats'!J21</f>
        <v>50</v>
      </c>
      <c r="K20" s="33">
        <f>SUM(B20:J20)</f>
        <v>68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22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101</v>
      </c>
      <c r="K21" s="176">
        <f>SUM(B21:J21)</f>
        <v>123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1351</v>
      </c>
      <c r="C23" s="28">
        <f t="shared" si="8"/>
        <v>14017</v>
      </c>
      <c r="D23" s="28">
        <f t="shared" si="8"/>
        <v>812</v>
      </c>
      <c r="E23" s="28">
        <f>E17+E21</f>
        <v>740</v>
      </c>
      <c r="F23" s="28">
        <f t="shared" ref="F23:I23" si="9">F17+F21</f>
        <v>36</v>
      </c>
      <c r="G23" s="28">
        <f t="shared" si="9"/>
        <v>52</v>
      </c>
      <c r="H23" s="28">
        <f t="shared" si="9"/>
        <v>186</v>
      </c>
      <c r="I23" s="28">
        <f t="shared" si="9"/>
        <v>36</v>
      </c>
      <c r="J23" s="28">
        <f t="shared" si="8"/>
        <v>3888</v>
      </c>
      <c r="K23" s="29">
        <f>SUM(B23:J23)</f>
        <v>21118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[3]American!$FT$47</f>
        <v>44930</v>
      </c>
      <c r="C28" s="21">
        <f>[3]Delta!$FT$47</f>
        <v>4916832</v>
      </c>
      <c r="D28" s="21">
        <f>[3]United!$FT$47</f>
        <v>53341</v>
      </c>
      <c r="E28" s="21">
        <f>[3]Spirit!$FT$47</f>
        <v>0</v>
      </c>
      <c r="F28" s="21">
        <f>[3]Condor!$FT$47</f>
        <v>157395</v>
      </c>
      <c r="G28" s="21">
        <f>'[3]Air France'!$FT$47</f>
        <v>378422</v>
      </c>
      <c r="H28" s="21">
        <f>'[3]Jet Blue'!$FT$47</f>
        <v>0</v>
      </c>
      <c r="I28" s="21">
        <f>[3]KLM!$FT$47</f>
        <v>470393</v>
      </c>
      <c r="J28" s="21">
        <f>'Other Major Airline Stats'!J28</f>
        <v>535906</v>
      </c>
      <c r="K28" s="27">
        <f>SUM(B28:J28)</f>
        <v>6557219</v>
      </c>
    </row>
    <row r="29" spans="1:11" x14ac:dyDescent="0.2">
      <c r="A29" s="62" t="s">
        <v>38</v>
      </c>
      <c r="B29" s="14">
        <f>[3]American!$FT$48</f>
        <v>28298</v>
      </c>
      <c r="C29" s="14">
        <f>[3]Delta!$FT$48</f>
        <v>1682489</v>
      </c>
      <c r="D29" s="14">
        <f>[3]United!$FT$48</f>
        <v>64938</v>
      </c>
      <c r="E29" s="14">
        <f>[3]Spirit!$FT$48</f>
        <v>0</v>
      </c>
      <c r="F29" s="14">
        <f>[3]Condor!$FT$48</f>
        <v>0</v>
      </c>
      <c r="G29" s="14">
        <f>'[3]Air France'!$FT$48</f>
        <v>0</v>
      </c>
      <c r="H29" s="14">
        <f>'[3]Jet Blue'!$FT$48</f>
        <v>0</v>
      </c>
      <c r="I29" s="14">
        <f>[3]KLM!$FT$48</f>
        <v>0</v>
      </c>
      <c r="J29" s="14">
        <f>'Other Major Airline Stats'!J29</f>
        <v>111214</v>
      </c>
      <c r="K29" s="33">
        <f>SUM(B29:J29)</f>
        <v>1886939</v>
      </c>
    </row>
    <row r="30" spans="1:11" x14ac:dyDescent="0.2">
      <c r="A30" s="66" t="s">
        <v>39</v>
      </c>
      <c r="B30" s="288">
        <f t="shared" ref="B30:J30" si="10">SUM(B28:B29)</f>
        <v>73228</v>
      </c>
      <c r="C30" s="288">
        <f t="shared" si="10"/>
        <v>6599321</v>
      </c>
      <c r="D30" s="288">
        <f t="shared" si="10"/>
        <v>118279</v>
      </c>
      <c r="E30" s="288">
        <f t="shared" si="10"/>
        <v>0</v>
      </c>
      <c r="F30" s="288">
        <f t="shared" ref="F30:I30" si="11">SUM(F28:F29)</f>
        <v>157395</v>
      </c>
      <c r="G30" s="288">
        <f t="shared" si="11"/>
        <v>378422</v>
      </c>
      <c r="H30" s="288">
        <f t="shared" si="11"/>
        <v>0</v>
      </c>
      <c r="I30" s="288">
        <f t="shared" si="11"/>
        <v>470393</v>
      </c>
      <c r="J30" s="288">
        <f t="shared" si="10"/>
        <v>647120</v>
      </c>
      <c r="K30" s="27">
        <f>SUM(B30:J30)</f>
        <v>8444158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[3]American!$FT$52</f>
        <v>7397</v>
      </c>
      <c r="C33" s="21">
        <f>[3]Delta!$FT$52</f>
        <v>2560189</v>
      </c>
      <c r="D33" s="21">
        <f>[3]United!$FT$52</f>
        <v>24221</v>
      </c>
      <c r="E33" s="21">
        <f>[3]Spirit!$FT$52</f>
        <v>0</v>
      </c>
      <c r="F33" s="21">
        <f>[3]Condor!$FT$52</f>
        <v>41837</v>
      </c>
      <c r="G33" s="21">
        <f>'[3]Air France'!$FT$52</f>
        <v>129648</v>
      </c>
      <c r="H33" s="21">
        <f>'[3]Jet Blue'!$FT$52</f>
        <v>0</v>
      </c>
      <c r="I33" s="21">
        <f>[3]KLM!$FT$52</f>
        <v>130013</v>
      </c>
      <c r="J33" s="21">
        <f>'Other Major Airline Stats'!J33</f>
        <v>223939</v>
      </c>
      <c r="K33" s="27">
        <f t="shared" si="12"/>
        <v>3117244</v>
      </c>
    </row>
    <row r="34" spans="1:11" x14ac:dyDescent="0.2">
      <c r="A34" s="62" t="s">
        <v>38</v>
      </c>
      <c r="B34" s="14">
        <f>[3]American!$FT$53</f>
        <v>51276</v>
      </c>
      <c r="C34" s="14">
        <f>[3]Delta!$FT$53</f>
        <v>1990818</v>
      </c>
      <c r="D34" s="14">
        <f>[3]United!$FT$53</f>
        <v>109353</v>
      </c>
      <c r="E34" s="14">
        <f>[3]Spirit!$FT$53</f>
        <v>0</v>
      </c>
      <c r="F34" s="14">
        <f>[3]Condor!$FT$53</f>
        <v>0</v>
      </c>
      <c r="G34" s="14">
        <f>'[3]Air France'!$FT$53</f>
        <v>0</v>
      </c>
      <c r="H34" s="14">
        <f>'[3]Jet Blue'!$FT$53</f>
        <v>0</v>
      </c>
      <c r="I34" s="14">
        <f>[3]KLM!$FT$53</f>
        <v>0</v>
      </c>
      <c r="J34" s="14">
        <f>'Other Major Airline Stats'!J34</f>
        <v>62757</v>
      </c>
      <c r="K34" s="33">
        <f t="shared" si="12"/>
        <v>2214204</v>
      </c>
    </row>
    <row r="35" spans="1:11" x14ac:dyDescent="0.2">
      <c r="A35" s="66" t="s">
        <v>41</v>
      </c>
      <c r="B35" s="288">
        <f t="shared" ref="B35:J35" si="13">SUM(B33:B34)</f>
        <v>58673</v>
      </c>
      <c r="C35" s="288">
        <f t="shared" si="13"/>
        <v>4551007</v>
      </c>
      <c r="D35" s="288">
        <f t="shared" si="13"/>
        <v>133574</v>
      </c>
      <c r="E35" s="288">
        <f t="shared" si="13"/>
        <v>0</v>
      </c>
      <c r="F35" s="288">
        <f t="shared" ref="F35:I35" si="14">SUM(F33:F34)</f>
        <v>41837</v>
      </c>
      <c r="G35" s="288">
        <f t="shared" si="14"/>
        <v>129648</v>
      </c>
      <c r="H35" s="288">
        <f t="shared" si="14"/>
        <v>0</v>
      </c>
      <c r="I35" s="288">
        <f t="shared" si="14"/>
        <v>130013</v>
      </c>
      <c r="J35" s="288">
        <f t="shared" si="13"/>
        <v>286696</v>
      </c>
      <c r="K35" s="27">
        <f t="shared" si="12"/>
        <v>5331448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[3]American!$FT$57</f>
        <v>0</v>
      </c>
      <c r="C38" s="21">
        <f>[3]Delta!$FT$57</f>
        <v>0</v>
      </c>
      <c r="D38" s="21">
        <f>[3]United!$FT$57</f>
        <v>0</v>
      </c>
      <c r="E38" s="21">
        <f>[3]Spirit!$FT$57</f>
        <v>0</v>
      </c>
      <c r="F38" s="21">
        <f>[3]Condor!$FT$57</f>
        <v>0</v>
      </c>
      <c r="G38" s="21">
        <f>'[3]Air France'!$FT$57</f>
        <v>0</v>
      </c>
      <c r="H38" s="21">
        <f>'[3]Jet Blue'!$FT$57</f>
        <v>0</v>
      </c>
      <c r="I38" s="21">
        <f>[3]KLM!$FT$57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[3]American!$FT$58</f>
        <v>0</v>
      </c>
      <c r="C39" s="14">
        <f>[3]Delta!$FT$58</f>
        <v>0</v>
      </c>
      <c r="D39" s="14">
        <f>[3]United!$FT$58</f>
        <v>0</v>
      </c>
      <c r="E39" s="14">
        <f>[3]Spirit!$FT$58</f>
        <v>0</v>
      </c>
      <c r="F39" s="14">
        <f>[3]Condor!$FT$58</f>
        <v>0</v>
      </c>
      <c r="G39" s="14">
        <f>'[3]Air France'!$FT$58</f>
        <v>0</v>
      </c>
      <c r="H39" s="14">
        <f>'[3]Jet Blue'!$FT$58</f>
        <v>0</v>
      </c>
      <c r="I39" s="14">
        <f>[3]KLM!$FT$58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52327</v>
      </c>
      <c r="C43" s="21">
        <f t="shared" si="17"/>
        <v>7477021</v>
      </c>
      <c r="D43" s="21">
        <f t="shared" si="17"/>
        <v>77562</v>
      </c>
      <c r="E43" s="21">
        <f>E28+E33+E38</f>
        <v>0</v>
      </c>
      <c r="F43" s="21">
        <f t="shared" ref="F43:I43" si="18">F28+F33+F38</f>
        <v>199232</v>
      </c>
      <c r="G43" s="21">
        <f t="shared" si="18"/>
        <v>508070</v>
      </c>
      <c r="H43" s="21">
        <f t="shared" si="18"/>
        <v>0</v>
      </c>
      <c r="I43" s="21">
        <f t="shared" si="18"/>
        <v>600406</v>
      </c>
      <c r="J43" s="21">
        <f t="shared" si="17"/>
        <v>759845</v>
      </c>
      <c r="K43" s="27">
        <f>SUM(B43:J43)</f>
        <v>9674463</v>
      </c>
    </row>
    <row r="44" spans="1:11" x14ac:dyDescent="0.2">
      <c r="A44" s="62" t="s">
        <v>38</v>
      </c>
      <c r="B44" s="14">
        <f t="shared" si="17"/>
        <v>79574</v>
      </c>
      <c r="C44" s="14">
        <f t="shared" si="17"/>
        <v>3673307</v>
      </c>
      <c r="D44" s="14">
        <f t="shared" si="17"/>
        <v>174291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173971</v>
      </c>
      <c r="K44" s="27">
        <f>SUM(B44:J44)</f>
        <v>4101143</v>
      </c>
    </row>
    <row r="45" spans="1:11" ht="15.75" thickBot="1" x14ac:dyDescent="0.3">
      <c r="A45" s="63" t="s">
        <v>46</v>
      </c>
      <c r="B45" s="289">
        <f t="shared" ref="B45:J45" si="20">SUM(B43:B44)</f>
        <v>131901</v>
      </c>
      <c r="C45" s="289">
        <f t="shared" si="20"/>
        <v>11150328</v>
      </c>
      <c r="D45" s="289">
        <f t="shared" si="20"/>
        <v>251853</v>
      </c>
      <c r="E45" s="289">
        <f t="shared" si="20"/>
        <v>0</v>
      </c>
      <c r="F45" s="289">
        <f t="shared" ref="F45:I45" si="21">SUM(F43:F44)</f>
        <v>199232</v>
      </c>
      <c r="G45" s="289">
        <f t="shared" si="21"/>
        <v>508070</v>
      </c>
      <c r="H45" s="289">
        <f t="shared" si="21"/>
        <v>0</v>
      </c>
      <c r="I45" s="289">
        <f t="shared" si="21"/>
        <v>600406</v>
      </c>
      <c r="J45" s="289">
        <f t="shared" si="20"/>
        <v>933816</v>
      </c>
      <c r="K45" s="290">
        <f>SUM(B45:J45)</f>
        <v>13775606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[3]Delta!$FT$70+[3]Delta!$FT$73</f>
        <v>465774</v>
      </c>
      <c r="D47" s="306"/>
      <c r="E47" s="306"/>
      <c r="F47" s="306"/>
      <c r="G47" s="306"/>
      <c r="H47" s="306"/>
      <c r="I47" s="306"/>
      <c r="J47" s="306"/>
      <c r="K47" s="307">
        <f>SUM(B47:J47)</f>
        <v>465774</v>
      </c>
    </row>
    <row r="48" spans="1:11" hidden="1" x14ac:dyDescent="0.2">
      <c r="A48" s="376" t="s">
        <v>125</v>
      </c>
      <c r="C48" s="319">
        <f>[3]Delta!$FT$71+[3]Delta!$FT$74</f>
        <v>514803</v>
      </c>
      <c r="D48" s="306"/>
      <c r="E48" s="306"/>
      <c r="F48" s="306"/>
      <c r="G48" s="306"/>
      <c r="H48" s="306"/>
      <c r="I48" s="306"/>
      <c r="J48" s="306"/>
      <c r="K48" s="307">
        <f>SUM(B48:J48)</f>
        <v>514803</v>
      </c>
    </row>
    <row r="49" spans="1:11" hidden="1" x14ac:dyDescent="0.2">
      <c r="A49" s="377" t="s">
        <v>126</v>
      </c>
      <c r="C49" s="320">
        <f>SUM(C47:C48)</f>
        <v>980577</v>
      </c>
      <c r="K49" s="307">
        <f>SUM(B49:J49)</f>
        <v>980577</v>
      </c>
    </row>
    <row r="50" spans="1:11" x14ac:dyDescent="0.2">
      <c r="A50" s="375" t="s">
        <v>124</v>
      </c>
      <c r="B50" s="387"/>
      <c r="C50" s="322">
        <f>[3]Delta!$FT$70+[3]Delta!$FT$73</f>
        <v>465774</v>
      </c>
      <c r="D50" s="387"/>
      <c r="E50" s="322">
        <f>[3]Spirit!$FT$70+[3]Spirit!$FT$73</f>
        <v>0</v>
      </c>
      <c r="F50" s="387"/>
      <c r="G50" s="387"/>
      <c r="H50" s="387"/>
      <c r="I50" s="387"/>
      <c r="J50" s="321">
        <f>'Other Major Airline Stats'!J48</f>
        <v>185234</v>
      </c>
      <c r="K50" s="310">
        <f>SUM(B50:J50)</f>
        <v>651008</v>
      </c>
    </row>
    <row r="51" spans="1:11" x14ac:dyDescent="0.2">
      <c r="A51" s="389" t="s">
        <v>125</v>
      </c>
      <c r="B51" s="387"/>
      <c r="C51" s="322">
        <f>[3]Delta!$FT$71+[3]Delta!$FT$74</f>
        <v>514803</v>
      </c>
      <c r="D51" s="387"/>
      <c r="E51" s="322">
        <f>[3]Spirit!$FT$71+[3]Spirit!$FT$74</f>
        <v>0</v>
      </c>
      <c r="F51" s="387"/>
      <c r="G51" s="387"/>
      <c r="H51" s="387"/>
      <c r="I51" s="387"/>
      <c r="J51" s="321">
        <f>+'Other Major Airline Stats'!J49</f>
        <v>5982</v>
      </c>
      <c r="K51" s="310">
        <f>SUM(B51:J51)</f>
        <v>520785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J16" sqref="J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43282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[3]Frontier!$FT$22</f>
        <v>22803</v>
      </c>
      <c r="C5" s="146">
        <f>'[3]Great Lakes'!$FT$22</f>
        <v>0</v>
      </c>
      <c r="D5" s="118">
        <f>'[3]Air Choice One'!$FT$22</f>
        <v>463</v>
      </c>
      <c r="E5" s="118">
        <f>'[3]Boutique Air'!$FT$22</f>
        <v>420</v>
      </c>
      <c r="F5" s="146">
        <f>[3]Icelandair!$FT$32</f>
        <v>7414</v>
      </c>
      <c r="G5" s="118">
        <f>[3]Southwest!$FT$22</f>
        <v>89240</v>
      </c>
      <c r="H5" s="118">
        <f>'[3]Sun Country'!$FT$22+'[3]Sun Country'!$FT$32</f>
        <v>98338</v>
      </c>
      <c r="I5" s="118">
        <f>[3]Alaska!$FT$22</f>
        <v>9927</v>
      </c>
      <c r="J5" s="147">
        <f>SUM(B5:I5)</f>
        <v>228605</v>
      </c>
      <c r="M5" s="130"/>
    </row>
    <row r="6" spans="1:13" x14ac:dyDescent="0.2">
      <c r="A6" s="62" t="s">
        <v>31</v>
      </c>
      <c r="B6" s="146">
        <f>[3]Frontier!$FT$23</f>
        <v>22899</v>
      </c>
      <c r="C6" s="146">
        <f>'[3]Great Lakes'!$FT$23</f>
        <v>0</v>
      </c>
      <c r="D6" s="118">
        <f>'[3]Air Choice One'!$FT$23</f>
        <v>438</v>
      </c>
      <c r="E6" s="118">
        <f>'[3]Boutique Air'!$FT$23</f>
        <v>443</v>
      </c>
      <c r="F6" s="146">
        <f>[3]Icelandair!$FT$33</f>
        <v>6448</v>
      </c>
      <c r="G6" s="118">
        <f>[3]Southwest!$FT$23</f>
        <v>90672</v>
      </c>
      <c r="H6" s="118">
        <f>'[3]Sun Country'!$FT$23+'[3]Sun Country'!$FT$33</f>
        <v>100544</v>
      </c>
      <c r="I6" s="118">
        <f>[3]Alaska!$FT$23</f>
        <v>10158</v>
      </c>
      <c r="J6" s="147">
        <f>SUM(B6:I6)</f>
        <v>231602</v>
      </c>
    </row>
    <row r="7" spans="1:13" ht="15" x14ac:dyDescent="0.25">
      <c r="A7" s="60" t="s">
        <v>7</v>
      </c>
      <c r="B7" s="155">
        <f t="shared" ref="B7:I7" si="0">SUM(B5:B6)</f>
        <v>45702</v>
      </c>
      <c r="C7" s="155">
        <f t="shared" si="0"/>
        <v>0</v>
      </c>
      <c r="D7" s="155">
        <f t="shared" ref="D7:E7" si="1">SUM(D5:D6)</f>
        <v>901</v>
      </c>
      <c r="E7" s="155">
        <f t="shared" si="1"/>
        <v>863</v>
      </c>
      <c r="F7" s="155">
        <f t="shared" si="0"/>
        <v>13862</v>
      </c>
      <c r="G7" s="155">
        <f t="shared" si="0"/>
        <v>179912</v>
      </c>
      <c r="H7" s="155">
        <f>SUM(H5:H6)</f>
        <v>198882</v>
      </c>
      <c r="I7" s="155">
        <f t="shared" si="0"/>
        <v>20085</v>
      </c>
      <c r="J7" s="156">
        <f>SUM(B7:I7)</f>
        <v>460207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[3]Frontier!$FT$27</f>
        <v>178</v>
      </c>
      <c r="C10" s="154">
        <f>'[3]Great Lakes'!$FT$27</f>
        <v>0</v>
      </c>
      <c r="D10" s="154">
        <f>'[3]Air Choice One'!$FT$27</f>
        <v>0</v>
      </c>
      <c r="E10" s="154">
        <f>'[3]Boutique Air'!$FT$27</f>
        <v>0</v>
      </c>
      <c r="F10" s="154">
        <f>[3]Icelandair!$FT$37</f>
        <v>82</v>
      </c>
      <c r="G10" s="154">
        <f>[3]Southwest!$FT$27</f>
        <v>2423</v>
      </c>
      <c r="H10" s="154">
        <f>'[3]Sun Country'!$FT$27+'[3]Sun Country'!$FT$37</f>
        <v>2175</v>
      </c>
      <c r="I10" s="154">
        <f>[3]Alaska!$FT$27</f>
        <v>397</v>
      </c>
      <c r="J10" s="147">
        <f>SUM(B10:I10)</f>
        <v>5255</v>
      </c>
    </row>
    <row r="11" spans="1:13" x14ac:dyDescent="0.2">
      <c r="A11" s="62" t="s">
        <v>33</v>
      </c>
      <c r="B11" s="157">
        <f>[3]Frontier!$FT$28</f>
        <v>172</v>
      </c>
      <c r="C11" s="157">
        <f>'[3]Great Lakes'!$FT$28</f>
        <v>0</v>
      </c>
      <c r="D11" s="157">
        <f>'[3]Air Choice One'!$FT$28</f>
        <v>0</v>
      </c>
      <c r="E11" s="157">
        <f>'[3]Boutique Air'!$FT$28</f>
        <v>0</v>
      </c>
      <c r="F11" s="157">
        <f>[3]Icelandair!$FT$38</f>
        <v>80</v>
      </c>
      <c r="G11" s="157">
        <f>[3]Southwest!$FT$28</f>
        <v>2440</v>
      </c>
      <c r="H11" s="157">
        <f>'[3]Sun Country'!$FT$28+'[3]Sun Country'!$FT$38</f>
        <v>1892</v>
      </c>
      <c r="I11" s="157">
        <f>[3]Alaska!$FT$28</f>
        <v>490</v>
      </c>
      <c r="J11" s="147">
        <f>SUM(B11:I11)</f>
        <v>5074</v>
      </c>
    </row>
    <row r="12" spans="1:13" ht="15.75" thickBot="1" x14ac:dyDescent="0.3">
      <c r="A12" s="63" t="s">
        <v>34</v>
      </c>
      <c r="B12" s="150">
        <f t="shared" ref="B12:I12" si="2">SUM(B10:B11)</f>
        <v>350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162</v>
      </c>
      <c r="G12" s="150">
        <f t="shared" si="2"/>
        <v>4863</v>
      </c>
      <c r="H12" s="150">
        <f>SUM(H10:H11)</f>
        <v>4067</v>
      </c>
      <c r="I12" s="150">
        <f t="shared" si="2"/>
        <v>887</v>
      </c>
      <c r="J12" s="158">
        <f>SUM(B12:I12)</f>
        <v>10329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[3]Frontier!$FT$4</f>
        <v>156</v>
      </c>
      <c r="C16" s="146">
        <f>'[3]Great Lakes'!$FT$4</f>
        <v>0</v>
      </c>
      <c r="D16" s="106">
        <f>'[3]Air Choice One'!$FT$4</f>
        <v>97</v>
      </c>
      <c r="E16" s="106">
        <f>'[3]Boutique Air'!$FT$4</f>
        <v>83</v>
      </c>
      <c r="F16" s="146">
        <f>[3]Icelandair!$FT$15</f>
        <v>47</v>
      </c>
      <c r="G16" s="106">
        <f>[3]Southwest!$FT$4</f>
        <v>734</v>
      </c>
      <c r="H16" s="118">
        <f>'[3]Sun Country'!$FT$4+'[3]Sun Country'!$FT$15</f>
        <v>714</v>
      </c>
      <c r="I16" s="118">
        <f>[3]Alaska!$FT$4</f>
        <v>62</v>
      </c>
      <c r="J16" s="147">
        <f>SUM(B16:I16)</f>
        <v>1893</v>
      </c>
    </row>
    <row r="17" spans="1:257" x14ac:dyDescent="0.2">
      <c r="A17" s="62" t="s">
        <v>23</v>
      </c>
      <c r="B17" s="146">
        <f>[3]Frontier!$FT$5</f>
        <v>156</v>
      </c>
      <c r="C17" s="146">
        <f>'[3]Great Lakes'!$FT$5</f>
        <v>0</v>
      </c>
      <c r="D17" s="106">
        <f>'[3]Air Choice One'!$FT$5</f>
        <v>97</v>
      </c>
      <c r="E17" s="106">
        <f>'[3]Boutique Air'!$FT$5</f>
        <v>83</v>
      </c>
      <c r="F17" s="146">
        <f>[3]Icelandair!$FT$16</f>
        <v>47</v>
      </c>
      <c r="G17" s="106">
        <f>[3]Southwest!$FT$5</f>
        <v>735</v>
      </c>
      <c r="H17" s="118">
        <f>'[3]Sun Country'!$FT$5+'[3]Sun Country'!$FT$16</f>
        <v>714</v>
      </c>
      <c r="I17" s="118">
        <f>[3]Alaska!$FT$5</f>
        <v>62</v>
      </c>
      <c r="J17" s="147">
        <f>SUM(B17:I17)</f>
        <v>1894</v>
      </c>
    </row>
    <row r="18" spans="1:257" x14ac:dyDescent="0.2">
      <c r="A18" s="66" t="s">
        <v>24</v>
      </c>
      <c r="B18" s="148">
        <f t="shared" ref="B18:I18" si="4">SUM(B16:B17)</f>
        <v>312</v>
      </c>
      <c r="C18" s="148">
        <f t="shared" si="4"/>
        <v>0</v>
      </c>
      <c r="D18" s="148">
        <f t="shared" ref="D18:E18" si="5">SUM(D16:D17)</f>
        <v>194</v>
      </c>
      <c r="E18" s="148">
        <f t="shared" si="5"/>
        <v>166</v>
      </c>
      <c r="F18" s="148">
        <f t="shared" si="4"/>
        <v>94</v>
      </c>
      <c r="G18" s="148">
        <f t="shared" si="4"/>
        <v>1469</v>
      </c>
      <c r="H18" s="148">
        <f t="shared" si="4"/>
        <v>1428</v>
      </c>
      <c r="I18" s="148">
        <f t="shared" si="4"/>
        <v>124</v>
      </c>
      <c r="J18" s="149">
        <f>SUM(B18:I18)</f>
        <v>3787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[3]Frontier!$FT$8</f>
        <v>0</v>
      </c>
      <c r="C20" s="146">
        <f>'[3]Great Lakes'!$FT$8</f>
        <v>0</v>
      </c>
      <c r="D20" s="118">
        <f>'[3]Air Choice One'!$FT$8</f>
        <v>0</v>
      </c>
      <c r="E20" s="118">
        <f>'[3]Boutique Air'!$FT$8</f>
        <v>0</v>
      </c>
      <c r="F20" s="146">
        <f>[3]Icelandair!$FT$8</f>
        <v>0</v>
      </c>
      <c r="G20" s="118">
        <f>[3]Southwest!$FT$8</f>
        <v>0</v>
      </c>
      <c r="H20" s="118">
        <f>'[3]Sun Country'!$FT$8</f>
        <v>51</v>
      </c>
      <c r="I20" s="118">
        <f>[3]Alaska!$FT$8</f>
        <v>0</v>
      </c>
      <c r="J20" s="147">
        <f>SUM(B20:I20)</f>
        <v>51</v>
      </c>
    </row>
    <row r="21" spans="1:257" x14ac:dyDescent="0.2">
      <c r="A21" s="62" t="s">
        <v>26</v>
      </c>
      <c r="B21" s="146">
        <f>[3]Frontier!$FT$9</f>
        <v>0</v>
      </c>
      <c r="C21" s="146">
        <f>'[3]Great Lakes'!$FT$9</f>
        <v>0</v>
      </c>
      <c r="D21" s="118">
        <f>'[3]Air Choice One'!$FT$9</f>
        <v>0</v>
      </c>
      <c r="E21" s="118">
        <f>'[3]Boutique Air'!$FT$9</f>
        <v>0</v>
      </c>
      <c r="F21" s="146">
        <f>[3]Icelandair!$FT$9</f>
        <v>0</v>
      </c>
      <c r="G21" s="118">
        <f>[3]Southwest!$FT$9</f>
        <v>0</v>
      </c>
      <c r="H21" s="118">
        <f>'[3]Sun Country'!$FT$9</f>
        <v>50</v>
      </c>
      <c r="I21" s="118">
        <f>[3]Alaska!$FT$9</f>
        <v>0</v>
      </c>
      <c r="J21" s="147">
        <f>SUM(B21:I21)</f>
        <v>50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101</v>
      </c>
      <c r="I22" s="148">
        <f t="shared" si="6"/>
        <v>0</v>
      </c>
      <c r="J22" s="149">
        <f>SUM(B22:I22)</f>
        <v>101</v>
      </c>
    </row>
    <row r="23" spans="1:257" ht="15.75" thickBot="1" x14ac:dyDescent="0.3">
      <c r="A23" s="63" t="s">
        <v>28</v>
      </c>
      <c r="B23" s="150">
        <f t="shared" ref="B23:I23" si="8">B22+B18</f>
        <v>312</v>
      </c>
      <c r="C23" s="150">
        <f t="shared" si="8"/>
        <v>0</v>
      </c>
      <c r="D23" s="150">
        <f t="shared" ref="D23:E23" si="9">D22+D18</f>
        <v>194</v>
      </c>
      <c r="E23" s="150">
        <f t="shared" si="9"/>
        <v>166</v>
      </c>
      <c r="F23" s="150">
        <f t="shared" si="8"/>
        <v>94</v>
      </c>
      <c r="G23" s="150">
        <f t="shared" si="8"/>
        <v>1469</v>
      </c>
      <c r="H23" s="150">
        <f t="shared" si="8"/>
        <v>1529</v>
      </c>
      <c r="I23" s="150">
        <f t="shared" si="8"/>
        <v>124</v>
      </c>
      <c r="J23" s="151">
        <f>SUM(B23:I23)</f>
        <v>3888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[3]Frontier!$FT$47</f>
        <v>0</v>
      </c>
      <c r="C28" s="146">
        <f>'[3]Great Lakes'!$FT$47</f>
        <v>0</v>
      </c>
      <c r="D28" s="118">
        <f>'[3]Air Choice One'!$FT$47</f>
        <v>0</v>
      </c>
      <c r="E28" s="118">
        <f>'[3]Boutique Air'!$FT$47</f>
        <v>0</v>
      </c>
      <c r="F28" s="146">
        <f>[3]Icelandair!$FT$47</f>
        <v>71753</v>
      </c>
      <c r="G28" s="118">
        <f>[3]Southwest!$FT$47</f>
        <v>183735</v>
      </c>
      <c r="H28" s="118">
        <f>'[3]Sun Country'!$FT$47</f>
        <v>260804</v>
      </c>
      <c r="I28" s="118">
        <f>[3]Alaska!$FT$47</f>
        <v>19614</v>
      </c>
      <c r="J28" s="147">
        <f>SUM(B28:I28)</f>
        <v>535906</v>
      </c>
    </row>
    <row r="29" spans="1:257" x14ac:dyDescent="0.2">
      <c r="A29" s="62" t="s">
        <v>38</v>
      </c>
      <c r="B29" s="146">
        <f>[3]Frontier!$FT$48</f>
        <v>0</v>
      </c>
      <c r="C29" s="146">
        <f>'[3]Great Lakes'!$FT$48</f>
        <v>0</v>
      </c>
      <c r="D29" s="118">
        <f>'[3]Air Choice One'!$FT$48</f>
        <v>0</v>
      </c>
      <c r="E29" s="118">
        <f>'[3]Boutique Air'!$FT$48</f>
        <v>0</v>
      </c>
      <c r="F29" s="146">
        <f>[3]Icelandair!$FT$48</f>
        <v>0</v>
      </c>
      <c r="G29" s="118">
        <f>[3]Southwest!$FT$48</f>
        <v>0</v>
      </c>
      <c r="H29" s="118">
        <f>'[3]Sun Country'!$FT$48</f>
        <v>108801</v>
      </c>
      <c r="I29" s="118">
        <f>[3]Alaska!$FT$48</f>
        <v>2413</v>
      </c>
      <c r="J29" s="147">
        <f>SUM(B29:I29)</f>
        <v>111214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71753</v>
      </c>
      <c r="G30" s="162">
        <f t="shared" si="10"/>
        <v>183735</v>
      </c>
      <c r="H30" s="162">
        <f t="shared" si="10"/>
        <v>369605</v>
      </c>
      <c r="I30" s="162">
        <f t="shared" si="10"/>
        <v>22027</v>
      </c>
      <c r="J30" s="165">
        <f>SUM(B30:I30)</f>
        <v>647120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[3]Frontier!$FT$52</f>
        <v>0</v>
      </c>
      <c r="C33" s="146">
        <f>'[3]Great Lakes'!$FT$52</f>
        <v>0</v>
      </c>
      <c r="D33" s="118">
        <f>'[3]Air Choice One'!$FT$52</f>
        <v>0</v>
      </c>
      <c r="E33" s="118">
        <f>'[3]Boutique Air'!$FT$52</f>
        <v>0</v>
      </c>
      <c r="F33" s="146">
        <f>[3]Icelandair!$FT$52</f>
        <v>264</v>
      </c>
      <c r="G33" s="118">
        <f>[3]Southwest!$FT$52</f>
        <v>81391</v>
      </c>
      <c r="H33" s="118">
        <f>'[3]Sun Country'!$FT$52</f>
        <v>136494</v>
      </c>
      <c r="I33" s="118">
        <f>[3]Alaska!$FT$52</f>
        <v>5790</v>
      </c>
      <c r="J33" s="147">
        <f>SUM(B33:I33)</f>
        <v>223939</v>
      </c>
    </row>
    <row r="34" spans="1:10" x14ac:dyDescent="0.2">
      <c r="A34" s="62" t="s">
        <v>38</v>
      </c>
      <c r="B34" s="146">
        <f>[3]Frontier!$FT$53</f>
        <v>0</v>
      </c>
      <c r="C34" s="146">
        <f>'[3]Great Lakes'!$FT$53</f>
        <v>0</v>
      </c>
      <c r="D34" s="118">
        <f>'[3]Air Choice One'!$FT$53</f>
        <v>0</v>
      </c>
      <c r="E34" s="118">
        <f>'[3]Boutique Air'!$FT$53</f>
        <v>0</v>
      </c>
      <c r="F34" s="146">
        <f>[3]Icelandair!$FT$53</f>
        <v>0</v>
      </c>
      <c r="G34" s="118">
        <f>[3]Southwest!$FT$53</f>
        <v>0</v>
      </c>
      <c r="H34" s="118">
        <f>'[3]Sun Country'!$FT$53</f>
        <v>60709</v>
      </c>
      <c r="I34" s="118">
        <f>[3]Alaska!$FT$53</f>
        <v>2048</v>
      </c>
      <c r="J34" s="163">
        <f>SUM(B34:I34)</f>
        <v>62757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264</v>
      </c>
      <c r="G35" s="164">
        <f t="shared" si="12"/>
        <v>81391</v>
      </c>
      <c r="H35" s="164">
        <f t="shared" si="12"/>
        <v>197203</v>
      </c>
      <c r="I35" s="164">
        <f t="shared" si="12"/>
        <v>7838</v>
      </c>
      <c r="J35" s="165">
        <f>SUM(B35:I35)</f>
        <v>286696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[3]Frontier!$FT$57</f>
        <v>0</v>
      </c>
      <c r="C38" s="154">
        <f>'[3]Great Lakes'!$FT$57</f>
        <v>0</v>
      </c>
      <c r="D38" s="154">
        <f>'[3]Air Choice One'!$FT$57</f>
        <v>0</v>
      </c>
      <c r="E38" s="154">
        <f>'[3]Boutique Air'!$FT$57</f>
        <v>0</v>
      </c>
      <c r="F38" s="154">
        <f>[3]Icelandair!$FT$57</f>
        <v>0</v>
      </c>
      <c r="G38" s="154">
        <f>[3]Southwest!$FT$57</f>
        <v>0</v>
      </c>
      <c r="H38" s="154">
        <f>'[3]Sun Country'!$FT$57</f>
        <v>0</v>
      </c>
      <c r="I38" s="154">
        <f>[3]Alaska!$FT$57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[3]Frontier!$FT$58</f>
        <v>0</v>
      </c>
      <c r="C39" s="157">
        <f>'[3]Great Lakes'!$FT$58</f>
        <v>0</v>
      </c>
      <c r="D39" s="157">
        <f>'[3]Air Choice One'!$FT$58</f>
        <v>0</v>
      </c>
      <c r="E39" s="157">
        <f>'[3]Boutique Air'!$FT$58</f>
        <v>0</v>
      </c>
      <c r="F39" s="157">
        <f>[3]Icelandair!$FT$58</f>
        <v>0</v>
      </c>
      <c r="G39" s="157">
        <f>[3]Southwest!$FT$58</f>
        <v>0</v>
      </c>
      <c r="H39" s="157">
        <f>'[3]Sun Country'!$FT$58</f>
        <v>0</v>
      </c>
      <c r="I39" s="157">
        <f>[3]Alaska!$FT$58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72017</v>
      </c>
      <c r="G43" s="154">
        <f t="shared" si="16"/>
        <v>265126</v>
      </c>
      <c r="H43" s="154">
        <f t="shared" si="16"/>
        <v>397298</v>
      </c>
      <c r="I43" s="154">
        <f t="shared" si="16"/>
        <v>25404</v>
      </c>
      <c r="J43" s="147">
        <f>SUM(B43:I43)</f>
        <v>759845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169510</v>
      </c>
      <c r="I44" s="157">
        <f t="shared" si="18"/>
        <v>4461</v>
      </c>
      <c r="J44" s="147">
        <f>SUM(B44:I44)</f>
        <v>173971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72017</v>
      </c>
      <c r="G45" s="167">
        <f t="shared" si="20"/>
        <v>265126</v>
      </c>
      <c r="H45" s="167">
        <f t="shared" si="20"/>
        <v>566808</v>
      </c>
      <c r="I45" s="167">
        <f t="shared" si="20"/>
        <v>29865</v>
      </c>
      <c r="J45" s="168">
        <f>SUM(B45:I45)</f>
        <v>933816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[3]Southwest!$FT$70+[3]Southwest!$FT$73</f>
        <v>90320</v>
      </c>
      <c r="H48" s="322">
        <f>'[3]Sun Country'!$FT$70+'[3]Sun Country'!$FT$73</f>
        <v>94914</v>
      </c>
      <c r="I48" s="387"/>
      <c r="J48" s="310">
        <f>SUM(B48:I48)</f>
        <v>185234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[3]Southwest!$FT$71+[3]Southwest!$FT$74</f>
        <v>352</v>
      </c>
      <c r="H49" s="322">
        <f>'[3]Sun Country'!$FT$71+'[3]Sun Country'!$FT$74</f>
        <v>5630</v>
      </c>
      <c r="I49" s="387"/>
      <c r="J49" s="310">
        <f>SUM(B49:I49)</f>
        <v>5982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July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M15" sqref="M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43282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[3]Pinnacle!$FT$22+[3]Pinnacle!$FT$32</f>
        <v>63303</v>
      </c>
      <c r="C5" s="132">
        <f>[3]MESA_UA!$FT$22</f>
        <v>9146</v>
      </c>
      <c r="D5" s="130">
        <f>'[3]Sky West'!$FT$22+'[3]Sky West'!$FT$32</f>
        <v>214625</v>
      </c>
      <c r="E5" s="130">
        <f>'[3]Sky West_UA'!$FT$22</f>
        <v>2472</v>
      </c>
      <c r="F5" s="130">
        <f>'[3]Sky West_AS'!$FT$22</f>
        <v>2081</v>
      </c>
      <c r="G5" s="130">
        <f>'[3]Sky West_AA'!$FT$22</f>
        <v>2021</v>
      </c>
      <c r="H5" s="130">
        <f>[3]Republic!$FT$22</f>
        <v>12602</v>
      </c>
      <c r="I5" s="130">
        <f>[3]Republic_UA!$FT$22</f>
        <v>14815</v>
      </c>
      <c r="J5" s="130">
        <f>'[3]Sky Regional'!$FT$32</f>
        <v>6179</v>
      </c>
      <c r="K5" s="130">
        <f>'[3]American Eagle'!$FT$22</f>
        <v>216</v>
      </c>
      <c r="L5" s="130">
        <f>'Other Regional'!M5</f>
        <v>19144</v>
      </c>
      <c r="M5" s="110">
        <f>SUM(B5:L5)</f>
        <v>346604</v>
      </c>
    </row>
    <row r="6" spans="1:13" s="10" customFormat="1" x14ac:dyDescent="0.2">
      <c r="A6" s="62" t="s">
        <v>31</v>
      </c>
      <c r="B6" s="131">
        <f>[3]Pinnacle!$FT$23+[3]Pinnacle!$FT$33</f>
        <v>63471</v>
      </c>
      <c r="C6" s="132">
        <f>[3]MESA_UA!$FT$23</f>
        <v>9172</v>
      </c>
      <c r="D6" s="130">
        <f>'[3]Sky West'!$FT$23+'[3]Sky West'!$FT$33</f>
        <v>215895</v>
      </c>
      <c r="E6" s="130">
        <f>'[3]Sky West_UA'!$FT$23</f>
        <v>2665</v>
      </c>
      <c r="F6" s="130">
        <f>'[3]Sky West_AS'!$FT$23</f>
        <v>2101</v>
      </c>
      <c r="G6" s="130">
        <f>'[3]Sky West_AA'!$FT$23</f>
        <v>1931</v>
      </c>
      <c r="H6" s="130">
        <f>[3]Republic!$FT$23</f>
        <v>12353</v>
      </c>
      <c r="I6" s="130">
        <f>[3]Republic_UA!$FT$23</f>
        <v>14522</v>
      </c>
      <c r="J6" s="130">
        <f>'[3]Sky Regional'!$FT$33</f>
        <v>5525</v>
      </c>
      <c r="K6" s="130">
        <f>'[3]American Eagle'!$FT$23</f>
        <v>130</v>
      </c>
      <c r="L6" s="130">
        <f>'Other Regional'!M6</f>
        <v>18855</v>
      </c>
      <c r="M6" s="115">
        <f>SUM(B6:L6)</f>
        <v>346620</v>
      </c>
    </row>
    <row r="7" spans="1:13" ht="15" thickBot="1" x14ac:dyDescent="0.25">
      <c r="A7" s="73" t="s">
        <v>7</v>
      </c>
      <c r="B7" s="133">
        <f>SUM(B5:B6)</f>
        <v>126774</v>
      </c>
      <c r="C7" s="133">
        <f t="shared" ref="C7:L7" si="0">SUM(C5:C6)</f>
        <v>18318</v>
      </c>
      <c r="D7" s="133">
        <f t="shared" si="0"/>
        <v>430520</v>
      </c>
      <c r="E7" s="133">
        <f t="shared" si="0"/>
        <v>5137</v>
      </c>
      <c r="F7" s="133">
        <f t="shared" ref="F7:G7" si="1">SUM(F5:F6)</f>
        <v>4182</v>
      </c>
      <c r="G7" s="133">
        <f t="shared" si="1"/>
        <v>3952</v>
      </c>
      <c r="H7" s="133">
        <f t="shared" si="0"/>
        <v>24955</v>
      </c>
      <c r="I7" s="133">
        <f t="shared" si="0"/>
        <v>29337</v>
      </c>
      <c r="J7" s="133">
        <f t="shared" si="0"/>
        <v>11704</v>
      </c>
      <c r="K7" s="133">
        <f t="shared" si="0"/>
        <v>346</v>
      </c>
      <c r="L7" s="133">
        <f t="shared" si="0"/>
        <v>37999</v>
      </c>
      <c r="M7" s="134">
        <f>SUM(B7:L7)</f>
        <v>693224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[3]Pinnacle!$FT$27+[3]Pinnacle!$FT$37</f>
        <v>2586</v>
      </c>
      <c r="C10" s="132">
        <f>[3]MESA_UA!$FT$27</f>
        <v>275</v>
      </c>
      <c r="D10" s="130">
        <f>'[3]Sky West'!$FT$27+'[3]Sky West'!$FT$37</f>
        <v>8287</v>
      </c>
      <c r="E10" s="130">
        <f>'[3]Sky West_UA'!$FT$27</f>
        <v>103</v>
      </c>
      <c r="F10" s="130">
        <f>'[3]Sky West_AS'!$FT$27</f>
        <v>87</v>
      </c>
      <c r="G10" s="130">
        <f>'[3]Sky West_AA'!$FT$27</f>
        <v>126</v>
      </c>
      <c r="H10" s="130">
        <f>[3]Republic!$FT$27</f>
        <v>666</v>
      </c>
      <c r="I10" s="130">
        <f>[3]Republic_UA!$FT$27</f>
        <v>438</v>
      </c>
      <c r="J10" s="130">
        <f>'[3]Sky Regional'!$FT$37</f>
        <v>54</v>
      </c>
      <c r="K10" s="130">
        <f>'[3]American Eagle'!$FT$27</f>
        <v>21</v>
      </c>
      <c r="L10" s="130">
        <f>'Other Regional'!M10</f>
        <v>625</v>
      </c>
      <c r="M10" s="110">
        <f>SUM(B10:L10)</f>
        <v>13268</v>
      </c>
    </row>
    <row r="11" spans="1:13" x14ac:dyDescent="0.2">
      <c r="A11" s="62" t="s">
        <v>33</v>
      </c>
      <c r="B11" s="131">
        <f>[3]Pinnacle!$FT$28+[3]Pinnacle!$FT$38</f>
        <v>2636</v>
      </c>
      <c r="C11" s="132">
        <f>[3]MESA_UA!$FT$28</f>
        <v>268</v>
      </c>
      <c r="D11" s="130">
        <f>'[3]Sky West'!$FT$28+'[3]Sky West'!$FT$38</f>
        <v>7960</v>
      </c>
      <c r="E11" s="130">
        <f>'[3]Sky West_UA'!$FT$28</f>
        <v>55</v>
      </c>
      <c r="F11" s="130">
        <f>'[3]Sky West_AS'!$FT$28</f>
        <v>95</v>
      </c>
      <c r="G11" s="130">
        <f>'[3]Sky West_AA'!$FT$28</f>
        <v>142</v>
      </c>
      <c r="H11" s="130">
        <f>[3]Republic!$FT$28</f>
        <v>708</v>
      </c>
      <c r="I11" s="130">
        <f>[3]Republic_UA!$FT$28</f>
        <v>478</v>
      </c>
      <c r="J11" s="130">
        <f>'[3]Sky Regional'!$FT$38</f>
        <v>59</v>
      </c>
      <c r="K11" s="130">
        <f>'[3]American Eagle'!$FT$28</f>
        <v>22</v>
      </c>
      <c r="L11" s="130">
        <f>'Other Regional'!M11</f>
        <v>683</v>
      </c>
      <c r="M11" s="115">
        <f>SUM(B11:L11)</f>
        <v>13106</v>
      </c>
    </row>
    <row r="12" spans="1:13" ht="15" thickBot="1" x14ac:dyDescent="0.25">
      <c r="A12" s="74" t="s">
        <v>34</v>
      </c>
      <c r="B12" s="136">
        <f t="shared" ref="B12:L12" si="2">SUM(B10:B11)</f>
        <v>5222</v>
      </c>
      <c r="C12" s="136">
        <f t="shared" si="2"/>
        <v>543</v>
      </c>
      <c r="D12" s="136">
        <f t="shared" si="2"/>
        <v>16247</v>
      </c>
      <c r="E12" s="136">
        <f t="shared" si="2"/>
        <v>158</v>
      </c>
      <c r="F12" s="136">
        <f t="shared" ref="F12:G12" si="3">SUM(F10:F11)</f>
        <v>182</v>
      </c>
      <c r="G12" s="136">
        <f t="shared" si="3"/>
        <v>268</v>
      </c>
      <c r="H12" s="136">
        <f t="shared" si="2"/>
        <v>1374</v>
      </c>
      <c r="I12" s="136">
        <f t="shared" si="2"/>
        <v>916</v>
      </c>
      <c r="J12" s="136">
        <f t="shared" si="2"/>
        <v>113</v>
      </c>
      <c r="K12" s="136">
        <f t="shared" si="2"/>
        <v>43</v>
      </c>
      <c r="L12" s="136">
        <f t="shared" si="2"/>
        <v>1308</v>
      </c>
      <c r="M12" s="137">
        <f>SUM(B12:L12)</f>
        <v>26374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[3]Pinnacle!$FT$4+[3]Pinnacle!$FT$15</f>
        <v>1026</v>
      </c>
      <c r="C15" s="108">
        <f>[3]MESA_UA!$FT$4</f>
        <v>131</v>
      </c>
      <c r="D15" s="106">
        <f>'[3]Sky West'!$FT$4+'[3]Sky West'!$FT$15</f>
        <v>4401</v>
      </c>
      <c r="E15" s="106">
        <f>'[3]Sky West_UA'!$FT$4</f>
        <v>38</v>
      </c>
      <c r="F15" s="106">
        <f>'[3]Sky West_AS'!$FT$4</f>
        <v>31</v>
      </c>
      <c r="G15" s="106">
        <f>'[3]Sky West_AA'!$FT$4</f>
        <v>32</v>
      </c>
      <c r="H15" s="109">
        <f>[3]Republic!$FT$4</f>
        <v>220</v>
      </c>
      <c r="I15" s="455">
        <f>[3]Republic_UA!$FT$4</f>
        <v>227</v>
      </c>
      <c r="J15" s="455">
        <f>'[3]Sky Regional'!$FT$15</f>
        <v>91</v>
      </c>
      <c r="K15" s="109">
        <f>'[3]American Eagle'!$FT$4</f>
        <v>5</v>
      </c>
      <c r="L15" s="107">
        <f>'Other Regional'!M15</f>
        <v>300</v>
      </c>
      <c r="M15" s="110">
        <f t="shared" ref="M15:M21" si="5">SUM(B15:L15)</f>
        <v>6502</v>
      </c>
    </row>
    <row r="16" spans="1:13" x14ac:dyDescent="0.2">
      <c r="A16" s="62" t="s">
        <v>54</v>
      </c>
      <c r="B16" s="14">
        <f>[3]Pinnacle!$FT$5+[3]Pinnacle!$FT$16</f>
        <v>1021</v>
      </c>
      <c r="C16" s="113">
        <f>[3]MESA_UA!$FT$5</f>
        <v>131</v>
      </c>
      <c r="D16" s="111">
        <f>'[3]Sky West'!$FT$5+'[3]Sky West'!$FT$16</f>
        <v>4400</v>
      </c>
      <c r="E16" s="111">
        <f>'[3]Sky West_UA'!$FT$5</f>
        <v>38</v>
      </c>
      <c r="F16" s="111">
        <f>'[3]Sky West_AS'!$FT$5</f>
        <v>31</v>
      </c>
      <c r="G16" s="111">
        <f>'[3]Sky West_AA'!$FT$5</f>
        <v>32</v>
      </c>
      <c r="H16" s="114">
        <f>[3]Republic!$FT$5</f>
        <v>219</v>
      </c>
      <c r="I16" s="297">
        <f>[3]Republic_UA!$FT$5</f>
        <v>227</v>
      </c>
      <c r="J16" s="297">
        <f>'[3]Sky Regional'!$FT$16</f>
        <v>91</v>
      </c>
      <c r="K16" s="114">
        <f>'[3]American Eagle'!$FT$5</f>
        <v>5</v>
      </c>
      <c r="L16" s="112">
        <f>'Other Regional'!M16</f>
        <v>300</v>
      </c>
      <c r="M16" s="115">
        <f t="shared" si="5"/>
        <v>6495</v>
      </c>
    </row>
    <row r="17" spans="1:13" x14ac:dyDescent="0.2">
      <c r="A17" s="71" t="s">
        <v>55</v>
      </c>
      <c r="B17" s="116">
        <f t="shared" ref="B17:K17" si="6">SUM(B15:B16)</f>
        <v>2047</v>
      </c>
      <c r="C17" s="116">
        <f t="shared" si="6"/>
        <v>262</v>
      </c>
      <c r="D17" s="116">
        <f t="shared" si="6"/>
        <v>8801</v>
      </c>
      <c r="E17" s="116">
        <f t="shared" si="6"/>
        <v>76</v>
      </c>
      <c r="F17" s="116">
        <f t="shared" ref="F17:G17" si="7">SUM(F15:F16)</f>
        <v>62</v>
      </c>
      <c r="G17" s="116">
        <f t="shared" si="7"/>
        <v>64</v>
      </c>
      <c r="H17" s="116">
        <f t="shared" si="6"/>
        <v>439</v>
      </c>
      <c r="I17" s="116">
        <f t="shared" ref="I17:J17" si="8">SUM(I15:I16)</f>
        <v>454</v>
      </c>
      <c r="J17" s="116">
        <f t="shared" si="8"/>
        <v>182</v>
      </c>
      <c r="K17" s="116">
        <f t="shared" si="6"/>
        <v>10</v>
      </c>
      <c r="L17" s="116">
        <f>SUM(L15:L16)</f>
        <v>600</v>
      </c>
      <c r="M17" s="117">
        <f t="shared" si="5"/>
        <v>12997</v>
      </c>
    </row>
    <row r="18" spans="1:13" x14ac:dyDescent="0.2">
      <c r="A18" s="62" t="s">
        <v>56</v>
      </c>
      <c r="B18" s="118">
        <f>[3]Pinnacle!$FT$8</f>
        <v>0</v>
      </c>
      <c r="C18" s="119">
        <f>[3]MESA_UA!$FT$8</f>
        <v>0</v>
      </c>
      <c r="D18" s="118">
        <f>'[3]Sky West'!$FT$8</f>
        <v>0</v>
      </c>
      <c r="E18" s="118">
        <f>'[3]Sky West_UA'!$FT$8</f>
        <v>0</v>
      </c>
      <c r="F18" s="118">
        <f>'[3]Sky West_AS'!$FT$8</f>
        <v>0</v>
      </c>
      <c r="G18" s="118">
        <f>'[3]Sky West_AA'!$FT$8</f>
        <v>0</v>
      </c>
      <c r="H18" s="118">
        <f>[3]Republic!$FT$8</f>
        <v>0</v>
      </c>
      <c r="I18" s="118">
        <f>[3]Republic_UA!$FT$8</f>
        <v>0</v>
      </c>
      <c r="J18" s="118">
        <f>'[3]Sky Regional'!$FT$8</f>
        <v>0</v>
      </c>
      <c r="K18" s="118">
        <f>'[3]American Eagle'!$FT$8</f>
        <v>0</v>
      </c>
      <c r="L18" s="118">
        <f>'Other Regional'!M18</f>
        <v>0</v>
      </c>
      <c r="M18" s="110">
        <f t="shared" si="5"/>
        <v>0</v>
      </c>
    </row>
    <row r="19" spans="1:13" x14ac:dyDescent="0.2">
      <c r="A19" s="62" t="s">
        <v>57</v>
      </c>
      <c r="B19" s="120">
        <f>[3]Pinnacle!$FT$9</f>
        <v>4</v>
      </c>
      <c r="C19" s="121">
        <f>[3]MESA_UA!$FT$9</f>
        <v>0</v>
      </c>
      <c r="D19" s="120">
        <f>'[3]Sky West'!$FT$9</f>
        <v>4</v>
      </c>
      <c r="E19" s="120">
        <f>'[3]Sky West_UA'!$FT$9</f>
        <v>0</v>
      </c>
      <c r="F19" s="120">
        <f>'[3]Sky West_AS'!$FT$9</f>
        <v>0</v>
      </c>
      <c r="G19" s="120">
        <f>'[3]Sky West_AA'!$FT$9</f>
        <v>0</v>
      </c>
      <c r="H19" s="120">
        <f>[3]Republic!$FT$9</f>
        <v>0</v>
      </c>
      <c r="I19" s="120">
        <f>[3]Republic_UA!$FT$9</f>
        <v>0</v>
      </c>
      <c r="J19" s="120">
        <f>'[3]Sky Regional'!$FT$9</f>
        <v>0</v>
      </c>
      <c r="K19" s="120">
        <f>'[3]American Eagle'!$FT$9</f>
        <v>0</v>
      </c>
      <c r="L19" s="120">
        <f>'Other Regional'!M19</f>
        <v>0</v>
      </c>
      <c r="M19" s="115">
        <f t="shared" si="5"/>
        <v>8</v>
      </c>
    </row>
    <row r="20" spans="1:13" x14ac:dyDescent="0.2">
      <c r="A20" s="71" t="s">
        <v>58</v>
      </c>
      <c r="B20" s="116">
        <f t="shared" ref="B20:L20" si="9">SUM(B18:B19)</f>
        <v>4</v>
      </c>
      <c r="C20" s="116">
        <f t="shared" si="9"/>
        <v>0</v>
      </c>
      <c r="D20" s="116">
        <f t="shared" si="9"/>
        <v>4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8</v>
      </c>
    </row>
    <row r="21" spans="1:13" ht="15.75" thickBot="1" x14ac:dyDescent="0.3">
      <c r="A21" s="72" t="s">
        <v>28</v>
      </c>
      <c r="B21" s="122">
        <f t="shared" ref="B21:K21" si="11">SUM(B20,B17)</f>
        <v>2051</v>
      </c>
      <c r="C21" s="122">
        <f t="shared" si="11"/>
        <v>262</v>
      </c>
      <c r="D21" s="122">
        <f t="shared" si="11"/>
        <v>8805</v>
      </c>
      <c r="E21" s="122">
        <f t="shared" si="11"/>
        <v>76</v>
      </c>
      <c r="F21" s="122">
        <f t="shared" ref="F21:G21" si="12">SUM(F20,F17)</f>
        <v>62</v>
      </c>
      <c r="G21" s="122">
        <f t="shared" si="12"/>
        <v>64</v>
      </c>
      <c r="H21" s="122">
        <f t="shared" si="11"/>
        <v>439</v>
      </c>
      <c r="I21" s="122">
        <f t="shared" si="11"/>
        <v>454</v>
      </c>
      <c r="J21" s="122">
        <f t="shared" si="11"/>
        <v>182</v>
      </c>
      <c r="K21" s="122">
        <f t="shared" si="11"/>
        <v>10</v>
      </c>
      <c r="L21" s="122">
        <f>SUM(L20,L17)</f>
        <v>600</v>
      </c>
      <c r="M21" s="123">
        <f t="shared" si="5"/>
        <v>13005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[3]Pinnacle!$FT$47</f>
        <v>0</v>
      </c>
      <c r="C25" s="132">
        <f>[3]MESA_UA!$FT$47</f>
        <v>0</v>
      </c>
      <c r="D25" s="130">
        <f>'[3]Sky West'!$FT$47</f>
        <v>0</v>
      </c>
      <c r="E25" s="130">
        <f>'[3]Sky West_UA'!$FT$47</f>
        <v>0</v>
      </c>
      <c r="F25" s="130">
        <f>'[3]Sky West_AS'!$FT$47</f>
        <v>0</v>
      </c>
      <c r="G25" s="130">
        <f>'[3]Sky West_AA'!$FT$47</f>
        <v>704</v>
      </c>
      <c r="H25" s="130">
        <f>[3]Republic!$FT$47</f>
        <v>0</v>
      </c>
      <c r="I25" s="130">
        <f>[3]Republic_UA!$FT$47</f>
        <v>0</v>
      </c>
      <c r="J25" s="130">
        <f>'[3]Sky Regional'!$FT$47</f>
        <v>1470</v>
      </c>
      <c r="K25" s="130">
        <f>'[3]American Eagle'!$FT$47</f>
        <v>0</v>
      </c>
      <c r="L25" s="130">
        <f>'Other Regional'!M25</f>
        <v>6476</v>
      </c>
      <c r="M25" s="110">
        <f>SUM(B25:L25)</f>
        <v>8650</v>
      </c>
    </row>
    <row r="26" spans="1:13" x14ac:dyDescent="0.2">
      <c r="A26" s="75" t="s">
        <v>38</v>
      </c>
      <c r="B26" s="130">
        <f>[3]Pinnacle!$FT$48</f>
        <v>0</v>
      </c>
      <c r="C26" s="132">
        <f>[3]MESA_UA!$FT$48</f>
        <v>0</v>
      </c>
      <c r="D26" s="130">
        <f>'[3]Sky West'!$FT$48</f>
        <v>0</v>
      </c>
      <c r="E26" s="130">
        <f>'[3]Sky West_UA'!$FT$48</f>
        <v>0</v>
      </c>
      <c r="F26" s="130">
        <f>'[3]Sky West_AS'!$FT$48</f>
        <v>0</v>
      </c>
      <c r="G26" s="130">
        <f>'[3]Sky West_AA'!$FT$48</f>
        <v>1</v>
      </c>
      <c r="H26" s="130">
        <f>[3]Republic!$FT$48</f>
        <v>0</v>
      </c>
      <c r="I26" s="130">
        <f>[3]Republic_UA!$FT$48</f>
        <v>0</v>
      </c>
      <c r="J26" s="130">
        <f>'[3]Sky Regional'!$FT$48</f>
        <v>0</v>
      </c>
      <c r="K26" s="130">
        <f>'[3]American Eagle'!$FT$48</f>
        <v>0</v>
      </c>
      <c r="L26" s="130">
        <f>'Other Regional'!M26</f>
        <v>518</v>
      </c>
      <c r="M26" s="110">
        <f>SUM(B26:L26)</f>
        <v>519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705</v>
      </c>
      <c r="H27" s="133">
        <f t="shared" si="13"/>
        <v>0</v>
      </c>
      <c r="I27" s="133">
        <f t="shared" si="13"/>
        <v>0</v>
      </c>
      <c r="J27" s="133">
        <f t="shared" si="13"/>
        <v>1470</v>
      </c>
      <c r="K27" s="133">
        <f t="shared" si="13"/>
        <v>0</v>
      </c>
      <c r="L27" s="133">
        <f t="shared" si="13"/>
        <v>6994</v>
      </c>
      <c r="M27" s="134">
        <f>SUM(B27:L27)</f>
        <v>9169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[3]Pinnacle!$FT$52</f>
        <v>0</v>
      </c>
      <c r="C30" s="132">
        <f>[3]MESA_UA!$FT$52</f>
        <v>0</v>
      </c>
      <c r="D30" s="130">
        <f>'[3]Sky West'!$FT$52</f>
        <v>0</v>
      </c>
      <c r="E30" s="130">
        <f>'[3]Sky West_UA'!$FT$52</f>
        <v>0</v>
      </c>
      <c r="F30" s="130">
        <f>'[3]Sky West_AS'!$FT$52</f>
        <v>220</v>
      </c>
      <c r="G30" s="130">
        <f>'[3]Sky West_AA'!$FT$52</f>
        <v>0</v>
      </c>
      <c r="H30" s="130">
        <f>[3]Republic!$FT$52</f>
        <v>0</v>
      </c>
      <c r="I30" s="130">
        <f>[3]Republic_UA!$FT$52</f>
        <v>0</v>
      </c>
      <c r="J30" s="130">
        <f>'[3]Sky Regional'!$FT$52</f>
        <v>1415</v>
      </c>
      <c r="K30" s="130">
        <f>'[3]American Eagle'!$FT$52</f>
        <v>0</v>
      </c>
      <c r="L30" s="130">
        <f>'Other Regional'!M30</f>
        <v>862</v>
      </c>
      <c r="M30" s="110">
        <f t="shared" ref="M30:M37" si="15">SUM(B30:L30)</f>
        <v>2497</v>
      </c>
    </row>
    <row r="31" spans="1:13" x14ac:dyDescent="0.2">
      <c r="A31" s="75" t="s">
        <v>60</v>
      </c>
      <c r="B31" s="130">
        <f>[3]Pinnacle!$FT$53</f>
        <v>0</v>
      </c>
      <c r="C31" s="132">
        <f>[3]MESA_UA!$FT$53</f>
        <v>0</v>
      </c>
      <c r="D31" s="130">
        <f>'[3]Sky West'!$FT$53</f>
        <v>0</v>
      </c>
      <c r="E31" s="130">
        <f>'[3]Sky West_UA'!$FT$53</f>
        <v>0</v>
      </c>
      <c r="F31" s="130">
        <f>'[3]Sky West_AS'!$FT$53</f>
        <v>0</v>
      </c>
      <c r="G31" s="130">
        <f>'[3]Sky West_AA'!$FT$53</f>
        <v>0</v>
      </c>
      <c r="H31" s="130">
        <f>[3]Republic!$FT$53</f>
        <v>0</v>
      </c>
      <c r="I31" s="130">
        <f>[3]Republic_UA!$FT$53</f>
        <v>0</v>
      </c>
      <c r="J31" s="130">
        <f>'[3]Sky Regional'!$FT$53</f>
        <v>0</v>
      </c>
      <c r="K31" s="130">
        <f>'[3]American Eagle'!$FT$53</f>
        <v>0</v>
      </c>
      <c r="L31" s="130">
        <f>'Other Regional'!M31</f>
        <v>0</v>
      </c>
      <c r="M31" s="110">
        <f t="shared" si="15"/>
        <v>0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220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1415</v>
      </c>
      <c r="K32" s="133">
        <f t="shared" si="16"/>
        <v>0</v>
      </c>
      <c r="L32" s="133">
        <f>SUM(L30:L31)</f>
        <v>862</v>
      </c>
      <c r="M32" s="134">
        <f t="shared" si="15"/>
        <v>2497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[3]Pinnacle!$FT$57</f>
        <v>0</v>
      </c>
      <c r="C35" s="132">
        <f>[3]MESA_UA!$FT$57</f>
        <v>0</v>
      </c>
      <c r="D35" s="130">
        <f>'[3]Sky West'!$FT$57</f>
        <v>0</v>
      </c>
      <c r="E35" s="130">
        <f>'[3]Sky West_UA'!$FT$57</f>
        <v>0</v>
      </c>
      <c r="F35" s="130">
        <f>'[3]Sky West_AS'!$FT$57</f>
        <v>0</v>
      </c>
      <c r="G35" s="130">
        <f>'[3]Sky West_AA'!$FT$57</f>
        <v>0</v>
      </c>
      <c r="H35" s="130">
        <f>[3]Republic!$FT$57</f>
        <v>0</v>
      </c>
      <c r="I35" s="130">
        <f>[3]Republic!$FT$57</f>
        <v>0</v>
      </c>
      <c r="J35" s="130">
        <f>[3]Republic!$FT$57</f>
        <v>0</v>
      </c>
      <c r="K35" s="130">
        <f>'[3]American Eagle'!$FT$57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[3]Pinnacle!$FT$58</f>
        <v>0</v>
      </c>
      <c r="C36" s="132">
        <f>[3]MESA_UA!$FT$58</f>
        <v>0</v>
      </c>
      <c r="D36" s="130">
        <f>'[3]Sky West'!$FT$58</f>
        <v>0</v>
      </c>
      <c r="E36" s="130">
        <f>'[3]Sky West_UA'!$FT$58</f>
        <v>0</v>
      </c>
      <c r="F36" s="130">
        <f>'[3]Sky West_AS'!$FT$58</f>
        <v>0</v>
      </c>
      <c r="G36" s="130">
        <f>'[3]Sky West_AA'!$FT$58</f>
        <v>0</v>
      </c>
      <c r="H36" s="130">
        <f>[3]Republic!$FT$58</f>
        <v>0</v>
      </c>
      <c r="I36" s="130">
        <f>[3]Republic!$FT$58</f>
        <v>0</v>
      </c>
      <c r="J36" s="130">
        <f>[3]Republic!$FT$58</f>
        <v>0</v>
      </c>
      <c r="K36" s="130">
        <f>'[3]American Eagle'!$FT$58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220</v>
      </c>
      <c r="G40" s="130">
        <f t="shared" ref="G40" si="22">SUM(G35,G30,G25)</f>
        <v>704</v>
      </c>
      <c r="H40" s="130">
        <f t="shared" si="20"/>
        <v>0</v>
      </c>
      <c r="I40" s="130">
        <f t="shared" si="20"/>
        <v>0</v>
      </c>
      <c r="J40" s="130">
        <f t="shared" si="20"/>
        <v>2885</v>
      </c>
      <c r="K40" s="130">
        <f>SUM(K35,K30,K25)</f>
        <v>0</v>
      </c>
      <c r="L40" s="130">
        <f>L35+L30+L25</f>
        <v>7338</v>
      </c>
      <c r="M40" s="110">
        <f>SUM(B40:L40)</f>
        <v>11147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0</v>
      </c>
      <c r="G41" s="130">
        <f t="shared" ref="G41" si="23">SUM(G36,G31,G26)</f>
        <v>1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518</v>
      </c>
      <c r="M41" s="110">
        <f>SUM(B41:L41)</f>
        <v>519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220</v>
      </c>
      <c r="G42" s="136">
        <f t="shared" ref="G42" si="24">SUM(G37,G32,G27)</f>
        <v>705</v>
      </c>
      <c r="H42" s="136">
        <f t="shared" si="20"/>
        <v>0</v>
      </c>
      <c r="I42" s="136">
        <f t="shared" si="20"/>
        <v>0</v>
      </c>
      <c r="J42" s="136">
        <f t="shared" si="20"/>
        <v>2885</v>
      </c>
      <c r="K42" s="136">
        <f>SUM(K37,K32,K27)</f>
        <v>0</v>
      </c>
      <c r="L42" s="136">
        <f>SUM(L37,L32,L27)</f>
        <v>7856</v>
      </c>
      <c r="M42" s="137">
        <f>SUM(B42:L42)</f>
        <v>11666</v>
      </c>
    </row>
    <row r="44" spans="1:13" x14ac:dyDescent="0.2">
      <c r="A44" s="375" t="s">
        <v>124</v>
      </c>
      <c r="B44" s="321">
        <f>[3]Pinnacle!$FT$70+[3]Pinnacle!$FT$73</f>
        <v>23294</v>
      </c>
      <c r="D44" s="322">
        <f>'[3]Sky West'!$FT$70+'[3]Sky West'!$FT$73</f>
        <v>60883</v>
      </c>
      <c r="E44" s="5"/>
      <c r="F44" s="5"/>
      <c r="G44" s="5"/>
      <c r="L44" s="322">
        <f>+'Other Regional'!M46</f>
        <v>6181</v>
      </c>
      <c r="M44" s="310">
        <f>SUM(B44:L44)</f>
        <v>90358</v>
      </c>
    </row>
    <row r="45" spans="1:13" x14ac:dyDescent="0.2">
      <c r="A45" s="389" t="s">
        <v>125</v>
      </c>
      <c r="B45" s="321">
        <f>[3]Pinnacle!$FT$71+[3]Pinnacle!$FT$74</f>
        <v>40177</v>
      </c>
      <c r="D45" s="322">
        <f>'[3]Sky West'!$FT$71+'[3]Sky West'!$FT$74</f>
        <v>155012</v>
      </c>
      <c r="E45" s="5"/>
      <c r="F45" s="5"/>
      <c r="G45" s="5"/>
      <c r="L45" s="322">
        <f>+'Other Regional'!M47</f>
        <v>8711</v>
      </c>
      <c r="M45" s="310">
        <f>SUM(B45:L45)</f>
        <v>203900</v>
      </c>
    </row>
    <row r="46" spans="1:13" x14ac:dyDescent="0.2">
      <c r="A46" s="312" t="s">
        <v>126</v>
      </c>
      <c r="B46" s="313">
        <f>SUM(B44:B45)</f>
        <v>63471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July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B4" sqref="B4:M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43282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America'!$FT$22</f>
        <v>0</v>
      </c>
      <c r="C5" s="131">
        <f>'[3]Shuttle America_Delta'!$FT$22</f>
        <v>0</v>
      </c>
      <c r="D5" s="456">
        <f>[3]Horizon_AS!$FT$22</f>
        <v>3952</v>
      </c>
      <c r="E5" s="456">
        <f>[3]PSA!$FT$22</f>
        <v>0</v>
      </c>
      <c r="F5" s="21">
        <f>[3]Compass!$FT$22+[3]Compass!$FT$32</f>
        <v>0</v>
      </c>
      <c r="G5" s="131">
        <f>'[3]Atlantic Southeast'!$FT$22+'[3]Atlantic Southeast'!$FT$32</f>
        <v>0</v>
      </c>
      <c r="H5" s="131">
        <f>'[3]Continental Express'!$FT$22</f>
        <v>0</v>
      </c>
      <c r="I5" s="130">
        <f>'[3]Go Jet_UA'!$FT$22</f>
        <v>0</v>
      </c>
      <c r="J5" s="21">
        <f>'[3]Go Jet'!$FT$22+'[3]Go Jet'!$FT$32</f>
        <v>15192</v>
      </c>
      <c r="K5" s="132">
        <f>'[3]Air Wisconsin'!$FT$22</f>
        <v>0</v>
      </c>
      <c r="L5" s="130">
        <f>[3]MESA!$FT$22</f>
        <v>0</v>
      </c>
      <c r="M5" s="110">
        <f>SUM(B5:L5)</f>
        <v>19144</v>
      </c>
    </row>
    <row r="6" spans="1:13" s="10" customFormat="1" x14ac:dyDescent="0.2">
      <c r="A6" s="62" t="s">
        <v>31</v>
      </c>
      <c r="B6" s="131">
        <f>'[3]Shuttle America'!$FT$23</f>
        <v>0</v>
      </c>
      <c r="C6" s="131">
        <f>'[3]Shuttle America_Delta'!$FT$23</f>
        <v>0</v>
      </c>
      <c r="D6" s="456">
        <f>[3]Horizon_AS!$FT$23</f>
        <v>3963</v>
      </c>
      <c r="E6" s="456">
        <f>[3]PSA!$FT$23</f>
        <v>0</v>
      </c>
      <c r="F6" s="14">
        <f>[3]Compass!$FT$23+[3]Compass!$FT$33</f>
        <v>0</v>
      </c>
      <c r="G6" s="131">
        <f>'[3]Atlantic Southeast'!$FT$23+'[3]Atlantic Southeast'!$FT$33</f>
        <v>0</v>
      </c>
      <c r="H6" s="131">
        <f>'[3]Continental Express'!$FT$23</f>
        <v>0</v>
      </c>
      <c r="I6" s="130">
        <f>'[3]Go Jet_UA'!$FT$23</f>
        <v>0</v>
      </c>
      <c r="J6" s="14">
        <f>'[3]Go Jet'!$FT$23+'[3]Go Jet'!$FT$33</f>
        <v>14892</v>
      </c>
      <c r="K6" s="132">
        <f>'[3]Air Wisconsin'!$FT$23</f>
        <v>0</v>
      </c>
      <c r="L6" s="130">
        <f>[3]MESA!$FT$23</f>
        <v>0</v>
      </c>
      <c r="M6" s="115">
        <f>SUM(B6:L6)</f>
        <v>18855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7915</v>
      </c>
      <c r="E7" s="133">
        <f t="shared" si="0"/>
        <v>0</v>
      </c>
      <c r="F7" s="133">
        <f>SUM(F5:F6)</f>
        <v>0</v>
      </c>
      <c r="G7" s="133">
        <f t="shared" si="0"/>
        <v>0</v>
      </c>
      <c r="H7" s="133">
        <f t="shared" si="0"/>
        <v>0</v>
      </c>
      <c r="I7" s="133">
        <f t="shared" si="0"/>
        <v>0</v>
      </c>
      <c r="J7" s="133">
        <f>SUM(J5:J6)</f>
        <v>30084</v>
      </c>
      <c r="K7" s="133">
        <f t="shared" si="0"/>
        <v>0</v>
      </c>
      <c r="L7" s="133">
        <f t="shared" si="0"/>
        <v>0</v>
      </c>
      <c r="M7" s="134">
        <f>SUM(B7:L7)</f>
        <v>37999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America'!$FT$27</f>
        <v>0</v>
      </c>
      <c r="C10" s="131">
        <f>'[3]Shuttle America_Delta'!$FT$27</f>
        <v>0</v>
      </c>
      <c r="D10" s="456">
        <f>[3]Horizon_AS!$FT$27</f>
        <v>148</v>
      </c>
      <c r="E10" s="456">
        <f>[3]PSA!$FT$27</f>
        <v>0</v>
      </c>
      <c r="F10" s="21">
        <f>[3]Compass!$FT$27+[3]Compass!$FT$37</f>
        <v>0</v>
      </c>
      <c r="G10" s="21">
        <f>'[3]Atlantic Southeast'!$FT$27+'[3]Atlantic Southeast'!$FT$37</f>
        <v>0</v>
      </c>
      <c r="H10" s="131">
        <f>'[3]Continental Express'!$FT$27</f>
        <v>0</v>
      </c>
      <c r="I10" s="130">
        <f>'[3]Go Jet_UA'!$FT$27</f>
        <v>0</v>
      </c>
      <c r="J10" s="21">
        <f>'[3]Go Jet'!$FT$27+'[3]Go Jet'!$FT$37</f>
        <v>477</v>
      </c>
      <c r="K10" s="132">
        <f>'[3]Air Wisconsin'!$FT$27</f>
        <v>0</v>
      </c>
      <c r="L10" s="130">
        <f>[3]MESA!$FT$27</f>
        <v>0</v>
      </c>
      <c r="M10" s="110">
        <f>SUM(B10:L10)</f>
        <v>625</v>
      </c>
    </row>
    <row r="11" spans="1:13" x14ac:dyDescent="0.2">
      <c r="A11" s="62" t="s">
        <v>33</v>
      </c>
      <c r="B11" s="131">
        <f>'[3]Shuttle America'!$FT$28</f>
        <v>0</v>
      </c>
      <c r="C11" s="131">
        <f>'[3]Shuttle America_Delta'!$FT$28</f>
        <v>0</v>
      </c>
      <c r="D11" s="456">
        <f>[3]Horizon_AS!$FT$28</f>
        <v>154</v>
      </c>
      <c r="E11" s="456">
        <f>[3]PSA!$FT$28</f>
        <v>0</v>
      </c>
      <c r="F11" s="14">
        <f>[3]Compass!$FT$28+[3]Compass!$FT$38</f>
        <v>0</v>
      </c>
      <c r="G11" s="14">
        <f>'[3]Atlantic Southeast'!$FT$28+'[3]Atlantic Southeast'!$FT$38</f>
        <v>0</v>
      </c>
      <c r="H11" s="131">
        <f>'[3]Continental Express'!$FT$28</f>
        <v>0</v>
      </c>
      <c r="I11" s="130">
        <f>'[3]Go Jet_UA'!$FT$28</f>
        <v>0</v>
      </c>
      <c r="J11" s="14">
        <f>'[3]Go Jet'!$FT$28+'[3]Go Jet'!$FT$38</f>
        <v>529</v>
      </c>
      <c r="K11" s="132">
        <f>'[3]Air Wisconsin'!$FT$28</f>
        <v>0</v>
      </c>
      <c r="L11" s="130">
        <f>[3]MESA!$FT$28</f>
        <v>0</v>
      </c>
      <c r="M11" s="115">
        <f>SUM(B11:L11)</f>
        <v>683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302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0</v>
      </c>
      <c r="H12" s="136">
        <f t="shared" si="3"/>
        <v>0</v>
      </c>
      <c r="I12" s="136">
        <f t="shared" si="3"/>
        <v>0</v>
      </c>
      <c r="J12" s="136">
        <f t="shared" ref="J12" si="4">SUM(J10:J11)</f>
        <v>1006</v>
      </c>
      <c r="K12" s="136">
        <f t="shared" si="3"/>
        <v>0</v>
      </c>
      <c r="L12" s="136">
        <f t="shared" si="3"/>
        <v>0</v>
      </c>
      <c r="M12" s="137">
        <f>SUM(B12:L12)</f>
        <v>1308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America'!$FT$4</f>
        <v>0</v>
      </c>
      <c r="C15" s="106">
        <f>'[3]Shuttle America_Delta'!$FT$4</f>
        <v>0</v>
      </c>
      <c r="D15" s="457">
        <f>[3]Horizon_AS!$FT$4</f>
        <v>61</v>
      </c>
      <c r="E15" s="457">
        <f>[3]PSA!$FT$4</f>
        <v>0</v>
      </c>
      <c r="F15" s="21">
        <f>[3]Compass!$FT$4+[3]Compass!$FT$15</f>
        <v>0</v>
      </c>
      <c r="G15" s="107">
        <f>'[3]Atlantic Southeast'!$FT$4+'[3]Atlantic Southeast'!$FT$15</f>
        <v>0</v>
      </c>
      <c r="H15" s="107">
        <f>'[3]Continental Express'!$FT$4</f>
        <v>0</v>
      </c>
      <c r="I15" s="106">
        <f>'[3]Go Jet_UA'!$FT$4</f>
        <v>0</v>
      </c>
      <c r="J15" s="21">
        <f>'[3]Go Jet'!$FT$4+'[3]Go Jet'!$FT$15</f>
        <v>239</v>
      </c>
      <c r="K15" s="108">
        <f>'[3]Air Wisconsin'!$FT$4</f>
        <v>0</v>
      </c>
      <c r="L15" s="106">
        <f>[3]MESA!$FT$4</f>
        <v>0</v>
      </c>
      <c r="M15" s="110">
        <f t="shared" ref="M15:M21" si="5">SUM(B15:L15)</f>
        <v>300</v>
      </c>
    </row>
    <row r="16" spans="1:13" x14ac:dyDescent="0.2">
      <c r="A16" s="62" t="s">
        <v>54</v>
      </c>
      <c r="B16" s="111">
        <f>'[3]Shuttle America'!$FT$5</f>
        <v>0</v>
      </c>
      <c r="C16" s="111">
        <f>'[3]Shuttle America_Delta'!$FT$5</f>
        <v>0</v>
      </c>
      <c r="D16" s="458">
        <f>[3]Horizon_AS!$FT$5</f>
        <v>61</v>
      </c>
      <c r="E16" s="458">
        <f>[3]PSA!$FT$5</f>
        <v>0</v>
      </c>
      <c r="F16" s="14">
        <f>[3]Compass!$FT$5+[3]Compass!$FT$16</f>
        <v>0</v>
      </c>
      <c r="G16" s="112">
        <f>'[3]Atlantic Southeast'!$FT$5+'[3]Atlantic Southeast'!$FT$16</f>
        <v>0</v>
      </c>
      <c r="H16" s="112">
        <f>'[3]Continental Express'!$FT$5</f>
        <v>0</v>
      </c>
      <c r="I16" s="111">
        <f>'[3]Go Jet_UA'!$FT$5</f>
        <v>0</v>
      </c>
      <c r="J16" s="14">
        <f>'[3]Go Jet'!$FT$5+'[3]Go Jet'!$FT$16</f>
        <v>239</v>
      </c>
      <c r="K16" s="113">
        <f>'[3]Air Wisconsin'!$FT$5</f>
        <v>0</v>
      </c>
      <c r="L16" s="111">
        <f>[3]MESA!$FT$5</f>
        <v>0</v>
      </c>
      <c r="M16" s="115">
        <f t="shared" si="5"/>
        <v>300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122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0</v>
      </c>
      <c r="H17" s="116">
        <f t="shared" si="7"/>
        <v>0</v>
      </c>
      <c r="I17" s="116">
        <f t="shared" si="7"/>
        <v>0</v>
      </c>
      <c r="J17" s="286">
        <f>SUM(J15:J16)</f>
        <v>478</v>
      </c>
      <c r="K17" s="116">
        <f t="shared" si="7"/>
        <v>0</v>
      </c>
      <c r="L17" s="116">
        <f t="shared" si="7"/>
        <v>0</v>
      </c>
      <c r="M17" s="117">
        <f t="shared" si="5"/>
        <v>600</v>
      </c>
    </row>
    <row r="18" spans="1:13" x14ac:dyDescent="0.2">
      <c r="A18" s="62" t="s">
        <v>56</v>
      </c>
      <c r="B18" s="118">
        <f>'[3]Shuttle America'!$FT$8</f>
        <v>0</v>
      </c>
      <c r="C18" s="118">
        <f>'[3]Shuttle America_Delta'!$FT$8</f>
        <v>0</v>
      </c>
      <c r="D18" s="118">
        <f>[3]Horizon_AS!$FT$8</f>
        <v>0</v>
      </c>
      <c r="E18" s="118">
        <f>[3]PSA!$FT$8</f>
        <v>0</v>
      </c>
      <c r="F18" s="21">
        <f>[3]Compass!$FT$8</f>
        <v>0</v>
      </c>
      <c r="G18" s="109">
        <f>'[3]Atlantic Southeast'!$FT$8</f>
        <v>0</v>
      </c>
      <c r="H18" s="109">
        <f>'[3]Continental Express'!$FT$8</f>
        <v>0</v>
      </c>
      <c r="I18" s="118">
        <f>'[3]Go Jet_UA'!$FT$8</f>
        <v>0</v>
      </c>
      <c r="J18" s="21">
        <f>'[3]Go Jet'!$FT$8</f>
        <v>0</v>
      </c>
      <c r="K18" s="119">
        <f>'[3]Air Wisconsin'!$FT$8</f>
        <v>0</v>
      </c>
      <c r="L18" s="118">
        <f>[3]MESA!$FT$8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America'!$FT$9</f>
        <v>0</v>
      </c>
      <c r="C19" s="120">
        <f>'[3]Shuttle America_Delta'!$FT$9</f>
        <v>0</v>
      </c>
      <c r="D19" s="120">
        <f>[3]Horizon_AS!$FT$9</f>
        <v>0</v>
      </c>
      <c r="E19" s="120">
        <f>[3]PSA!$FT$9</f>
        <v>0</v>
      </c>
      <c r="F19" s="14">
        <f>[3]Compass!$FT$9</f>
        <v>0</v>
      </c>
      <c r="G19" s="114">
        <f>'[3]Atlantic Southeast'!$FT$9</f>
        <v>0</v>
      </c>
      <c r="H19" s="114">
        <f>'[3]Continental Express'!$FT$9</f>
        <v>0</v>
      </c>
      <c r="I19" s="120">
        <f>'[3]Go Jet_UA'!$FT$9</f>
        <v>0</v>
      </c>
      <c r="J19" s="14">
        <f>'[3]Go Jet'!$FT$9</f>
        <v>0</v>
      </c>
      <c r="K19" s="121">
        <f>'[3]Air Wisconsin'!$FT$9</f>
        <v>0</v>
      </c>
      <c r="L19" s="120">
        <f>[3]MESA!$FT$9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122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0</v>
      </c>
      <c r="H21" s="122">
        <f t="shared" si="11"/>
        <v>0</v>
      </c>
      <c r="I21" s="122">
        <f t="shared" si="11"/>
        <v>0</v>
      </c>
      <c r="J21" s="122">
        <f t="shared" ref="J21" si="12">SUM(J20,J17)</f>
        <v>478</v>
      </c>
      <c r="K21" s="122">
        <f t="shared" si="11"/>
        <v>0</v>
      </c>
      <c r="L21" s="122">
        <f t="shared" si="11"/>
        <v>0</v>
      </c>
      <c r="M21" s="123">
        <f t="shared" si="5"/>
        <v>600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America'!$FT$47</f>
        <v>0</v>
      </c>
      <c r="C25" s="130">
        <f>'[3]Shuttle America_Delta'!$FT$47</f>
        <v>0</v>
      </c>
      <c r="D25" s="130">
        <f>[3]Horizon_AS!$FT$47</f>
        <v>5837</v>
      </c>
      <c r="E25" s="130">
        <f>[3]PSA!$FT$47</f>
        <v>0</v>
      </c>
      <c r="F25" s="130">
        <f>[3]Compass!$FT$47</f>
        <v>0</v>
      </c>
      <c r="G25" s="131">
        <f>'[3]Atlantic Southeast'!$FT$47</f>
        <v>0</v>
      </c>
      <c r="H25" s="131">
        <f>'[3]Continental Express'!$FT$47</f>
        <v>0</v>
      </c>
      <c r="I25" s="130">
        <f>'[3]Go Jet_UA'!$FT$47</f>
        <v>0</v>
      </c>
      <c r="J25" s="130">
        <f>'[3]Go Jet'!$FT$47</f>
        <v>639</v>
      </c>
      <c r="K25" s="132">
        <f>'[3]Air Wisconsin'!$FT$47</f>
        <v>0</v>
      </c>
      <c r="L25" s="130">
        <f>[3]MESA!$FT$47</f>
        <v>0</v>
      </c>
      <c r="M25" s="110">
        <f>SUM(B25:L25)</f>
        <v>6476</v>
      </c>
    </row>
    <row r="26" spans="1:13" x14ac:dyDescent="0.2">
      <c r="A26" s="75" t="s">
        <v>38</v>
      </c>
      <c r="B26" s="130">
        <f>'[3]Shuttle America'!$FT$48</f>
        <v>0</v>
      </c>
      <c r="C26" s="130">
        <f>'[3]Shuttle America_Delta'!$FT$48</f>
        <v>0</v>
      </c>
      <c r="D26" s="130">
        <f>[3]Horizon_AS!$FT$48</f>
        <v>518</v>
      </c>
      <c r="E26" s="130">
        <f>[3]PSA!$FT$48</f>
        <v>0</v>
      </c>
      <c r="F26" s="130">
        <f>[3]Compass!$FT$48</f>
        <v>0</v>
      </c>
      <c r="G26" s="131">
        <f>'[3]Atlantic Southeast'!$FT$48</f>
        <v>0</v>
      </c>
      <c r="H26" s="131">
        <f>'[3]Continental Express'!$FT$48</f>
        <v>0</v>
      </c>
      <c r="I26" s="130">
        <f>'[3]Go Jet_UA'!$FT$48</f>
        <v>0</v>
      </c>
      <c r="J26" s="130">
        <f>'[3]Go Jet'!$FT$48</f>
        <v>0</v>
      </c>
      <c r="K26" s="132">
        <f>'[3]Air Wisconsin'!$FT$48</f>
        <v>0</v>
      </c>
      <c r="L26" s="130">
        <f>[3]MESA!$FT$48</f>
        <v>0</v>
      </c>
      <c r="M26" s="110">
        <f>SUM(B26:L26)</f>
        <v>518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6355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639</v>
      </c>
      <c r="K27" s="133">
        <f t="shared" si="14"/>
        <v>0</v>
      </c>
      <c r="L27" s="133">
        <f t="shared" si="14"/>
        <v>0</v>
      </c>
      <c r="M27" s="134">
        <f>SUM(B27:L27)</f>
        <v>6994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America'!$FT$52</f>
        <v>0</v>
      </c>
      <c r="C30" s="130">
        <f>'[3]Shuttle America_Delta'!$FT$52</f>
        <v>0</v>
      </c>
      <c r="D30" s="130">
        <f>[3]Horizon_AS!$FT$52</f>
        <v>862</v>
      </c>
      <c r="E30" s="130">
        <f>[3]PSA!$FT$52</f>
        <v>0</v>
      </c>
      <c r="F30" s="130">
        <f>[3]Compass!$FT$52</f>
        <v>0</v>
      </c>
      <c r="G30" s="131">
        <f>'[3]Atlantic Southeast'!$FT$52</f>
        <v>0</v>
      </c>
      <c r="H30" s="131">
        <f>'[3]Continental Express'!$FT$52</f>
        <v>0</v>
      </c>
      <c r="I30" s="130">
        <f>'[3]Go Jet_UA'!$FT$52</f>
        <v>0</v>
      </c>
      <c r="J30" s="130">
        <f>'[3]Go Jet'!$FT$52</f>
        <v>0</v>
      </c>
      <c r="K30" s="132">
        <f>'[3]Air Wisconsin'!BH$52</f>
        <v>0</v>
      </c>
      <c r="L30" s="130">
        <f>[3]MESA!$FT$52</f>
        <v>0</v>
      </c>
      <c r="M30" s="110">
        <f>SUM(B30:L30)</f>
        <v>862</v>
      </c>
    </row>
    <row r="31" spans="1:13" x14ac:dyDescent="0.2">
      <c r="A31" s="75" t="s">
        <v>60</v>
      </c>
      <c r="B31" s="130">
        <f>'[3]Shuttle America'!$FT$53</f>
        <v>0</v>
      </c>
      <c r="C31" s="130">
        <f>'[3]Shuttle America_Delta'!$FT$53</f>
        <v>0</v>
      </c>
      <c r="D31" s="130">
        <f>[3]Horizon_AS!$FT$53</f>
        <v>0</v>
      </c>
      <c r="E31" s="130">
        <f>[3]PSA!$FT$53</f>
        <v>0</v>
      </c>
      <c r="F31" s="130">
        <f>[3]Compass!$FT$53</f>
        <v>0</v>
      </c>
      <c r="G31" s="131">
        <f>'[3]Atlantic Southeast'!$FT$53</f>
        <v>0</v>
      </c>
      <c r="H31" s="131">
        <f>'[3]Continental Express'!$FT$53</f>
        <v>0</v>
      </c>
      <c r="I31" s="130">
        <f>'[3]Go Jet_UA'!$FT$53</f>
        <v>0</v>
      </c>
      <c r="J31" s="130">
        <f>'[3]Go Jet'!$FT$53</f>
        <v>0</v>
      </c>
      <c r="K31" s="132">
        <f>'[3]Air Wisconsin'!$FT$53</f>
        <v>0</v>
      </c>
      <c r="L31" s="130">
        <f>[3]MESA!$FT$53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862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862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America'!$FT$57</f>
        <v>0</v>
      </c>
      <c r="C35" s="130">
        <f>'[3]Shuttle America_Delta'!$FT$57</f>
        <v>0</v>
      </c>
      <c r="D35" s="130">
        <f>[3]Horizon_AS!$FT$57</f>
        <v>0</v>
      </c>
      <c r="E35" s="130">
        <f>[3]PSA!$FT$57</f>
        <v>0</v>
      </c>
      <c r="F35" s="130">
        <f>[3]Compass!$FT$57</f>
        <v>0</v>
      </c>
      <c r="G35" s="131">
        <f>'[3]Atlantic Southeast'!$FT$57</f>
        <v>0</v>
      </c>
      <c r="H35" s="131">
        <f>'[3]Continental Express'!$FT$57</f>
        <v>0</v>
      </c>
      <c r="I35" s="130">
        <f>'[3]Go Jet_UA'!$AJ$57</f>
        <v>0</v>
      </c>
      <c r="J35" s="130">
        <f>'[3]Go Jet'!$FT$57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6699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639</v>
      </c>
      <c r="K40" s="130">
        <f t="shared" si="20"/>
        <v>0</v>
      </c>
      <c r="L40" s="130">
        <f t="shared" si="20"/>
        <v>0</v>
      </c>
      <c r="M40" s="110">
        <f>SUM(B40:L40)</f>
        <v>7338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518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518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7217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639</v>
      </c>
      <c r="K42" s="136">
        <f t="shared" si="26"/>
        <v>0</v>
      </c>
      <c r="L42" s="136">
        <f t="shared" si="26"/>
        <v>0</v>
      </c>
      <c r="M42" s="137">
        <f>SUM(B42:L42)</f>
        <v>7856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America_Delta'!$FT$70+'[3]Shuttle America_Delta'!$FT$73</f>
        <v>0</v>
      </c>
      <c r="D46" s="5"/>
      <c r="F46" s="322">
        <f>[3]Compass!$FT$70+[3]Compass!$FT$73</f>
        <v>0</v>
      </c>
      <c r="G46" s="322">
        <f>'[3]Atlantic Southeast'!$FT$70+'[3]Atlantic Southeast'!$FT$73</f>
        <v>0</v>
      </c>
      <c r="J46" s="322">
        <f>'[3]Go Jet'!$FT$70+'[3]Go Jet'!$FT$73</f>
        <v>6181</v>
      </c>
      <c r="M46" s="388">
        <f>SUM(B46:L46)</f>
        <v>6181</v>
      </c>
    </row>
    <row r="47" spans="1:13" x14ac:dyDescent="0.2">
      <c r="A47" s="389" t="s">
        <v>125</v>
      </c>
      <c r="C47" s="322">
        <f>'[3]Shuttle America_Delta'!$FT$71+'[3]Shuttle America_Delta'!$FT$74</f>
        <v>0</v>
      </c>
      <c r="D47" s="5"/>
      <c r="F47" s="322">
        <f>[3]Compass!$FT$71+[3]Compass!$FT$74</f>
        <v>0</v>
      </c>
      <c r="G47" s="322">
        <f>'[3]Atlantic Southeast'!$FT$71+'[3]Atlantic Southeast'!$FT$74</f>
        <v>0</v>
      </c>
      <c r="J47" s="322">
        <f>'[3]Go Jet'!$FT$71+'[3]Go Jet'!$FT$74</f>
        <v>8711</v>
      </c>
      <c r="M47" s="388">
        <f>SUM(B47:L47)</f>
        <v>8711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July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E27" sqref="E2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43282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Misc'!$FT$22</f>
        <v>122</v>
      </c>
      <c r="C5" s="184">
        <f>[3]Ryan!$FT$22</f>
        <v>0</v>
      </c>
      <c r="D5" s="184">
        <f>'[3]Charter Misc'!$FT$32</f>
        <v>0</v>
      </c>
      <c r="E5" s="184">
        <f>[3]Omni!$FT$32</f>
        <v>0</v>
      </c>
      <c r="F5" s="184">
        <f>[3]Xtra!$FT$32+[3]Xtra!$FT$22</f>
        <v>0</v>
      </c>
      <c r="G5" s="339">
        <f>SUM(B5:F5)</f>
        <v>122</v>
      </c>
    </row>
    <row r="6" spans="1:17" x14ac:dyDescent="0.2">
      <c r="A6" s="62" t="s">
        <v>31</v>
      </c>
      <c r="B6" s="418">
        <f>'[3]Charter Misc'!$FT$23</f>
        <v>122</v>
      </c>
      <c r="C6" s="187">
        <f>[3]Ryan!$FT$23</f>
        <v>0</v>
      </c>
      <c r="D6" s="187">
        <f>'[3]Charter Misc'!$FT$33</f>
        <v>0</v>
      </c>
      <c r="E6" s="187">
        <f>[3]Omni!$FT$33</f>
        <v>0</v>
      </c>
      <c r="F6" s="187">
        <f>[3]Xtra!$FT$33+[3]Xtra!$FT$23</f>
        <v>0</v>
      </c>
      <c r="G6" s="338">
        <f>SUM(B6:F6)</f>
        <v>122</v>
      </c>
    </row>
    <row r="7" spans="1:17" ht="15.75" thickBot="1" x14ac:dyDescent="0.3">
      <c r="A7" s="183" t="s">
        <v>7</v>
      </c>
      <c r="B7" s="419">
        <f>SUM(B5:B6)</f>
        <v>244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244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Misc'!$FT$4</f>
        <v>2</v>
      </c>
      <c r="C10" s="184">
        <f>[3]Ryan!$FT$4</f>
        <v>0</v>
      </c>
      <c r="D10" s="184">
        <f>'[3]Charter Misc'!$FT$15</f>
        <v>0</v>
      </c>
      <c r="E10" s="184">
        <f>[3]Omni!$FT$15</f>
        <v>0</v>
      </c>
      <c r="F10" s="184">
        <f>[3]Xtra!$FT$15+[3]Xtra!$FT$4</f>
        <v>0</v>
      </c>
      <c r="G10" s="338">
        <f>SUM(B10:F10)</f>
        <v>2</v>
      </c>
    </row>
    <row r="11" spans="1:17" x14ac:dyDescent="0.2">
      <c r="A11" s="182" t="s">
        <v>81</v>
      </c>
      <c r="B11" s="417">
        <f>'[3]Charter Misc'!$FT$5</f>
        <v>2</v>
      </c>
      <c r="C11" s="184">
        <f>[3]Ryan!$FT$5</f>
        <v>0</v>
      </c>
      <c r="D11" s="184">
        <f>'[3]Charter Misc'!$FT$16</f>
        <v>0</v>
      </c>
      <c r="E11" s="184">
        <f>[3]Omni!$FT$16</f>
        <v>0</v>
      </c>
      <c r="F11" s="184">
        <f>[3]Xtra!$FT$16+[3]Xtra!$FT$5</f>
        <v>0</v>
      </c>
      <c r="G11" s="338">
        <f>SUM(B11:F11)</f>
        <v>2</v>
      </c>
    </row>
    <row r="12" spans="1:17" ht="15.75" thickBot="1" x14ac:dyDescent="0.3">
      <c r="A12" s="277" t="s">
        <v>28</v>
      </c>
      <c r="B12" s="421">
        <f>SUM(B10:B11)</f>
        <v>4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4</v>
      </c>
      <c r="Q12" s="130"/>
    </row>
    <row r="17" spans="1:16" x14ac:dyDescent="0.2">
      <c r="B17" s="523" t="s">
        <v>155</v>
      </c>
      <c r="C17" s="524"/>
      <c r="D17" s="524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5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6" t="s">
        <v>121</v>
      </c>
      <c r="C19" s="527"/>
      <c r="D19" s="527"/>
      <c r="E19" s="528"/>
      <c r="G19" s="526" t="s">
        <v>122</v>
      </c>
      <c r="H19" s="529"/>
      <c r="I19" s="529"/>
      <c r="J19" s="530"/>
      <c r="L19" s="531" t="s">
        <v>123</v>
      </c>
      <c r="M19" s="532"/>
      <c r="N19" s="532"/>
      <c r="O19" s="533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 t="shared" ref="I21:I26" si="2">SUM(G21:H21)</f>
        <v>2415973</v>
      </c>
      <c r="J21" s="335">
        <f>[5]Charter!$I$21</f>
        <v>2435679</v>
      </c>
      <c r="K21" s="247">
        <f t="shared" ref="K21:K32" si="3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4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5">SUM(B22:C22)</f>
        <v>285115</v>
      </c>
      <c r="E22" s="336">
        <f>[7]Charter!D22</f>
        <v>272463</v>
      </c>
      <c r="F22" s="334">
        <f t="shared" si="1"/>
        <v>4.6435662823943069E-2</v>
      </c>
      <c r="G22" s="506">
        <f t="shared" ref="G22:G23" si="6">L22-B22</f>
        <v>1192631</v>
      </c>
      <c r="H22" s="507">
        <f t="shared" ref="H22:H23" si="7">M22-C22</f>
        <v>1233627</v>
      </c>
      <c r="I22" s="507">
        <f t="shared" si="2"/>
        <v>2426258</v>
      </c>
      <c r="J22" s="336">
        <f>[7]Charter!I22</f>
        <v>2337959</v>
      </c>
      <c r="K22" s="250">
        <f t="shared" si="3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8">SUM(L22:M22)</f>
        <v>2711373</v>
      </c>
      <c r="O22" s="336">
        <f>[7]Charter!N22</f>
        <v>2610422</v>
      </c>
      <c r="P22" s="249">
        <f t="shared" ref="P22:P32" si="9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506">
        <f t="shared" si="6"/>
        <v>1511202</v>
      </c>
      <c r="H23" s="507">
        <f t="shared" si="7"/>
        <v>1531837</v>
      </c>
      <c r="I23" s="332">
        <f t="shared" si="2"/>
        <v>3043039</v>
      </c>
      <c r="J23" s="336">
        <f>[9]Charter!I23</f>
        <v>3083230</v>
      </c>
      <c r="K23" s="250">
        <f t="shared" si="3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4"/>
        <v>3410867</v>
      </c>
      <c r="O23" s="336">
        <f>[9]Charter!N23</f>
        <v>3431681</v>
      </c>
      <c r="P23" s="249">
        <f t="shared" si="9"/>
        <v>-6.0652490718105792E-3</v>
      </c>
    </row>
    <row r="24" spans="1:16" ht="14.1" customHeight="1" x14ac:dyDescent="0.2">
      <c r="A24" s="248" t="s">
        <v>108</v>
      </c>
      <c r="B24" s="331">
        <f>+[10]Charter!$B24</f>
        <v>130702</v>
      </c>
      <c r="C24" s="333">
        <f>+[10]Charter!$C24</f>
        <v>111716</v>
      </c>
      <c r="D24" s="332">
        <f t="shared" ref="D24" si="10">SUM(B24:C24)</f>
        <v>242418</v>
      </c>
      <c r="E24" s="336">
        <f>[11]Charter!D24</f>
        <v>251391</v>
      </c>
      <c r="F24" s="249">
        <f t="shared" si="1"/>
        <v>-3.5693401911762949E-2</v>
      </c>
      <c r="G24" s="506">
        <f t="shared" ref="G24:H26" si="11">L24-B24</f>
        <v>1413434</v>
      </c>
      <c r="H24" s="507">
        <f t="shared" si="11"/>
        <v>1337410</v>
      </c>
      <c r="I24" s="332">
        <f t="shared" si="2"/>
        <v>2750844</v>
      </c>
      <c r="J24" s="336">
        <f>[11]Charter!I24</f>
        <v>2843673</v>
      </c>
      <c r="K24" s="250">
        <f t="shared" si="3"/>
        <v>-3.2644048735561371E-2</v>
      </c>
      <c r="L24" s="331">
        <f>+[10]Charter!$L24</f>
        <v>1544136</v>
      </c>
      <c r="M24" s="333">
        <f>+[10]Charter!$M24</f>
        <v>1449126</v>
      </c>
      <c r="N24" s="332">
        <f t="shared" ref="N24" si="12">SUM(L24:M24)</f>
        <v>2993262</v>
      </c>
      <c r="O24" s="336">
        <f>[11]Charter!N24</f>
        <v>3095064</v>
      </c>
      <c r="P24" s="249">
        <f t="shared" si="9"/>
        <v>-3.2891726956211564E-2</v>
      </c>
    </row>
    <row r="25" spans="1:16" ht="14.1" customHeight="1" x14ac:dyDescent="0.2">
      <c r="A25" s="235" t="s">
        <v>76</v>
      </c>
      <c r="B25" s="331">
        <f>+[12]Charter!$B25</f>
        <v>128052</v>
      </c>
      <c r="C25" s="333">
        <f>+[12]Charter!$C25</f>
        <v>118282</v>
      </c>
      <c r="D25" s="332">
        <f t="shared" ref="D25" si="13">SUM(B25:C25)</f>
        <v>246334</v>
      </c>
      <c r="E25" s="336">
        <f>[13]Charter!D25</f>
        <v>225442</v>
      </c>
      <c r="F25" s="238">
        <f t="shared" si="1"/>
        <v>9.2671285740900097E-2</v>
      </c>
      <c r="G25" s="506">
        <f t="shared" si="11"/>
        <v>1504357</v>
      </c>
      <c r="H25" s="507">
        <f t="shared" si="11"/>
        <v>1476799</v>
      </c>
      <c r="I25" s="332">
        <f t="shared" si="2"/>
        <v>2981156</v>
      </c>
      <c r="J25" s="336">
        <f>[13]Charter!I25</f>
        <v>2980236</v>
      </c>
      <c r="K25" s="244">
        <f t="shared" si="3"/>
        <v>3.0870038480174052E-4</v>
      </c>
      <c r="L25" s="331">
        <f>+[12]Charter!$L25</f>
        <v>1632409</v>
      </c>
      <c r="M25" s="333">
        <f>+[12]Charter!$M25</f>
        <v>1595081</v>
      </c>
      <c r="N25" s="332">
        <f t="shared" ref="N25" si="14">SUM(L25:M25)</f>
        <v>3227490</v>
      </c>
      <c r="O25" s="336">
        <f>[13]Charter!N25</f>
        <v>3205678</v>
      </c>
      <c r="P25" s="238">
        <f t="shared" si="9"/>
        <v>6.8041768387217929E-3</v>
      </c>
    </row>
    <row r="26" spans="1:16" ht="14.1" customHeight="1" x14ac:dyDescent="0.2">
      <c r="A26" s="248" t="s">
        <v>109</v>
      </c>
      <c r="B26" s="331">
        <f>+[2]Charter!$B26</f>
        <v>128004</v>
      </c>
      <c r="C26" s="333">
        <f>+[2]Charter!$C26</f>
        <v>132185</v>
      </c>
      <c r="D26" s="332">
        <f t="shared" ref="D26" si="15">SUM(B26:C26)</f>
        <v>260189</v>
      </c>
      <c r="E26" s="336">
        <f>[14]Charter!D26</f>
        <v>248451</v>
      </c>
      <c r="F26" s="249">
        <f t="shared" si="1"/>
        <v>4.7244728336774656E-2</v>
      </c>
      <c r="G26" s="506">
        <f t="shared" si="11"/>
        <v>1634622</v>
      </c>
      <c r="H26" s="507">
        <f t="shared" si="11"/>
        <v>1620854</v>
      </c>
      <c r="I26" s="332">
        <f t="shared" si="2"/>
        <v>3255476</v>
      </c>
      <c r="J26" s="336">
        <f>[14]Charter!I26</f>
        <v>3247151</v>
      </c>
      <c r="K26" s="250">
        <f t="shared" si="3"/>
        <v>2.5637859157150375E-3</v>
      </c>
      <c r="L26" s="331">
        <f>+[2]Charter!$L26</f>
        <v>1762626</v>
      </c>
      <c r="M26" s="333">
        <f>+[2]Charter!$M26</f>
        <v>1753039</v>
      </c>
      <c r="N26" s="332">
        <f t="shared" ref="N26" si="16">SUM(L26:M26)</f>
        <v>3515665</v>
      </c>
      <c r="O26" s="336">
        <f>[14]Charter!N26</f>
        <v>3495602</v>
      </c>
      <c r="P26" s="249">
        <f t="shared" si="9"/>
        <v>5.7394978032396134E-3</v>
      </c>
    </row>
    <row r="27" spans="1:16" ht="14.1" customHeight="1" x14ac:dyDescent="0.2">
      <c r="A27" s="235" t="s">
        <v>110</v>
      </c>
      <c r="B27" s="506">
        <f>'Intl Detail'!$P$4+'Intl Detail'!$P$9</f>
        <v>139361</v>
      </c>
      <c r="C27" s="507">
        <f>'Intl Detail'!$P$5+'Intl Detail'!$P$10</f>
        <v>126713</v>
      </c>
      <c r="D27" s="332">
        <f t="shared" ref="D27" si="17">SUM(B27:C27)</f>
        <v>266074</v>
      </c>
      <c r="E27" s="336">
        <f>[1]Charter!D27</f>
        <v>263710</v>
      </c>
      <c r="F27" s="238">
        <f t="shared" si="1"/>
        <v>8.9643927041067831E-3</v>
      </c>
      <c r="G27" s="506">
        <f t="shared" ref="G27" si="18">L27-B27</f>
        <v>1694875</v>
      </c>
      <c r="H27" s="507">
        <f t="shared" ref="H27" si="19">M27-C27</f>
        <v>1704059</v>
      </c>
      <c r="I27" s="332">
        <f t="shared" ref="I27" si="20">SUM(G27:H27)</f>
        <v>3398934</v>
      </c>
      <c r="J27" s="336">
        <f>[1]Charter!I27</f>
        <v>3397860</v>
      </c>
      <c r="K27" s="244">
        <f t="shared" si="3"/>
        <v>3.1608129822888523E-4</v>
      </c>
      <c r="L27" s="506">
        <f>'Monthly Summary'!$B$11</f>
        <v>1834236</v>
      </c>
      <c r="M27" s="507">
        <f>'Monthly Summary'!$C$11</f>
        <v>1830772</v>
      </c>
      <c r="N27" s="332">
        <f t="shared" ref="N27" si="21">SUM(L27:M27)</f>
        <v>3665008</v>
      </c>
      <c r="O27" s="336">
        <f>[1]Charter!N27</f>
        <v>3661570</v>
      </c>
      <c r="P27" s="238">
        <f t="shared" si="9"/>
        <v>9.3894149231067551E-4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6"/>
      <c r="F28" s="249" t="e">
        <f t="shared" si="1"/>
        <v>#DIV/0!</v>
      </c>
      <c r="G28" s="331"/>
      <c r="H28" s="333"/>
      <c r="I28" s="332">
        <f t="shared" ref="I28:I32" si="22">SUM(G28:H28)</f>
        <v>0</v>
      </c>
      <c r="J28" s="336"/>
      <c r="K28" s="250" t="e">
        <f t="shared" si="3"/>
        <v>#DIV/0!</v>
      </c>
      <c r="L28" s="331"/>
      <c r="M28" s="333"/>
      <c r="N28" s="332">
        <f t="shared" si="4"/>
        <v>0</v>
      </c>
      <c r="O28" s="336"/>
      <c r="P28" s="249" t="e">
        <f t="shared" si="9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si="22"/>
        <v>0</v>
      </c>
      <c r="J29" s="336"/>
      <c r="K29" s="244" t="e">
        <f t="shared" si="3"/>
        <v>#DIV/0!</v>
      </c>
      <c r="L29" s="331"/>
      <c r="M29" s="333"/>
      <c r="N29" s="332">
        <f t="shared" si="4"/>
        <v>0</v>
      </c>
      <c r="O29" s="336"/>
      <c r="P29" s="238" t="e">
        <f t="shared" si="9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3"/>
        <v>#DIV/0!</v>
      </c>
      <c r="L30" s="331"/>
      <c r="M30" s="333"/>
      <c r="N30" s="332">
        <f>SUM(L30:M30)</f>
        <v>0</v>
      </c>
      <c r="O30" s="336"/>
      <c r="P30" s="249" t="e">
        <f t="shared" si="9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22"/>
        <v>0</v>
      </c>
      <c r="J31" s="336"/>
      <c r="K31" s="244" t="e">
        <f t="shared" si="3"/>
        <v>#DIV/0!</v>
      </c>
      <c r="L31" s="331"/>
      <c r="M31" s="333"/>
      <c r="N31" s="332">
        <f>SUM(L31:M31)</f>
        <v>0</v>
      </c>
      <c r="O31" s="336"/>
      <c r="P31" s="238" t="e">
        <f t="shared" si="9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22"/>
        <v>0</v>
      </c>
      <c r="J32" s="336"/>
      <c r="K32" s="252" t="e">
        <f t="shared" si="3"/>
        <v>#DIV/0!</v>
      </c>
      <c r="L32" s="331"/>
      <c r="M32" s="333"/>
      <c r="N32" s="161">
        <f t="shared" si="4"/>
        <v>0</v>
      </c>
      <c r="O32" s="336"/>
      <c r="P32" s="252" t="e">
        <f t="shared" si="9"/>
        <v>#DIV/0!</v>
      </c>
    </row>
    <row r="33" spans="1:16" ht="13.5" thickBot="1" x14ac:dyDescent="0.25">
      <c r="A33" s="245" t="s">
        <v>77</v>
      </c>
      <c r="B33" s="255">
        <f>SUM(B21:B32)</f>
        <v>988243</v>
      </c>
      <c r="C33" s="256">
        <f>SUM(C21:C32)</f>
        <v>948552</v>
      </c>
      <c r="D33" s="256">
        <f>SUM(D21:D32)</f>
        <v>1936795</v>
      </c>
      <c r="E33" s="257">
        <f>SUM(E21:E32)</f>
        <v>1866655</v>
      </c>
      <c r="F33" s="240">
        <f>(D33-E33)/E33</f>
        <v>3.7575234845217784E-2</v>
      </c>
      <c r="G33" s="258">
        <f>SUM(G21:G32)</f>
        <v>10153812</v>
      </c>
      <c r="H33" s="256">
        <f>SUM(H21:H32)</f>
        <v>10117868</v>
      </c>
      <c r="I33" s="256">
        <f>SUM(I21:I32)</f>
        <v>20271680</v>
      </c>
      <c r="J33" s="259">
        <f>SUM(J21:J32)</f>
        <v>20325788</v>
      </c>
      <c r="K33" s="241">
        <f>(I33-J33)/J33</f>
        <v>-2.6620370142599143E-3</v>
      </c>
      <c r="L33" s="258">
        <f>SUM(L21:L32)</f>
        <v>11142055</v>
      </c>
      <c r="M33" s="256">
        <f>SUM(M21:M32)</f>
        <v>11066420</v>
      </c>
      <c r="N33" s="256">
        <f>SUM(N21:N32)</f>
        <v>22208475</v>
      </c>
      <c r="O33" s="257">
        <f>SUM(O21:O32)</f>
        <v>22192443</v>
      </c>
      <c r="P33" s="239">
        <f>(N33-O33)/O33</f>
        <v>7.2240807377538382E-4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D37" s="130"/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July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C5" sqref="C5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3" width="10.28515625" customWidth="1"/>
    <col min="4" max="5" width="11.28515625" bestFit="1" customWidth="1"/>
    <col min="6" max="6" width="1" customWidth="1"/>
    <col min="7" max="7" width="11.28515625" bestFit="1" customWidth="1"/>
    <col min="8" max="9" width="11.28515625" customWidth="1"/>
    <col min="11" max="12" width="11.28515625" bestFit="1" customWidth="1"/>
    <col min="14" max="14" width="11.28515625" bestFit="1" customWidth="1"/>
  </cols>
  <sheetData>
    <row r="1" spans="1:21" s="190" customFormat="1" ht="15.75" thickBot="1" x14ac:dyDescent="0.3">
      <c r="B1" s="537"/>
      <c r="C1" s="537"/>
      <c r="D1" s="537"/>
      <c r="E1" s="537"/>
      <c r="F1" s="448"/>
      <c r="G1" s="538" t="s">
        <v>94</v>
      </c>
      <c r="H1" s="539"/>
      <c r="I1" s="539"/>
      <c r="J1" s="539"/>
      <c r="K1" s="539"/>
      <c r="L1" s="539"/>
      <c r="M1" s="540"/>
    </row>
    <row r="2" spans="1:21" s="191" customFormat="1" ht="30.75" customHeight="1" thickBot="1" x14ac:dyDescent="0.25">
      <c r="A2" s="378">
        <v>43282</v>
      </c>
      <c r="B2" s="437" t="s">
        <v>186</v>
      </c>
      <c r="C2" s="516" t="s">
        <v>231</v>
      </c>
      <c r="D2" s="8" t="s">
        <v>82</v>
      </c>
      <c r="E2" s="8" t="s">
        <v>83</v>
      </c>
      <c r="F2" s="199"/>
      <c r="G2" s="180" t="s">
        <v>84</v>
      </c>
      <c r="H2" s="180" t="s">
        <v>187</v>
      </c>
      <c r="I2" s="180" t="s">
        <v>167</v>
      </c>
      <c r="J2" s="102" t="s">
        <v>85</v>
      </c>
      <c r="K2" s="8" t="s">
        <v>86</v>
      </c>
      <c r="L2" s="180" t="s">
        <v>87</v>
      </c>
      <c r="M2" s="180" t="s">
        <v>130</v>
      </c>
      <c r="N2" s="180" t="s">
        <v>21</v>
      </c>
    </row>
    <row r="3" spans="1:21" ht="15" x14ac:dyDescent="0.25">
      <c r="A3" s="200" t="s">
        <v>9</v>
      </c>
      <c r="B3" s="201"/>
      <c r="C3" s="201"/>
      <c r="D3" s="201"/>
      <c r="E3" s="201"/>
      <c r="F3" s="202"/>
      <c r="G3" s="45"/>
      <c r="H3" s="45"/>
      <c r="I3" s="45"/>
      <c r="J3" s="45"/>
      <c r="K3" s="56"/>
      <c r="L3" s="45"/>
      <c r="M3" s="45"/>
      <c r="N3" s="203"/>
    </row>
    <row r="4" spans="1:21" x14ac:dyDescent="0.2">
      <c r="A4" s="53" t="s">
        <v>53</v>
      </c>
      <c r="B4" s="161">
        <f>[3]DHL!$FT$4</f>
        <v>22</v>
      </c>
      <c r="C4" s="161">
        <f>'[3]Atlas Air'!$FT$4</f>
        <v>30</v>
      </c>
      <c r="D4" s="161">
        <f>[3]FedEx!$FT$4+[3]FedEx!$FT$15</f>
        <v>106</v>
      </c>
      <c r="E4" s="161">
        <f>[3]UPS!$FT$4+[3]UPS!$FT$15</f>
        <v>121</v>
      </c>
      <c r="F4" s="192"/>
      <c r="G4" s="118">
        <f>[3]ATI_BAX!$FT$4</f>
        <v>0</v>
      </c>
      <c r="H4" s="161">
        <f>[3]IFL!$FT$4+[3]IFL!$FT$15</f>
        <v>20</v>
      </c>
      <c r="I4" s="118">
        <f>'[3]Suburban Air Freight'!$FT$15</f>
        <v>0</v>
      </c>
      <c r="J4" s="118">
        <f>[3]Bemidji!$FT$4</f>
        <v>268</v>
      </c>
      <c r="K4" s="118">
        <f>'[3]CSA Air'!$FT$4</f>
        <v>0</v>
      </c>
      <c r="L4" s="118">
        <f>'[3]Mountain Cargo'!$FT$4</f>
        <v>19</v>
      </c>
      <c r="M4" s="118">
        <f>'[3]Misc Cargo'!$FT$4</f>
        <v>44</v>
      </c>
      <c r="N4" s="204">
        <f>SUM(B4:M4)</f>
        <v>630</v>
      </c>
    </row>
    <row r="5" spans="1:21" x14ac:dyDescent="0.2">
      <c r="A5" s="53" t="s">
        <v>54</v>
      </c>
      <c r="B5" s="198">
        <f>[3]DHL!$FT$5</f>
        <v>22</v>
      </c>
      <c r="C5" s="198">
        <f>'[3]Atlas Air'!$FT$5</f>
        <v>30</v>
      </c>
      <c r="D5" s="198">
        <f>[3]FedEx!$FT$5</f>
        <v>106</v>
      </c>
      <c r="E5" s="198">
        <f>[3]UPS!$FT$5+[3]UPS!$FT$16</f>
        <v>121</v>
      </c>
      <c r="F5" s="192"/>
      <c r="G5" s="120">
        <f>[3]ATI_BAX!$FT$5</f>
        <v>0</v>
      </c>
      <c r="H5" s="198">
        <f>[3]IFL!$FT$5</f>
        <v>20</v>
      </c>
      <c r="I5" s="120">
        <f>'[3]Suburban Air Freight'!$FT$16</f>
        <v>0</v>
      </c>
      <c r="J5" s="120">
        <f>[3]Bemidji!$FT$5</f>
        <v>268</v>
      </c>
      <c r="K5" s="120">
        <f>'[3]CSA Air'!$FT$5</f>
        <v>1</v>
      </c>
      <c r="L5" s="120">
        <f>'[3]Mountain Cargo'!$FT$5</f>
        <v>19</v>
      </c>
      <c r="M5" s="120">
        <f>'[3]Misc Cargo'!$FT$5</f>
        <v>44</v>
      </c>
      <c r="N5" s="208">
        <f>SUM(B5:M5)</f>
        <v>631</v>
      </c>
    </row>
    <row r="6" spans="1:21" s="189" customFormat="1" x14ac:dyDescent="0.2">
      <c r="A6" s="205" t="s">
        <v>55</v>
      </c>
      <c r="B6" s="206">
        <f>SUM(B4:B5)</f>
        <v>44</v>
      </c>
      <c r="C6" s="206">
        <f>SUM(C4:C5)</f>
        <v>60</v>
      </c>
      <c r="D6" s="206">
        <f>SUM(D4:D5)</f>
        <v>212</v>
      </c>
      <c r="E6" s="206">
        <f>SUM(E4:E5)</f>
        <v>242</v>
      </c>
      <c r="F6" s="193"/>
      <c r="G6" s="188">
        <f t="shared" ref="G6:M6" si="0">SUM(G4:G5)</f>
        <v>0</v>
      </c>
      <c r="H6" s="206">
        <f>SUM(H4:H5)</f>
        <v>40</v>
      </c>
      <c r="I6" s="188">
        <f t="shared" si="0"/>
        <v>0</v>
      </c>
      <c r="J6" s="188">
        <f t="shared" si="0"/>
        <v>536</v>
      </c>
      <c r="K6" s="188">
        <f t="shared" si="0"/>
        <v>1</v>
      </c>
      <c r="L6" s="188">
        <f t="shared" si="0"/>
        <v>38</v>
      </c>
      <c r="M6" s="188">
        <f t="shared" si="0"/>
        <v>88</v>
      </c>
      <c r="N6" s="207">
        <f>SUM(B6:M6)</f>
        <v>1261</v>
      </c>
    </row>
    <row r="7" spans="1:21" x14ac:dyDescent="0.2">
      <c r="A7" s="53"/>
      <c r="B7" s="161"/>
      <c r="C7" s="161"/>
      <c r="D7" s="161"/>
      <c r="E7" s="161"/>
      <c r="F7" s="192"/>
      <c r="G7" s="118"/>
      <c r="H7" s="161"/>
      <c r="I7" s="118"/>
      <c r="J7" s="118"/>
      <c r="K7" s="118"/>
      <c r="L7" s="118"/>
      <c r="M7" s="118"/>
      <c r="N7" s="204"/>
    </row>
    <row r="8" spans="1:21" x14ac:dyDescent="0.2">
      <c r="A8" s="53" t="s">
        <v>56</v>
      </c>
      <c r="B8" s="161"/>
      <c r="C8" s="161"/>
      <c r="D8" s="161"/>
      <c r="E8" s="161"/>
      <c r="F8" s="192"/>
      <c r="G8" s="118"/>
      <c r="H8" s="161"/>
      <c r="I8" s="118"/>
      <c r="J8" s="118"/>
      <c r="K8" s="118"/>
      <c r="L8" s="118"/>
      <c r="M8" s="118">
        <f>'[3]Misc Cargo'!$FT$8</f>
        <v>0</v>
      </c>
      <c r="N8" s="204">
        <f>SUM(B8:M8)</f>
        <v>0</v>
      </c>
    </row>
    <row r="9" spans="1:21" ht="15" x14ac:dyDescent="0.25">
      <c r="A9" s="53" t="s">
        <v>57</v>
      </c>
      <c r="B9" s="198"/>
      <c r="C9" s="198"/>
      <c r="D9" s="198"/>
      <c r="E9" s="198"/>
      <c r="F9" s="192"/>
      <c r="G9" s="120"/>
      <c r="H9" s="198"/>
      <c r="I9" s="120"/>
      <c r="J9" s="120"/>
      <c r="K9" s="120"/>
      <c r="L9" s="120"/>
      <c r="M9" s="120">
        <f>'[3]Misc Cargo'!$FT$9</f>
        <v>3</v>
      </c>
      <c r="N9" s="208">
        <f>SUM(B9:M9)</f>
        <v>3</v>
      </c>
      <c r="Q9" s="15"/>
      <c r="R9" s="327"/>
      <c r="S9" s="327"/>
      <c r="T9" s="327"/>
      <c r="U9" s="327"/>
    </row>
    <row r="10" spans="1:21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206">
        <f>SUM(E8:E9)</f>
        <v>0</v>
      </c>
      <c r="F10" s="193"/>
      <c r="G10" s="188">
        <f t="shared" ref="G10:M10" si="1">SUM(G8:G9)</f>
        <v>0</v>
      </c>
      <c r="H10" s="206">
        <f>SUM(H8:H9)</f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188">
        <f t="shared" si="1"/>
        <v>3</v>
      </c>
      <c r="N10" s="207">
        <f>SUM(B10:M10)</f>
        <v>3</v>
      </c>
    </row>
    <row r="11" spans="1:21" x14ac:dyDescent="0.2">
      <c r="A11" s="53"/>
      <c r="B11" s="161"/>
      <c r="C11" s="161"/>
      <c r="D11" s="161"/>
      <c r="E11" s="161"/>
      <c r="F11" s="192"/>
      <c r="G11" s="118"/>
      <c r="H11" s="161"/>
      <c r="I11" s="118"/>
      <c r="J11" s="118"/>
      <c r="K11" s="118"/>
      <c r="L11" s="118"/>
      <c r="M11" s="118"/>
      <c r="N11" s="170"/>
    </row>
    <row r="12" spans="1:21" ht="18" customHeight="1" thickBot="1" x14ac:dyDescent="0.25">
      <c r="A12" s="209" t="s">
        <v>28</v>
      </c>
      <c r="B12" s="210">
        <f>B6+B10</f>
        <v>44</v>
      </c>
      <c r="C12" s="210">
        <f>C6+C10</f>
        <v>60</v>
      </c>
      <c r="D12" s="210">
        <f>D6+D10</f>
        <v>212</v>
      </c>
      <c r="E12" s="210">
        <f>E6+E10</f>
        <v>242</v>
      </c>
      <c r="F12" s="211"/>
      <c r="G12" s="212">
        <f t="shared" ref="G12:M12" si="2">G6+G10</f>
        <v>0</v>
      </c>
      <c r="H12" s="210">
        <f>H6+H10</f>
        <v>40</v>
      </c>
      <c r="I12" s="212">
        <f t="shared" si="2"/>
        <v>0</v>
      </c>
      <c r="J12" s="212">
        <f t="shared" si="2"/>
        <v>536</v>
      </c>
      <c r="K12" s="212">
        <f t="shared" si="2"/>
        <v>1</v>
      </c>
      <c r="L12" s="212">
        <f t="shared" si="2"/>
        <v>38</v>
      </c>
      <c r="M12" s="212">
        <f t="shared" si="2"/>
        <v>91</v>
      </c>
      <c r="N12" s="213">
        <f>SUM(B12:M12)</f>
        <v>1264</v>
      </c>
    </row>
    <row r="13" spans="1:21" ht="18" customHeight="1" thickBot="1" x14ac:dyDescent="0.25">
      <c r="A13" s="177"/>
      <c r="B13" s="194"/>
      <c r="C13" s="194"/>
      <c r="D13" s="194"/>
      <c r="E13" s="194"/>
      <c r="F13" s="195"/>
      <c r="G13" s="196"/>
      <c r="H13" s="194"/>
      <c r="I13" s="196"/>
      <c r="J13" s="178"/>
      <c r="K13" s="178"/>
      <c r="L13" s="178"/>
      <c r="M13" s="178"/>
      <c r="N13" s="5"/>
    </row>
    <row r="14" spans="1:21" ht="15" x14ac:dyDescent="0.25">
      <c r="A14" s="214" t="s">
        <v>95</v>
      </c>
      <c r="B14" s="215"/>
      <c r="C14" s="215"/>
      <c r="D14" s="215"/>
      <c r="E14" s="215"/>
      <c r="F14" s="216"/>
      <c r="G14" s="175"/>
      <c r="H14" s="215"/>
      <c r="I14" s="175"/>
      <c r="J14" s="81"/>
      <c r="K14" s="81"/>
      <c r="L14" s="81"/>
      <c r="M14" s="81"/>
      <c r="N14" s="217"/>
    </row>
    <row r="15" spans="1:21" x14ac:dyDescent="0.2">
      <c r="A15" s="218" t="s">
        <v>96</v>
      </c>
      <c r="B15" s="161"/>
      <c r="C15" s="161"/>
      <c r="D15" s="161"/>
      <c r="E15" s="161"/>
      <c r="F15" s="192"/>
      <c r="G15" s="118"/>
      <c r="H15" s="161"/>
      <c r="I15" s="118"/>
      <c r="J15" s="5"/>
      <c r="K15" s="5"/>
      <c r="L15" s="5"/>
      <c r="M15" s="5"/>
      <c r="N15" s="179"/>
    </row>
    <row r="16" spans="1:21" x14ac:dyDescent="0.2">
      <c r="A16" s="53" t="s">
        <v>37</v>
      </c>
      <c r="B16" s="161">
        <f>[3]DHL!$FT$47</f>
        <v>835658</v>
      </c>
      <c r="C16" s="161">
        <f>'[3]Atlas Air'!$FT$47</f>
        <v>1090432</v>
      </c>
      <c r="D16" s="161">
        <f>[3]FedEx!$FT$47</f>
        <v>8162583</v>
      </c>
      <c r="E16" s="161">
        <f>[3]UPS!$FT$47</f>
        <v>6011671</v>
      </c>
      <c r="F16" s="192"/>
      <c r="G16" s="118">
        <f>[3]ATI_BAX!$FT$47</f>
        <v>0</v>
      </c>
      <c r="H16" s="161">
        <f>[3]IFL!$FT$47</f>
        <v>23746</v>
      </c>
      <c r="I16" s="118">
        <f>'[3]Suburban Air Freight'!$FT$47</f>
        <v>0</v>
      </c>
      <c r="J16" s="534" t="s">
        <v>88</v>
      </c>
      <c r="K16" s="118">
        <f>'[3]CSA Air'!$FT$47</f>
        <v>0</v>
      </c>
      <c r="L16" s="118">
        <f>'[3]Mountain Cargo'!$FT$47</f>
        <v>139764</v>
      </c>
      <c r="M16" s="118">
        <f>'[3]Misc Cargo'!$FT$47</f>
        <v>76487</v>
      </c>
      <c r="N16" s="204">
        <f>SUM(B16:I16)+SUM(K16:M16)</f>
        <v>16340341</v>
      </c>
    </row>
    <row r="17" spans="1:15" x14ac:dyDescent="0.2">
      <c r="A17" s="53" t="s">
        <v>38</v>
      </c>
      <c r="B17" s="161">
        <f>[3]DHL!$FT$48</f>
        <v>0</v>
      </c>
      <c r="C17" s="161">
        <f>'[3]Atlas Air'!$FT$48</f>
        <v>0</v>
      </c>
      <c r="D17" s="161">
        <f>[3]FedEx!$FT$48</f>
        <v>64701</v>
      </c>
      <c r="E17" s="161">
        <f>[3]UPS!$FT$48</f>
        <v>1163</v>
      </c>
      <c r="F17" s="192"/>
      <c r="G17" s="118">
        <f>[3]ATI_BAX!$FT$48</f>
        <v>0</v>
      </c>
      <c r="H17" s="161">
        <f>[3]IFL!$FT$48</f>
        <v>0</v>
      </c>
      <c r="I17" s="118">
        <f>'[3]Suburban Air Freight'!$FT$48</f>
        <v>0</v>
      </c>
      <c r="J17" s="535"/>
      <c r="K17" s="118">
        <f>'[3]CSA Air'!$FT$48</f>
        <v>0</v>
      </c>
      <c r="L17" s="118">
        <f>'[3]Mountain Cargo'!$FT$48</f>
        <v>0</v>
      </c>
      <c r="M17" s="118">
        <f>'[3]Misc Cargo'!$FT$48</f>
        <v>0</v>
      </c>
      <c r="N17" s="204">
        <f>SUM(B17:I17)+SUM(K17:M17)</f>
        <v>65864</v>
      </c>
    </row>
    <row r="18" spans="1:15" ht="18" customHeight="1" x14ac:dyDescent="0.2">
      <c r="A18" s="219" t="s">
        <v>39</v>
      </c>
      <c r="B18" s="302">
        <f>SUM(B16:B17)</f>
        <v>835658</v>
      </c>
      <c r="C18" s="302">
        <f>SUM(C16:C17)</f>
        <v>1090432</v>
      </c>
      <c r="D18" s="302">
        <f>SUM(D16:D17)</f>
        <v>8227284</v>
      </c>
      <c r="E18" s="302">
        <f>SUM(E16:E17)</f>
        <v>6012834</v>
      </c>
      <c r="F18" s="197"/>
      <c r="G18" s="303">
        <f>SUM(G16:G17)</f>
        <v>0</v>
      </c>
      <c r="H18" s="302">
        <f>SUM(H16:H17)</f>
        <v>23746</v>
      </c>
      <c r="I18" s="303">
        <f>SUM(I16:I17)</f>
        <v>0</v>
      </c>
      <c r="J18" s="535"/>
      <c r="K18" s="303">
        <f>SUM(K16:K17)</f>
        <v>0</v>
      </c>
      <c r="L18" s="303">
        <f>SUM(L16:L17)</f>
        <v>139764</v>
      </c>
      <c r="M18" s="303">
        <f>SUM(M16:M17)</f>
        <v>76487</v>
      </c>
      <c r="N18" s="220">
        <f>SUM(B18:I18)+SUM(K18:M18)</f>
        <v>16406205</v>
      </c>
      <c r="O18" s="7"/>
    </row>
    <row r="19" spans="1:15" x14ac:dyDescent="0.2">
      <c r="A19" s="53"/>
      <c r="B19" s="161"/>
      <c r="C19" s="161"/>
      <c r="D19" s="161"/>
      <c r="E19" s="161"/>
      <c r="F19" s="192"/>
      <c r="G19" s="118"/>
      <c r="H19" s="161"/>
      <c r="I19" s="118"/>
      <c r="J19" s="535"/>
      <c r="K19" s="118"/>
      <c r="L19" s="118"/>
      <c r="M19" s="118"/>
      <c r="N19" s="204"/>
    </row>
    <row r="20" spans="1:15" x14ac:dyDescent="0.2">
      <c r="A20" s="221" t="s">
        <v>89</v>
      </c>
      <c r="B20" s="161"/>
      <c r="C20" s="161"/>
      <c r="D20" s="161"/>
      <c r="E20" s="161"/>
      <c r="F20" s="192"/>
      <c r="G20" s="118"/>
      <c r="H20" s="161"/>
      <c r="I20" s="118"/>
      <c r="J20" s="535"/>
      <c r="K20" s="118"/>
      <c r="L20" s="118"/>
      <c r="M20" s="118"/>
      <c r="N20" s="204"/>
    </row>
    <row r="21" spans="1:15" x14ac:dyDescent="0.2">
      <c r="A21" s="53" t="s">
        <v>59</v>
      </c>
      <c r="B21" s="161">
        <f>[3]DHL!$FT$52</f>
        <v>535740</v>
      </c>
      <c r="C21" s="161">
        <f>'[3]Atlas Air'!$FT$52</f>
        <v>957802</v>
      </c>
      <c r="D21" s="161">
        <f>[3]FedEx!$FT$52</f>
        <v>7699026</v>
      </c>
      <c r="E21" s="161">
        <f>[3]UPS!$FT$52</f>
        <v>4762794</v>
      </c>
      <c r="F21" s="192"/>
      <c r="G21" s="118">
        <f>[3]ATI_BAX!$FT$52</f>
        <v>0</v>
      </c>
      <c r="H21" s="161">
        <f>[3]IFL!$FT$52</f>
        <v>45</v>
      </c>
      <c r="I21" s="118">
        <f>'[3]Suburban Air Freight'!$FT$52</f>
        <v>0</v>
      </c>
      <c r="J21" s="535"/>
      <c r="K21" s="118">
        <f>'[3]CSA Air'!$FT$52</f>
        <v>1371</v>
      </c>
      <c r="L21" s="118">
        <f>'[3]Mountain Cargo'!$FT$52</f>
        <v>58146</v>
      </c>
      <c r="M21" s="118">
        <f>'[3]Misc Cargo'!$FT$52</f>
        <v>48107</v>
      </c>
      <c r="N21" s="204">
        <f>SUM(B21:I21)+SUM(K21:M21)</f>
        <v>14063031</v>
      </c>
    </row>
    <row r="22" spans="1:15" x14ac:dyDescent="0.2">
      <c r="A22" s="53" t="s">
        <v>60</v>
      </c>
      <c r="B22" s="161">
        <f>[3]DHL!$FT$53</f>
        <v>0</v>
      </c>
      <c r="C22" s="161">
        <f>'[3]Atlas Air'!$FT$53</f>
        <v>0</v>
      </c>
      <c r="D22" s="161">
        <f>[3]FedEx!$FT$53</f>
        <v>4950</v>
      </c>
      <c r="E22" s="161">
        <f>[3]UPS!$FT$53</f>
        <v>479851</v>
      </c>
      <c r="F22" s="192"/>
      <c r="G22" s="118">
        <f>[3]ATI_BAX!$FT$53</f>
        <v>0</v>
      </c>
      <c r="H22" s="161">
        <f>[3]IFL!$FT$53</f>
        <v>0</v>
      </c>
      <c r="I22" s="118">
        <f>'[3]Suburban Air Freight'!$FT$53</f>
        <v>0</v>
      </c>
      <c r="J22" s="535"/>
      <c r="K22" s="118">
        <f>'[3]CSA Air'!$FT$53</f>
        <v>0</v>
      </c>
      <c r="L22" s="118">
        <f>'[3]Mountain Cargo'!$FT$53</f>
        <v>0</v>
      </c>
      <c r="M22" s="118">
        <f>'[3]Misc Cargo'!$FT$53</f>
        <v>0</v>
      </c>
      <c r="N22" s="204">
        <f>SUM(B22:I22)+SUM(K22:M22)</f>
        <v>484801</v>
      </c>
    </row>
    <row r="23" spans="1:15" ht="18" customHeight="1" x14ac:dyDescent="0.2">
      <c r="A23" s="219" t="s">
        <v>41</v>
      </c>
      <c r="B23" s="302">
        <f>SUM(B21:B22)</f>
        <v>535740</v>
      </c>
      <c r="C23" s="302">
        <f>SUM(C21:C22)</f>
        <v>957802</v>
      </c>
      <c r="D23" s="302">
        <f>SUM(D21:D22)</f>
        <v>7703976</v>
      </c>
      <c r="E23" s="302">
        <f>SUM(E21:E22)</f>
        <v>5242645</v>
      </c>
      <c r="F23" s="197"/>
      <c r="G23" s="303">
        <f>SUM(G21:G22)</f>
        <v>0</v>
      </c>
      <c r="H23" s="302">
        <f>SUM(H21:H22)</f>
        <v>45</v>
      </c>
      <c r="I23" s="303">
        <f>SUM(I21:I22)</f>
        <v>0</v>
      </c>
      <c r="J23" s="535"/>
      <c r="K23" s="303">
        <f>SUM(K21:K22)</f>
        <v>1371</v>
      </c>
      <c r="L23" s="303">
        <f>SUM(L21:L22)</f>
        <v>58146</v>
      </c>
      <c r="M23" s="303">
        <f>SUM(M21:M22)</f>
        <v>48107</v>
      </c>
      <c r="N23" s="220">
        <f>SUM(B23:I23)+SUM(K23:M23)</f>
        <v>14547832</v>
      </c>
    </row>
    <row r="24" spans="1:15" x14ac:dyDescent="0.2">
      <c r="A24" s="53"/>
      <c r="B24" s="161"/>
      <c r="C24" s="161"/>
      <c r="D24" s="161"/>
      <c r="E24" s="161"/>
      <c r="F24" s="192"/>
      <c r="G24" s="118"/>
      <c r="H24" s="161"/>
      <c r="I24" s="118"/>
      <c r="J24" s="535"/>
      <c r="K24" s="118"/>
      <c r="L24" s="118"/>
      <c r="M24" s="118"/>
      <c r="N24" s="204"/>
    </row>
    <row r="25" spans="1:15" x14ac:dyDescent="0.2">
      <c r="A25" s="221" t="s">
        <v>97</v>
      </c>
      <c r="B25" s="161"/>
      <c r="C25" s="161"/>
      <c r="D25" s="161"/>
      <c r="E25" s="161"/>
      <c r="F25" s="192"/>
      <c r="G25" s="118"/>
      <c r="H25" s="161"/>
      <c r="I25" s="118"/>
      <c r="J25" s="535"/>
      <c r="K25" s="118"/>
      <c r="L25" s="118"/>
      <c r="M25" s="118"/>
      <c r="N25" s="204"/>
    </row>
    <row r="26" spans="1:15" x14ac:dyDescent="0.2">
      <c r="A26" s="53" t="s">
        <v>59</v>
      </c>
      <c r="B26" s="161">
        <f>[3]DHL!$FT$57</f>
        <v>0</v>
      </c>
      <c r="C26" s="161">
        <f>'[3]Atlas Air'!$FT$57</f>
        <v>0</v>
      </c>
      <c r="D26" s="161">
        <f>[3]FedEx!$FT$57</f>
        <v>0</v>
      </c>
      <c r="E26" s="161">
        <f>[3]UPS!$FT$57</f>
        <v>0</v>
      </c>
      <c r="F26" s="192"/>
      <c r="G26" s="118">
        <f>[3]ATI_BAX!$FT$57</f>
        <v>0</v>
      </c>
      <c r="H26" s="161">
        <f>[3]IFL!$FT$57</f>
        <v>0</v>
      </c>
      <c r="I26" s="118">
        <f>'[3]Suburban Air Freight'!$FT$57</f>
        <v>0</v>
      </c>
      <c r="J26" s="535"/>
      <c r="K26" s="118">
        <f>'[3]CSA Air'!$FT$57</f>
        <v>0</v>
      </c>
      <c r="L26" s="118">
        <f>'[3]Mountain Cargo'!$FT$57</f>
        <v>0</v>
      </c>
      <c r="M26" s="118">
        <f>'[3]Misc Cargo'!$FT$57</f>
        <v>0</v>
      </c>
      <c r="N26" s="204">
        <f>SUM(B26:I26)+SUM(K26:M26)</f>
        <v>0</v>
      </c>
    </row>
    <row r="27" spans="1:15" x14ac:dyDescent="0.2">
      <c r="A27" s="53" t="s">
        <v>60</v>
      </c>
      <c r="B27" s="161">
        <f>[3]DHL!$FT$58</f>
        <v>0</v>
      </c>
      <c r="C27" s="161">
        <f>'[3]Atlas Air'!$FT$58</f>
        <v>0</v>
      </c>
      <c r="D27" s="161">
        <f>[3]FedEx!$FT$58</f>
        <v>0</v>
      </c>
      <c r="E27" s="161">
        <f>[3]UPS!$FT$58</f>
        <v>0</v>
      </c>
      <c r="F27" s="192"/>
      <c r="G27" s="118">
        <f>[3]ATI_BAX!$FT$58</f>
        <v>0</v>
      </c>
      <c r="H27" s="161">
        <f>[3]IFL!$FT$58</f>
        <v>0</v>
      </c>
      <c r="I27" s="118">
        <f>'[3]Suburban Air Freight'!$FT$58</f>
        <v>0</v>
      </c>
      <c r="J27" s="535"/>
      <c r="K27" s="118">
        <f>'[3]CSA Air'!$FT$58</f>
        <v>0</v>
      </c>
      <c r="L27" s="118">
        <f>'[3]Mountain Cargo'!$FT$58</f>
        <v>0</v>
      </c>
      <c r="M27" s="118">
        <f>'[3]Misc Cargo'!$FT$58</f>
        <v>0</v>
      </c>
      <c r="N27" s="204">
        <f>SUM(B27:I27)+SUM(K27:M27)</f>
        <v>0</v>
      </c>
    </row>
    <row r="28" spans="1:15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302">
        <f>SUM(E26:E27)</f>
        <v>0</v>
      </c>
      <c r="F28" s="197"/>
      <c r="G28" s="303">
        <f>SUM(G26:G27)</f>
        <v>0</v>
      </c>
      <c r="H28" s="302">
        <f>SUM(H26:H27)</f>
        <v>0</v>
      </c>
      <c r="I28" s="303">
        <f>SUM(I26:I27)</f>
        <v>0</v>
      </c>
      <c r="J28" s="535"/>
      <c r="K28" s="303">
        <f>SUM(K26:K27)</f>
        <v>0</v>
      </c>
      <c r="L28" s="303">
        <f>SUM(L26:L27)</f>
        <v>0</v>
      </c>
      <c r="M28" s="303">
        <f>SUM(M26:M27)</f>
        <v>0</v>
      </c>
      <c r="N28" s="220">
        <f>SUM(B28:I28)+SUM(K28:M28)</f>
        <v>0</v>
      </c>
    </row>
    <row r="29" spans="1:15" x14ac:dyDescent="0.2">
      <c r="A29" s="53"/>
      <c r="B29" s="161"/>
      <c r="C29" s="161"/>
      <c r="D29" s="161"/>
      <c r="E29" s="161"/>
      <c r="F29" s="192"/>
      <c r="G29" s="118"/>
      <c r="H29" s="161"/>
      <c r="I29" s="118"/>
      <c r="J29" s="535"/>
      <c r="K29" s="118"/>
      <c r="L29" s="118"/>
      <c r="M29" s="118"/>
      <c r="N29" s="204"/>
    </row>
    <row r="30" spans="1:15" x14ac:dyDescent="0.2">
      <c r="A30" s="222" t="s">
        <v>44</v>
      </c>
      <c r="B30" s="161"/>
      <c r="C30" s="161"/>
      <c r="D30" s="161"/>
      <c r="E30" s="161"/>
      <c r="F30" s="192"/>
      <c r="G30" s="118"/>
      <c r="H30" s="161"/>
      <c r="I30" s="118"/>
      <c r="J30" s="535"/>
      <c r="K30" s="118"/>
      <c r="L30" s="118"/>
      <c r="M30" s="118"/>
      <c r="N30" s="204"/>
    </row>
    <row r="31" spans="1:15" x14ac:dyDescent="0.2">
      <c r="A31" s="53" t="s">
        <v>90</v>
      </c>
      <c r="B31" s="161">
        <f t="shared" ref="B31:E33" si="3">B26+B21+B16</f>
        <v>1371398</v>
      </c>
      <c r="C31" s="161">
        <f t="shared" ref="C31" si="4">C26+C21+C16</f>
        <v>2048234</v>
      </c>
      <c r="D31" s="161">
        <f t="shared" si="3"/>
        <v>15861609</v>
      </c>
      <c r="E31" s="161">
        <f t="shared" si="3"/>
        <v>10774465</v>
      </c>
      <c r="F31" s="192"/>
      <c r="G31" s="118">
        <f t="shared" ref="G31:I33" si="5">G26+G21+G16</f>
        <v>0</v>
      </c>
      <c r="H31" s="161">
        <f t="shared" si="5"/>
        <v>23791</v>
      </c>
      <c r="I31" s="118">
        <f t="shared" si="5"/>
        <v>0</v>
      </c>
      <c r="J31" s="535"/>
      <c r="K31" s="118">
        <f t="shared" ref="K31:M33" si="6">K26+K21+K16</f>
        <v>1371</v>
      </c>
      <c r="L31" s="118">
        <f t="shared" si="6"/>
        <v>197910</v>
      </c>
      <c r="M31" s="118">
        <f>M26+M21+M16</f>
        <v>124594</v>
      </c>
      <c r="N31" s="204">
        <f>SUM(B31:I31)+SUM(K31:M31)</f>
        <v>30403372</v>
      </c>
    </row>
    <row r="32" spans="1:15" x14ac:dyDescent="0.2">
      <c r="A32" s="53" t="s">
        <v>60</v>
      </c>
      <c r="B32" s="161">
        <f t="shared" si="3"/>
        <v>0</v>
      </c>
      <c r="C32" s="161">
        <f t="shared" ref="C32" si="7">C27+C22+C17</f>
        <v>0</v>
      </c>
      <c r="D32" s="161">
        <f t="shared" si="3"/>
        <v>69651</v>
      </c>
      <c r="E32" s="161">
        <f t="shared" si="3"/>
        <v>481014</v>
      </c>
      <c r="F32" s="192"/>
      <c r="G32" s="118">
        <f t="shared" si="5"/>
        <v>0</v>
      </c>
      <c r="H32" s="161">
        <f t="shared" si="5"/>
        <v>0</v>
      </c>
      <c r="I32" s="118">
        <f t="shared" si="5"/>
        <v>0</v>
      </c>
      <c r="J32" s="536"/>
      <c r="K32" s="118">
        <f t="shared" si="6"/>
        <v>0</v>
      </c>
      <c r="L32" s="118">
        <f t="shared" si="6"/>
        <v>0</v>
      </c>
      <c r="M32" s="118">
        <f>M27+M22+M17</f>
        <v>0</v>
      </c>
      <c r="N32" s="208">
        <f>SUM(B32:I32)+SUM(K32:M32)</f>
        <v>550665</v>
      </c>
    </row>
    <row r="33" spans="1:14" ht="18" customHeight="1" thickBot="1" x14ac:dyDescent="0.25">
      <c r="A33" s="209" t="s">
        <v>46</v>
      </c>
      <c r="B33" s="210">
        <f t="shared" si="3"/>
        <v>1371398</v>
      </c>
      <c r="C33" s="210">
        <f t="shared" ref="C33" si="8">C28+C23+C18</f>
        <v>2048234</v>
      </c>
      <c r="D33" s="210">
        <f t="shared" si="3"/>
        <v>15931260</v>
      </c>
      <c r="E33" s="210">
        <f t="shared" si="3"/>
        <v>11255479</v>
      </c>
      <c r="F33" s="223"/>
      <c r="G33" s="212">
        <f t="shared" si="5"/>
        <v>0</v>
      </c>
      <c r="H33" s="210">
        <f t="shared" si="5"/>
        <v>23791</v>
      </c>
      <c r="I33" s="212">
        <f t="shared" si="5"/>
        <v>0</v>
      </c>
      <c r="J33" s="304">
        <f>J28+J23+J18</f>
        <v>0</v>
      </c>
      <c r="K33" s="212">
        <f t="shared" si="6"/>
        <v>1371</v>
      </c>
      <c r="L33" s="212">
        <f t="shared" si="6"/>
        <v>197910</v>
      </c>
      <c r="M33" s="212">
        <f t="shared" si="6"/>
        <v>124594</v>
      </c>
      <c r="N33" s="213">
        <f>SUM(B33:I33)+SUM(K33:M33)</f>
        <v>30954037</v>
      </c>
    </row>
    <row r="34" spans="1:14" x14ac:dyDescent="0.2"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</row>
    <row r="35" spans="1:14" x14ac:dyDescent="0.2">
      <c r="A35" t="s">
        <v>91</v>
      </c>
      <c r="B35" s="2"/>
      <c r="C35" s="2"/>
      <c r="D35" s="2"/>
      <c r="E35" s="2"/>
      <c r="F35" s="2"/>
    </row>
    <row r="36" spans="1:14" x14ac:dyDescent="0.2">
      <c r="A36" t="s">
        <v>92</v>
      </c>
    </row>
    <row r="37" spans="1:14" x14ac:dyDescent="0.2">
      <c r="A37" t="s">
        <v>93</v>
      </c>
    </row>
    <row r="43" spans="1:14" ht="15" x14ac:dyDescent="0.25">
      <c r="J43" s="190"/>
    </row>
  </sheetData>
  <mergeCells count="3">
    <mergeCell ref="J16:J32"/>
    <mergeCell ref="B1:E1"/>
    <mergeCell ref="G1:M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July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43282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6557219</v>
      </c>
      <c r="C5" s="118">
        <f>'Regional Major'!M25</f>
        <v>8650</v>
      </c>
      <c r="D5" s="118">
        <f>Cargo!N16</f>
        <v>16340341</v>
      </c>
      <c r="E5" s="118">
        <f>SUM(B5:D5)</f>
        <v>22906210</v>
      </c>
      <c r="F5" s="118">
        <f>E5*0.00045359237</f>
        <v>10390.0820816177</v>
      </c>
      <c r="G5" s="146">
        <f>'[1]Cargo Summary'!F5</f>
        <v>9185.8052254845807</v>
      </c>
      <c r="H5" s="98">
        <f>(F5-G5)/G5</f>
        <v>0.13110193680049317</v>
      </c>
      <c r="I5" s="146">
        <f>+F5+'[2]Cargo Summary'!I5</f>
        <v>67049.234882676203</v>
      </c>
      <c r="J5" s="146">
        <f>'[1]Cargo Summary'!I5</f>
        <v>63767.411531914862</v>
      </c>
      <c r="K5" s="85">
        <f>(I5-J5)/J5</f>
        <v>5.1465525601879343E-2</v>
      </c>
      <c r="M5" s="35"/>
    </row>
    <row r="6" spans="1:18" x14ac:dyDescent="0.2">
      <c r="A6" s="62" t="s">
        <v>16</v>
      </c>
      <c r="B6" s="169">
        <f>'Major Airline Stats'!K29</f>
        <v>1886939</v>
      </c>
      <c r="C6" s="118">
        <f>'Regional Major'!M26</f>
        <v>519</v>
      </c>
      <c r="D6" s="118">
        <f>Cargo!N17</f>
        <v>65864</v>
      </c>
      <c r="E6" s="118">
        <f>SUM(B6:D6)</f>
        <v>1953322</v>
      </c>
      <c r="F6" s="118">
        <f>E6*0.00045359237</f>
        <v>886.01195535314002</v>
      </c>
      <c r="G6" s="146">
        <f>'[1]Cargo Summary'!F6</f>
        <v>1153.36065900825</v>
      </c>
      <c r="H6" s="37">
        <f>(F6-G6)/G6</f>
        <v>-0.23179974240234391</v>
      </c>
      <c r="I6" s="146">
        <f>+F6+'[2]Cargo Summary'!I6</f>
        <v>5971.5036349214406</v>
      </c>
      <c r="J6" s="146">
        <f>'[1]Cargo Summary'!I6</f>
        <v>6289.7163725788696</v>
      </c>
      <c r="K6" s="85">
        <f>(I6-J6)/J6</f>
        <v>-5.059254166765511E-2</v>
      </c>
      <c r="M6" s="35"/>
    </row>
    <row r="7" spans="1:18" ht="18" customHeight="1" thickBot="1" x14ac:dyDescent="0.25">
      <c r="A7" s="73" t="s">
        <v>72</v>
      </c>
      <c r="B7" s="171">
        <f>SUM(B5:B6)</f>
        <v>8444158</v>
      </c>
      <c r="C7" s="133">
        <f t="shared" ref="C7:J7" si="0">SUM(C5:C6)</f>
        <v>9169</v>
      </c>
      <c r="D7" s="133">
        <f t="shared" si="0"/>
        <v>16406205</v>
      </c>
      <c r="E7" s="133">
        <f t="shared" si="0"/>
        <v>24859532</v>
      </c>
      <c r="F7" s="133">
        <f t="shared" si="0"/>
        <v>11276.094036970841</v>
      </c>
      <c r="G7" s="133">
        <f t="shared" si="0"/>
        <v>10339.165884492832</v>
      </c>
      <c r="H7" s="44">
        <f>(F7-G7)/G7</f>
        <v>9.0619317162060245E-2</v>
      </c>
      <c r="I7" s="133">
        <f t="shared" si="0"/>
        <v>73020.738517597638</v>
      </c>
      <c r="J7" s="133">
        <f t="shared" si="0"/>
        <v>70057.127904493726</v>
      </c>
      <c r="K7" s="318">
        <f>(I7-J7)/J7</f>
        <v>4.2302770635189217E-2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3117244</v>
      </c>
      <c r="C10" s="118">
        <f>'Regional Major'!M30</f>
        <v>2497</v>
      </c>
      <c r="D10" s="118">
        <f>Cargo!N21</f>
        <v>14063031</v>
      </c>
      <c r="E10" s="118">
        <f>SUM(B10:D10)</f>
        <v>17182772</v>
      </c>
      <c r="F10" s="118">
        <f>E10*0.00045359237</f>
        <v>7793.9742746496395</v>
      </c>
      <c r="G10" s="146">
        <f>'[1]Cargo Summary'!F10</f>
        <v>7122.2688383885497</v>
      </c>
      <c r="H10" s="37">
        <f>(F10-G10)/G10</f>
        <v>9.4310598420638464E-2</v>
      </c>
      <c r="I10" s="146">
        <f>+F10+'[2]Cargo Summary'!I10</f>
        <v>52657.11094928746</v>
      </c>
      <c r="J10" s="146">
        <f>'[1]Cargo Summary'!I10</f>
        <v>52512.115612293259</v>
      </c>
      <c r="K10" s="85">
        <f>(I10-J10)/J10</f>
        <v>2.7611787356793802E-3</v>
      </c>
      <c r="M10" s="35"/>
    </row>
    <row r="11" spans="1:18" x14ac:dyDescent="0.2">
      <c r="A11" s="62" t="s">
        <v>16</v>
      </c>
      <c r="B11" s="169">
        <f>'Major Airline Stats'!K34</f>
        <v>2214204</v>
      </c>
      <c r="C11" s="118">
        <f>'Regional Major'!M31</f>
        <v>0</v>
      </c>
      <c r="D11" s="118">
        <f>Cargo!N22</f>
        <v>484801</v>
      </c>
      <c r="E11" s="118">
        <f>SUM(B11:D11)</f>
        <v>2699005</v>
      </c>
      <c r="F11" s="118">
        <f>E11*0.00045359237</f>
        <v>1224.2480745918499</v>
      </c>
      <c r="G11" s="146">
        <f>'[1]Cargo Summary'!F11</f>
        <v>1293.3424395368399</v>
      </c>
      <c r="H11" s="35">
        <f>(F11-G11)/G11</f>
        <v>-5.3423101904653721E-2</v>
      </c>
      <c r="I11" s="146">
        <f>+F11+'[2]Cargo Summary'!I11</f>
        <v>8865.44245999335</v>
      </c>
      <c r="J11" s="146">
        <f>'[1]Cargo Summary'!I11</f>
        <v>8346.5500252234087</v>
      </c>
      <c r="K11" s="85">
        <f>(I11-J11)/J11</f>
        <v>6.216849275471182E-2</v>
      </c>
      <c r="M11" s="35"/>
    </row>
    <row r="12" spans="1:18" ht="18" customHeight="1" thickBot="1" x14ac:dyDescent="0.25">
      <c r="A12" s="73" t="s">
        <v>73</v>
      </c>
      <c r="B12" s="171">
        <f>SUM(B10:B11)</f>
        <v>5331448</v>
      </c>
      <c r="C12" s="133">
        <f t="shared" ref="C12:J12" si="1">SUM(C10:C11)</f>
        <v>2497</v>
      </c>
      <c r="D12" s="133">
        <f t="shared" si="1"/>
        <v>14547832</v>
      </c>
      <c r="E12" s="133">
        <f t="shared" si="1"/>
        <v>19881777</v>
      </c>
      <c r="F12" s="133">
        <f t="shared" si="1"/>
        <v>9018.2223492414887</v>
      </c>
      <c r="G12" s="133">
        <f t="shared" si="1"/>
        <v>8415.611277925389</v>
      </c>
      <c r="H12" s="44">
        <f>(F12-G12)/G12</f>
        <v>7.1606333920957319E-2</v>
      </c>
      <c r="I12" s="133">
        <f t="shared" si="1"/>
        <v>61522.553409280808</v>
      </c>
      <c r="J12" s="133">
        <f t="shared" si="1"/>
        <v>60858.665637516664</v>
      </c>
      <c r="K12" s="318">
        <f>(I12-J12)/J12</f>
        <v>1.0908681036787094E-2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Cargo!N26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Cargo!N27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9674463</v>
      </c>
      <c r="C20" s="118">
        <f t="shared" si="3"/>
        <v>11147</v>
      </c>
      <c r="D20" s="118">
        <f t="shared" si="3"/>
        <v>30403372</v>
      </c>
      <c r="E20" s="118">
        <f>SUM(B20:D20)</f>
        <v>40088982</v>
      </c>
      <c r="F20" s="118">
        <f>E20*0.00045359237</f>
        <v>18184.056356267338</v>
      </c>
      <c r="G20" s="146">
        <f>'[1]Cargo Summary'!F20</f>
        <v>16308.074063873129</v>
      </c>
      <c r="H20" s="37">
        <f>(F20-G20)/G20</f>
        <v>0.11503395710901419</v>
      </c>
      <c r="I20" s="146">
        <f>+F20+'[2]Cargo Summary'!I20</f>
        <v>119706.34583196367</v>
      </c>
      <c r="J20" s="146">
        <f>+J5+J10+J15</f>
        <v>116279.52714420811</v>
      </c>
      <c r="K20" s="85">
        <f>(I20-J20)/J20</f>
        <v>2.9470524794151146E-2</v>
      </c>
      <c r="M20" s="35"/>
    </row>
    <row r="21" spans="1:13" x14ac:dyDescent="0.2">
      <c r="A21" s="62" t="s">
        <v>16</v>
      </c>
      <c r="B21" s="169">
        <f t="shared" si="3"/>
        <v>4101143</v>
      </c>
      <c r="C21" s="120">
        <f t="shared" si="3"/>
        <v>519</v>
      </c>
      <c r="D21" s="120">
        <f t="shared" si="3"/>
        <v>550665</v>
      </c>
      <c r="E21" s="118">
        <f>SUM(B21:D21)</f>
        <v>4652327</v>
      </c>
      <c r="F21" s="118">
        <f>E21*0.00045359237</f>
        <v>2110.26002994499</v>
      </c>
      <c r="G21" s="146">
        <f>'[1]Cargo Summary'!F21</f>
        <v>2446.7030985450901</v>
      </c>
      <c r="H21" s="37">
        <f>(F21-G21)/G21</f>
        <v>-0.13750874341891459</v>
      </c>
      <c r="I21" s="146">
        <f>+F21+'[2]Cargo Summary'!I21</f>
        <v>14836.946094914789</v>
      </c>
      <c r="J21" s="146">
        <f>+J6+J11+J16</f>
        <v>14636.266397802279</v>
      </c>
      <c r="K21" s="85">
        <f>(I21-J21)/J21</f>
        <v>1.3711126298073036E-2</v>
      </c>
      <c r="M21" s="35"/>
    </row>
    <row r="22" spans="1:13" ht="18" customHeight="1" thickBot="1" x14ac:dyDescent="0.25">
      <c r="A22" s="88" t="s">
        <v>62</v>
      </c>
      <c r="B22" s="172">
        <f>SUM(B20:B21)</f>
        <v>13775606</v>
      </c>
      <c r="C22" s="173">
        <f t="shared" ref="C22:J22" si="4">SUM(C20:C21)</f>
        <v>11666</v>
      </c>
      <c r="D22" s="173">
        <f t="shared" si="4"/>
        <v>30954037</v>
      </c>
      <c r="E22" s="173">
        <f t="shared" si="4"/>
        <v>44741309</v>
      </c>
      <c r="F22" s="173">
        <f t="shared" si="4"/>
        <v>20294.316386212329</v>
      </c>
      <c r="G22" s="173">
        <f t="shared" si="4"/>
        <v>18754.777162418221</v>
      </c>
      <c r="H22" s="324">
        <f>(F22-G22)/G22</f>
        <v>8.2087844097615617E-2</v>
      </c>
      <c r="I22" s="173">
        <f t="shared" si="4"/>
        <v>134543.29192687845</v>
      </c>
      <c r="J22" s="173">
        <f t="shared" si="4"/>
        <v>130915.79354201039</v>
      </c>
      <c r="K22" s="325">
        <f>(I22-J22)/J22</f>
        <v>2.7708638405831501E-2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July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3"/>
  <sheetViews>
    <sheetView zoomScaleNormal="100" workbookViewId="0">
      <selection activeCell="N29" sqref="N2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7" t="s">
        <v>206</v>
      </c>
      <c r="B2" s="548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7" t="s">
        <v>201</v>
      </c>
      <c r="K2" s="548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9">
        <v>43282</v>
      </c>
      <c r="B3" s="550"/>
      <c r="C3" s="551" t="s">
        <v>9</v>
      </c>
      <c r="D3" s="552"/>
      <c r="E3" s="552"/>
      <c r="F3" s="552"/>
      <c r="G3" s="552"/>
      <c r="H3" s="553"/>
      <c r="I3" s="466"/>
      <c r="J3" s="549">
        <f>+A3</f>
        <v>43282</v>
      </c>
      <c r="K3" s="550"/>
      <c r="L3" s="541" t="s">
        <v>202</v>
      </c>
      <c r="M3" s="542"/>
      <c r="N3" s="542"/>
      <c r="O3" s="542"/>
      <c r="P3" s="542"/>
      <c r="Q3" s="542"/>
      <c r="R3" s="543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+[3]DHL!$FT$19</f>
        <v>44</v>
      </c>
      <c r="D5" s="352">
        <f>+[3]DHL!$FF$19</f>
        <v>44</v>
      </c>
      <c r="E5" s="353">
        <f>(C5-D5)/D5</f>
        <v>0</v>
      </c>
      <c r="F5" s="350">
        <f>+SUM([3]DHL!$FN$19:$FT$19)</f>
        <v>280</v>
      </c>
      <c r="G5" s="352">
        <f>+SUM([3]DHL!$EZ$19:$FF$19)</f>
        <v>302</v>
      </c>
      <c r="H5" s="351">
        <f>(F5-G5)/G5</f>
        <v>-7.2847682119205295E-2</v>
      </c>
      <c r="I5" s="353">
        <f>+F5/$F$26</f>
        <v>3.2437442075996289E-2</v>
      </c>
      <c r="J5" s="349" t="s">
        <v>203</v>
      </c>
      <c r="K5" s="55"/>
      <c r="L5" s="350">
        <f>+[3]DHL!$FT$64</f>
        <v>1371398</v>
      </c>
      <c r="M5" s="352">
        <f>+[3]DHL!$FF$64</f>
        <v>1329024</v>
      </c>
      <c r="N5" s="353">
        <f>(L5-M5)/M5</f>
        <v>3.1883547625926996E-2</v>
      </c>
      <c r="O5" s="350">
        <f>+SUM([3]DHL!$FN$64:$FT$64)</f>
        <v>8586502</v>
      </c>
      <c r="P5" s="352">
        <f>+SUM([3]DHL!$EZ$64:$FF$64)</f>
        <v>8810210</v>
      </c>
      <c r="Q5" s="351">
        <f>(O5-P5)/P5</f>
        <v>-2.5391903257697603E-2</v>
      </c>
      <c r="R5" s="353">
        <f>O5/$O$26</f>
        <v>4.1209594149927406E-2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+[3]FedEx!$FT$19</f>
        <v>212</v>
      </c>
      <c r="D7" s="352">
        <f>+[3]FedEx!$FF$19</f>
        <v>120</v>
      </c>
      <c r="E7" s="353">
        <f>(C7-D7)/D7</f>
        <v>0.76666666666666672</v>
      </c>
      <c r="F7" s="350">
        <f>+SUM([3]FedEx!$FN$19:$FT$19)</f>
        <v>1630</v>
      </c>
      <c r="G7" s="352">
        <f>+SUM([3]FedEx!$EZ$19:$FF$19)</f>
        <v>1187</v>
      </c>
      <c r="H7" s="351">
        <f t="shared" ref="H7" si="0">(F7-G7)/G7</f>
        <v>0.37320977253580456</v>
      </c>
      <c r="I7" s="353">
        <f>+F7/$F$26</f>
        <v>0.18883225208526414</v>
      </c>
      <c r="J7" s="349" t="s">
        <v>204</v>
      </c>
      <c r="K7" s="55"/>
      <c r="L7" s="350">
        <f>+[3]FedEx!$FT$64</f>
        <v>15931260</v>
      </c>
      <c r="M7" s="352">
        <f>+[3]FedEx!$FF$64</f>
        <v>15284807</v>
      </c>
      <c r="N7" s="353">
        <f>(L7-M7)/M7</f>
        <v>4.2293828113106044E-2</v>
      </c>
      <c r="O7" s="350">
        <f>+SUM([3]FedEx!$FN$64:$FT$64)</f>
        <v>117190286</v>
      </c>
      <c r="P7" s="352">
        <f>+SUM([3]FedEx!$EZ$64:$FF$64)</f>
        <v>115546858</v>
      </c>
      <c r="Q7" s="351">
        <f t="shared" ref="Q7" si="1">(O7-P7)/P7</f>
        <v>1.4223043607122576E-2</v>
      </c>
      <c r="R7" s="353">
        <f>O7/$O$26</f>
        <v>0.56243673202124911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+[3]UPS!$FT$19</f>
        <v>242</v>
      </c>
      <c r="D9" s="352">
        <f>+[3]UPS!$FF$19</f>
        <v>186</v>
      </c>
      <c r="E9" s="353">
        <f>(C9-D9)/D9</f>
        <v>0.30107526881720431</v>
      </c>
      <c r="F9" s="350">
        <f>+SUM([3]UPS!$FN$19:$FT$19)</f>
        <v>1656</v>
      </c>
      <c r="G9" s="352">
        <f>+SUM([3]UPS!$EZ$19:$FF$19)</f>
        <v>1506</v>
      </c>
      <c r="H9" s="351">
        <f>(F9-G9)/G9</f>
        <v>9.9601593625498003E-2</v>
      </c>
      <c r="I9" s="353">
        <f>+F9/$F$26</f>
        <v>0.19184430027803523</v>
      </c>
      <c r="J9" s="349" t="s">
        <v>83</v>
      </c>
      <c r="K9" s="55"/>
      <c r="L9" s="350">
        <f>+[3]UPS!$FT$64</f>
        <v>11255479</v>
      </c>
      <c r="M9" s="352">
        <f>+[3]UPS!$FF$64</f>
        <v>10103665</v>
      </c>
      <c r="N9" s="353">
        <f>(L9-M9)/M9</f>
        <v>0.11399962290911268</v>
      </c>
      <c r="O9" s="350">
        <f>+SUM([3]UPS!$FN$64:$FT$64)</f>
        <v>76994819</v>
      </c>
      <c r="P9" s="352">
        <f>+SUM([3]UPS!$EZ$64:$FF$64)</f>
        <v>73018381</v>
      </c>
      <c r="Q9" s="351">
        <f>(O9-P9)/P9</f>
        <v>5.4458041188286552E-2</v>
      </c>
      <c r="R9" s="353">
        <f>O9/$O$26</f>
        <v>0.36952477768445396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231</v>
      </c>
      <c r="B11" s="362"/>
      <c r="C11" s="350">
        <f>+'[3]Atlas Air'!$FT$19</f>
        <v>60</v>
      </c>
      <c r="D11" s="352">
        <f>+'[3]Atlas Air'!$FF$19</f>
        <v>0</v>
      </c>
      <c r="E11" s="353" t="e">
        <f>(C11-D11)/D11</f>
        <v>#DIV/0!</v>
      </c>
      <c r="F11" s="350">
        <f>+SUM('[3]Atlas Air'!$FN$19:$FT$19)</f>
        <v>116</v>
      </c>
      <c r="G11" s="352">
        <f>+SUM('[3]Atlas Air'!$EZ$19:$FF$19)</f>
        <v>0</v>
      </c>
      <c r="H11" s="351" t="e">
        <f>(F11-G11)/G11</f>
        <v>#DIV/0!</v>
      </c>
      <c r="I11" s="353">
        <f>+F11/$F$26</f>
        <v>1.3438368860055607E-2</v>
      </c>
      <c r="J11" s="349" t="s">
        <v>231</v>
      </c>
      <c r="K11" s="55"/>
      <c r="L11" s="350">
        <f>+'[3]Atlas Air'!$FT$64</f>
        <v>2048234</v>
      </c>
      <c r="M11" s="352">
        <f>+'[3]Atlas Air'!$FF$64</f>
        <v>0</v>
      </c>
      <c r="N11" s="353" t="e">
        <f>(L11-M11)/M11</f>
        <v>#DIV/0!</v>
      </c>
      <c r="O11" s="350">
        <f>+SUM('[3]Atlas Air'!$FN$64:$FT$64)</f>
        <v>3876843</v>
      </c>
      <c r="P11" s="352">
        <f>+SUM('[3]Atlas Air'!$EZ$64:$FF$64)</f>
        <v>0</v>
      </c>
      <c r="Q11" s="351" t="e">
        <f>(O11-P11)/P11</f>
        <v>#DIV/0!</v>
      </c>
      <c r="R11" s="353">
        <f>O11/$O$26</f>
        <v>1.8606310999867818E-2</v>
      </c>
      <c r="S11" s="20"/>
    </row>
    <row r="12" spans="1:19" ht="14.1" customHeight="1" x14ac:dyDescent="0.2">
      <c r="A12" s="349"/>
      <c r="B12" s="362"/>
      <c r="C12" s="350"/>
      <c r="D12" s="352"/>
      <c r="E12" s="353"/>
      <c r="F12" s="350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187</v>
      </c>
      <c r="B13" s="362"/>
      <c r="C13" s="350">
        <f>+[3]IFL!$FT$19</f>
        <v>40</v>
      </c>
      <c r="D13" s="352">
        <f>+[3]IFL!$FF$19</f>
        <v>32</v>
      </c>
      <c r="E13" s="353">
        <f>(C13-D13)/D13</f>
        <v>0.25</v>
      </c>
      <c r="F13" s="350">
        <f>+SUM([3]IFL!$FN$19:$FT$19)</f>
        <v>302</v>
      </c>
      <c r="G13" s="352">
        <f>+SUM([3]IFL!$EZ$19:$FF$19)</f>
        <v>402</v>
      </c>
      <c r="H13" s="351">
        <f>(F13-G13)/G13</f>
        <v>-0.24875621890547264</v>
      </c>
      <c r="I13" s="353">
        <f>+F13/$F$26</f>
        <v>3.4986098239110287E-2</v>
      </c>
      <c r="J13" s="349" t="s">
        <v>187</v>
      </c>
      <c r="K13" s="55"/>
      <c r="L13" s="350">
        <f>+[3]IFL!$FT$64</f>
        <v>23791</v>
      </c>
      <c r="M13" s="352">
        <f>+[3]IFL!$FF$64</f>
        <v>17020</v>
      </c>
      <c r="N13" s="353">
        <f>(L13-M13)/M13</f>
        <v>0.39782608695652172</v>
      </c>
      <c r="O13" s="350">
        <f>+SUM([3]IFL!$FN$64:$FT$64)</f>
        <v>147996</v>
      </c>
      <c r="P13" s="352">
        <f>+SUM([3]IFL!$EZ$64:$FF$64)</f>
        <v>482926</v>
      </c>
      <c r="Q13" s="351">
        <f>(O13-P13)/P13</f>
        <v>-0.69354311012453251</v>
      </c>
      <c r="R13" s="353">
        <f>O13/$O$26</f>
        <v>7.1028401272283596E-4</v>
      </c>
      <c r="S13" s="20"/>
    </row>
    <row r="14" spans="1:19" ht="14.1" customHeight="1" x14ac:dyDescent="0.2">
      <c r="A14" s="349"/>
      <c r="B14" s="362"/>
      <c r="C14" s="350"/>
      <c r="D14" s="355"/>
      <c r="E14" s="353"/>
      <c r="F14" s="468"/>
      <c r="G14" s="355"/>
      <c r="H14" s="351"/>
      <c r="I14" s="353"/>
      <c r="J14" s="349"/>
      <c r="K14" s="55"/>
      <c r="L14" s="356"/>
      <c r="M14" s="146"/>
      <c r="N14" s="86"/>
      <c r="O14" s="356"/>
      <c r="P14" s="146"/>
      <c r="Q14" s="39"/>
      <c r="R14" s="86"/>
      <c r="S14" s="20"/>
    </row>
    <row r="15" spans="1:19" ht="14.1" customHeight="1" x14ac:dyDescent="0.2">
      <c r="A15" s="349" t="s">
        <v>167</v>
      </c>
      <c r="B15" s="361"/>
      <c r="C15" s="350">
        <f>+'[3]Suburban Air Freight'!$FT$19</f>
        <v>0</v>
      </c>
      <c r="D15" s="352">
        <f>+'[3]Suburban Air Freight'!$FF$19</f>
        <v>40</v>
      </c>
      <c r="E15" s="353">
        <f>(C15-D15)/D15</f>
        <v>-1</v>
      </c>
      <c r="F15" s="350">
        <f>+SUM('[3]Suburban Air Freight'!$FN$19:$FT$19)</f>
        <v>0</v>
      </c>
      <c r="G15" s="352">
        <f>+SUM('[3]Suburban Air Freight'!$EZ$19:$FF$19)</f>
        <v>306</v>
      </c>
      <c r="H15" s="351">
        <f t="shared" ref="H15" si="2">(F15-G15)/G15</f>
        <v>-1</v>
      </c>
      <c r="I15" s="353">
        <f>+F15/$F$26</f>
        <v>0</v>
      </c>
      <c r="J15" s="349" t="s">
        <v>167</v>
      </c>
      <c r="K15" s="357"/>
      <c r="L15" s="350">
        <f>+'[3]Suburban Air Freight'!$FT$64</f>
        <v>0</v>
      </c>
      <c r="M15" s="352">
        <f>+'[3]Suburban Air Freight'!$FF$64</f>
        <v>84022</v>
      </c>
      <c r="N15" s="353">
        <f>(L15-M15)/M15</f>
        <v>-1</v>
      </c>
      <c r="O15" s="350">
        <f>+SUM('[3]Suburban Air Freight'!$FN$64:$FT$64)</f>
        <v>0</v>
      </c>
      <c r="P15" s="352">
        <f>+SUM('[3]Suburban Air Freight'!$EZ$64:$FF$64)</f>
        <v>678241</v>
      </c>
      <c r="Q15" s="351">
        <f t="shared" ref="Q15" si="3">(O15-P15)/P15</f>
        <v>-1</v>
      </c>
      <c r="R15" s="353">
        <f>O15/$O$26</f>
        <v>0</v>
      </c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85</v>
      </c>
      <c r="B17" s="359"/>
      <c r="C17" s="350">
        <f>+[3]Bemidji!$FT$19</f>
        <v>536</v>
      </c>
      <c r="D17" s="352">
        <f>+[3]Bemidji!$FF$19</f>
        <v>528</v>
      </c>
      <c r="E17" s="353">
        <f>(C17-D17)/D17</f>
        <v>1.5151515151515152E-2</v>
      </c>
      <c r="F17" s="350">
        <f>+SUM([3]Bemidji!$FN$19:$FT$19)</f>
        <v>3874</v>
      </c>
      <c r="G17" s="352">
        <f>+SUM([3]Bemidji!$EZ$19:$FF$19)</f>
        <v>3742</v>
      </c>
      <c r="H17" s="351">
        <f t="shared" ref="H17" si="4">(F17-G17)/G17</f>
        <v>3.5275253874933188E-2</v>
      </c>
      <c r="I17" s="353">
        <f>+F17/$F$26</f>
        <v>0.44879518072289154</v>
      </c>
      <c r="J17" s="349" t="s">
        <v>85</v>
      </c>
      <c r="K17" s="359"/>
      <c r="L17" s="544" t="s">
        <v>207</v>
      </c>
      <c r="M17" s="545"/>
      <c r="N17" s="545"/>
      <c r="O17" s="545"/>
      <c r="P17" s="545"/>
      <c r="Q17" s="545"/>
      <c r="R17" s="546"/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86</v>
      </c>
      <c r="B19" s="359"/>
      <c r="C19" s="350">
        <f>+'[3]CSA Air'!$FT$19</f>
        <v>1</v>
      </c>
      <c r="D19" s="352">
        <f>+'[3]CSA Air'!$FF$19</f>
        <v>0</v>
      </c>
      <c r="E19" s="353" t="e">
        <f>(C19-D19)/D19</f>
        <v>#DIV/0!</v>
      </c>
      <c r="F19" s="350">
        <f>+SUM('[3]CSA Air'!$FN$19:$FT$19)</f>
        <v>7</v>
      </c>
      <c r="G19" s="352">
        <f>+SUM('[3]CSA Air'!$EZ$19:$FF$19)</f>
        <v>222</v>
      </c>
      <c r="H19" s="351">
        <f t="shared" ref="H19" si="5">(F19-G19)/G19</f>
        <v>-0.96846846846846846</v>
      </c>
      <c r="I19" s="353">
        <f>+F19/$F$26</f>
        <v>8.1093605189990728E-4</v>
      </c>
      <c r="J19" s="349" t="s">
        <v>86</v>
      </c>
      <c r="K19" s="359"/>
      <c r="L19" s="350">
        <f>+'[3]CSA Air'!$FT$64</f>
        <v>1371</v>
      </c>
      <c r="M19" s="352">
        <f>+'[3]CSA Air'!$FF$64</f>
        <v>0</v>
      </c>
      <c r="N19" s="353" t="e">
        <f>(L19-M19)/M19</f>
        <v>#DIV/0!</v>
      </c>
      <c r="O19" s="350">
        <f>+SUM('[3]CSA Air'!$FN$64:$FT$64)</f>
        <v>4785</v>
      </c>
      <c r="P19" s="352">
        <f>+SUM('[3]CSA Air'!$EZ$64:$FF$64)</f>
        <v>316444</v>
      </c>
      <c r="Q19" s="351">
        <f t="shared" ref="Q19" si="6">(O19-P19)/P19</f>
        <v>-0.98487884112196789</v>
      </c>
      <c r="R19" s="353">
        <f>O19/$O$26</f>
        <v>2.2964870678118124E-5</v>
      </c>
      <c r="S19" s="20"/>
    </row>
    <row r="20" spans="1:19" ht="14.1" customHeight="1" x14ac:dyDescent="0.2">
      <c r="A20" s="53"/>
      <c r="B20" s="359"/>
      <c r="C20" s="350"/>
      <c r="D20" s="9"/>
      <c r="E20" s="86"/>
      <c r="F20" s="354"/>
      <c r="G20" s="9"/>
      <c r="H20" s="39"/>
      <c r="I20" s="86"/>
      <c r="J20" s="53"/>
      <c r="K20" s="359"/>
      <c r="L20" s="354"/>
      <c r="M20" s="9"/>
      <c r="N20" s="86"/>
      <c r="O20" s="354"/>
      <c r="P20" s="9"/>
      <c r="Q20" s="39"/>
      <c r="R20" s="86"/>
      <c r="S20" s="20"/>
    </row>
    <row r="21" spans="1:19" ht="14.1" customHeight="1" x14ac:dyDescent="0.2">
      <c r="A21" s="349" t="s">
        <v>87</v>
      </c>
      <c r="B21" s="361"/>
      <c r="C21" s="350">
        <f>+'[3]Mountain Cargo'!$FT$19</f>
        <v>38</v>
      </c>
      <c r="D21" s="352">
        <f>+'[3]Mountain Cargo'!$FF$19</f>
        <v>34</v>
      </c>
      <c r="E21" s="353">
        <f>(C21-D21)/D21</f>
        <v>0.11764705882352941</v>
      </c>
      <c r="F21" s="350">
        <f>+SUM('[3]Mountain Cargo'!$FN$19:$FT$19)</f>
        <v>278</v>
      </c>
      <c r="G21" s="352">
        <f>+SUM('[3]Mountain Cargo'!$EZ$19:$FF$19)</f>
        <v>282</v>
      </c>
      <c r="H21" s="351">
        <f>(F21-G21)/G21</f>
        <v>-1.4184397163120567E-2</v>
      </c>
      <c r="I21" s="353">
        <f>+F21/$F$26</f>
        <v>3.2205746061167745E-2</v>
      </c>
      <c r="J21" s="349" t="s">
        <v>87</v>
      </c>
      <c r="K21" s="361"/>
      <c r="L21" s="350">
        <f>+'[3]Mountain Cargo'!$FT$64</f>
        <v>197910</v>
      </c>
      <c r="M21" s="352">
        <f>+'[3]Mountain Cargo'!$FF$64</f>
        <v>181062</v>
      </c>
      <c r="N21" s="353">
        <f>(L21-M21)/M21</f>
        <v>9.305099910527885E-2</v>
      </c>
      <c r="O21" s="350">
        <f>+SUM('[3]Mountain Cargo'!$FN$64:$FT$64)</f>
        <v>846117</v>
      </c>
      <c r="P21" s="352">
        <f>+SUM('[3]Mountain Cargo'!$EZ$64:$FF$64)</f>
        <v>1254031</v>
      </c>
      <c r="Q21" s="351">
        <f t="shared" ref="Q21" si="7">(O21-P21)/P21</f>
        <v>-0.32528222986513095</v>
      </c>
      <c r="R21" s="353">
        <f>O21/$O$26</f>
        <v>4.0608082515271211E-3</v>
      </c>
      <c r="S21" s="414"/>
    </row>
    <row r="22" spans="1:19" ht="14.1" customHeight="1" x14ac:dyDescent="0.2">
      <c r="A22" s="53"/>
      <c r="B22" s="426"/>
      <c r="C22" s="350"/>
      <c r="D22" s="9"/>
      <c r="E22" s="86"/>
      <c r="F22" s="354"/>
      <c r="G22" s="9"/>
      <c r="H22" s="39"/>
      <c r="I22" s="86"/>
      <c r="J22" s="53"/>
      <c r="K22" s="426"/>
      <c r="L22" s="354"/>
      <c r="M22" s="9"/>
      <c r="N22" s="86"/>
      <c r="O22" s="354"/>
      <c r="P22" s="9"/>
      <c r="Q22" s="39"/>
      <c r="R22" s="86"/>
      <c r="S22" s="328"/>
    </row>
    <row r="23" spans="1:19" s="7" customFormat="1" ht="14.1" customHeight="1" x14ac:dyDescent="0.2">
      <c r="A23" s="349" t="s">
        <v>130</v>
      </c>
      <c r="B23" s="362"/>
      <c r="C23" s="350">
        <f>+'[3]Misc Cargo'!$FT$19</f>
        <v>91</v>
      </c>
      <c r="D23" s="352">
        <f>+'[3]Misc Cargo'!$FF$19</f>
        <v>42</v>
      </c>
      <c r="E23" s="353">
        <f>(C23-D23)/D23</f>
        <v>1.1666666666666667</v>
      </c>
      <c r="F23" s="350">
        <f>+SUM('[3]Misc Cargo'!$FN$19:$FT$19)</f>
        <v>489</v>
      </c>
      <c r="G23" s="352">
        <f>+SUM('[3]Misc Cargo'!$EZ$19:$FF$19)</f>
        <v>301</v>
      </c>
      <c r="H23" s="351">
        <f>(F23-G23)/G23</f>
        <v>0.62458471760797341</v>
      </c>
      <c r="I23" s="353">
        <f>+F23/$F$26</f>
        <v>5.6649675625579238E-2</v>
      </c>
      <c r="J23" s="349" t="s">
        <v>130</v>
      </c>
      <c r="K23" s="362"/>
      <c r="L23" s="350">
        <f>+'[3]Misc Cargo'!$FT$64</f>
        <v>124594</v>
      </c>
      <c r="M23" s="352">
        <f>+'[3]Misc Cargo'!$FF$64</f>
        <v>84131</v>
      </c>
      <c r="N23" s="353">
        <f>(L23-M23)/M23</f>
        <v>0.48095232435130925</v>
      </c>
      <c r="O23" s="350">
        <f>+SUM('[3]Misc Cargo'!$FN$64:$FT$64)</f>
        <v>714374</v>
      </c>
      <c r="P23" s="352">
        <f>+SUM('[3]Misc Cargo'!$EZ$64:$FF$64)</f>
        <v>610296</v>
      </c>
      <c r="Q23" s="351">
        <f>(O23-P23)/P23</f>
        <v>0.17053691978974136</v>
      </c>
      <c r="R23" s="353">
        <f>O23/$O$26</f>
        <v>3.4285280095736588E-3</v>
      </c>
      <c r="S23" s="469"/>
    </row>
    <row r="24" spans="1:19" s="7" customFormat="1" ht="14.1" customHeight="1" thickBot="1" x14ac:dyDescent="0.25">
      <c r="A24" s="470"/>
      <c r="B24" s="471"/>
      <c r="C24" s="472"/>
      <c r="D24" s="474"/>
      <c r="E24" s="475"/>
      <c r="F24" s="472"/>
      <c r="G24" s="474"/>
      <c r="H24" s="473"/>
      <c r="I24" s="475"/>
      <c r="J24" s="349"/>
      <c r="K24" s="362"/>
      <c r="L24" s="364"/>
      <c r="M24" s="368"/>
      <c r="N24" s="367"/>
      <c r="O24" s="364"/>
      <c r="P24" s="368"/>
      <c r="Q24" s="365"/>
      <c r="R24" s="471"/>
      <c r="S24" s="469"/>
    </row>
    <row r="25" spans="1:19" ht="13.5" thickBot="1" x14ac:dyDescent="0.25">
      <c r="B25" s="7"/>
      <c r="D25" s="227"/>
      <c r="E25" s="227"/>
      <c r="F25" s="4"/>
      <c r="G25" s="7"/>
      <c r="H25"/>
      <c r="I25"/>
      <c r="J25"/>
      <c r="K25"/>
      <c r="M25"/>
      <c r="N25"/>
    </row>
    <row r="26" spans="1:19" s="476" customFormat="1" ht="15.75" thickBot="1" x14ac:dyDescent="0.3">
      <c r="B26" s="477" t="s">
        <v>205</v>
      </c>
      <c r="C26" s="478">
        <f>+SUM(C5:C23)</f>
        <v>1264</v>
      </c>
      <c r="D26" s="479">
        <f>SUM(D5:D24)</f>
        <v>1026</v>
      </c>
      <c r="E26" s="480">
        <f>(C26-D26)/D26</f>
        <v>0.23196881091617932</v>
      </c>
      <c r="F26" s="478">
        <f>+SUM(F5:F23)</f>
        <v>8632</v>
      </c>
      <c r="G26" s="478">
        <f>+SUM(G5:G23)</f>
        <v>8250</v>
      </c>
      <c r="H26" s="481">
        <f>(F26-G26)/G26</f>
        <v>4.6303030303030304E-2</v>
      </c>
      <c r="I26" s="497"/>
      <c r="K26" s="477" t="s">
        <v>205</v>
      </c>
      <c r="L26" s="478">
        <f>+SUM(L5:L23)</f>
        <v>30954037</v>
      </c>
      <c r="M26" s="482">
        <f>SUM(M5:M24)</f>
        <v>27083731</v>
      </c>
      <c r="N26" s="483">
        <f>(L26-M26)/M26</f>
        <v>0.14290150792001294</v>
      </c>
      <c r="O26" s="478">
        <f>+SUM(O5:O23)</f>
        <v>208361722</v>
      </c>
      <c r="P26" s="478">
        <f>+SUM(P5:P23)</f>
        <v>200717387</v>
      </c>
      <c r="Q26" s="481">
        <f t="shared" ref="Q26" si="8">(O26-P26)/P26</f>
        <v>3.8085066342558552E-2</v>
      </c>
      <c r="R26" s="497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B71" s="7"/>
      <c r="D71" s="3"/>
      <c r="F71"/>
      <c r="G71"/>
      <c r="H71"/>
      <c r="I71"/>
      <c r="J71"/>
      <c r="K71"/>
      <c r="L71"/>
      <c r="M71"/>
      <c r="N71"/>
    </row>
    <row r="72" spans="2:14" x14ac:dyDescent="0.2">
      <c r="B72" s="7"/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</sheetData>
  <mergeCells count="7">
    <mergeCell ref="L3:R3"/>
    <mergeCell ref="L17:R1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July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2018-08-16T19:24:30Z</cp:lastPrinted>
  <dcterms:created xsi:type="dcterms:W3CDTF">2007-09-24T12:26:24Z</dcterms:created>
  <dcterms:modified xsi:type="dcterms:W3CDTF">2019-05-19T07:38:05Z</dcterms:modified>
</cp:coreProperties>
</file>