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27" i="8" l="1"/>
  <c r="H26" i="8"/>
  <c r="H22" i="8"/>
  <c r="H21" i="8"/>
  <c r="H17" i="8"/>
  <c r="H16" i="8"/>
  <c r="H5" i="8"/>
  <c r="H4" i="8"/>
  <c r="H10" i="8"/>
  <c r="M25" i="7"/>
  <c r="L25" i="7"/>
  <c r="C25" i="7"/>
  <c r="B25" i="7"/>
  <c r="M21" i="7"/>
  <c r="L21" i="7"/>
  <c r="H21" i="7"/>
  <c r="G21" i="7"/>
  <c r="C21" i="7"/>
  <c r="B21" i="7"/>
  <c r="M23" i="7"/>
  <c r="L23" i="7"/>
  <c r="H23" i="7"/>
  <c r="G23" i="7"/>
  <c r="C23" i="7"/>
  <c r="B23" i="7"/>
  <c r="H18" i="8" l="1"/>
  <c r="H6" i="8"/>
  <c r="H12" i="8" s="1"/>
  <c r="H23" i="8"/>
  <c r="H28" i="8"/>
  <c r="H32" i="8"/>
  <c r="H31" i="8"/>
  <c r="D37" i="1"/>
  <c r="D36" i="1"/>
  <c r="B36" i="1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B15" i="2"/>
  <c r="C15" i="2"/>
  <c r="D15" i="2"/>
  <c r="E15" i="2"/>
  <c r="F15" i="2"/>
  <c r="G15" i="2"/>
  <c r="B19" i="2"/>
  <c r="C19" i="2"/>
  <c r="D19" i="2"/>
  <c r="E19" i="2"/>
  <c r="F19" i="2"/>
  <c r="G19" i="2"/>
  <c r="B16" i="2"/>
  <c r="C16" i="2"/>
  <c r="D16" i="2"/>
  <c r="E16" i="2"/>
  <c r="E17" i="2" s="1"/>
  <c r="F16" i="2"/>
  <c r="G16" i="2"/>
  <c r="B20" i="2"/>
  <c r="C20" i="2"/>
  <c r="D20" i="2"/>
  <c r="E20" i="2"/>
  <c r="F20" i="2"/>
  <c r="G20" i="2"/>
  <c r="B4" i="2"/>
  <c r="B5" i="2"/>
  <c r="C4" i="2"/>
  <c r="C5" i="2"/>
  <c r="D4" i="2"/>
  <c r="D5" i="2"/>
  <c r="E4" i="2"/>
  <c r="E5" i="2"/>
  <c r="F4" i="2"/>
  <c r="F5" i="2"/>
  <c r="G4" i="2"/>
  <c r="G5" i="2"/>
  <c r="Q49" i="9"/>
  <c r="Q50" i="9"/>
  <c r="Q51" i="9"/>
  <c r="Q52" i="9"/>
  <c r="Q40" i="9"/>
  <c r="Q41" i="9"/>
  <c r="Q42" i="9"/>
  <c r="Q43" i="9"/>
  <c r="Q44" i="9"/>
  <c r="Q45" i="9"/>
  <c r="Q46" i="9"/>
  <c r="P46" i="9"/>
  <c r="Q37" i="9"/>
  <c r="Q32" i="9"/>
  <c r="Q33" i="9"/>
  <c r="P32" i="9"/>
  <c r="P33" i="9"/>
  <c r="Q29" i="9"/>
  <c r="Q25" i="9"/>
  <c r="Q17" i="9"/>
  <c r="Q18" i="9"/>
  <c r="P18" i="9"/>
  <c r="Q19" i="9"/>
  <c r="Q23" i="9"/>
  <c r="Q21" i="9"/>
  <c r="Q4" i="9"/>
  <c r="Q22" i="9"/>
  <c r="Q12" i="9"/>
  <c r="Q20" i="9"/>
  <c r="Q11" i="9"/>
  <c r="Q8" i="9"/>
  <c r="Q27" i="9"/>
  <c r="Q35" i="9"/>
  <c r="Q6" i="9"/>
  <c r="Q14" i="9"/>
  <c r="P14" i="9"/>
  <c r="P49" i="9"/>
  <c r="P50" i="9"/>
  <c r="P51" i="9"/>
  <c r="R51" i="9" s="1"/>
  <c r="P52" i="9"/>
  <c r="P40" i="9"/>
  <c r="P41" i="9"/>
  <c r="R41" i="9" s="1"/>
  <c r="P42" i="9"/>
  <c r="R42" i="9" s="1"/>
  <c r="P43" i="9"/>
  <c r="P44" i="9"/>
  <c r="P45" i="9"/>
  <c r="R45" i="9" s="1"/>
  <c r="P37" i="9"/>
  <c r="P29" i="9"/>
  <c r="P25" i="9"/>
  <c r="P17" i="9"/>
  <c r="P19" i="9"/>
  <c r="P20" i="9"/>
  <c r="P21" i="9"/>
  <c r="R21" i="9" s="1"/>
  <c r="P22" i="9"/>
  <c r="P23" i="9"/>
  <c r="P11" i="9"/>
  <c r="P12" i="9"/>
  <c r="P8" i="9"/>
  <c r="P4" i="9"/>
  <c r="P27" i="9"/>
  <c r="P35" i="9"/>
  <c r="P6" i="9"/>
  <c r="R6" i="9" s="1"/>
  <c r="N49" i="9"/>
  <c r="N50" i="9"/>
  <c r="N51" i="9"/>
  <c r="L51" i="9"/>
  <c r="N52" i="9"/>
  <c r="N40" i="9"/>
  <c r="N41" i="9"/>
  <c r="N42" i="9"/>
  <c r="N43" i="9"/>
  <c r="L43" i="9"/>
  <c r="N44" i="9"/>
  <c r="L44" i="9"/>
  <c r="N45" i="9"/>
  <c r="N46" i="9"/>
  <c r="N37" i="9"/>
  <c r="N32" i="9"/>
  <c r="N33" i="9"/>
  <c r="N29" i="9"/>
  <c r="L29" i="9"/>
  <c r="N25" i="9"/>
  <c r="L25" i="9"/>
  <c r="N17" i="9"/>
  <c r="N18" i="9"/>
  <c r="N19" i="9"/>
  <c r="N20" i="9"/>
  <c r="N21" i="9"/>
  <c r="N22" i="9"/>
  <c r="L22" i="9"/>
  <c r="N23" i="9"/>
  <c r="L23" i="9"/>
  <c r="N11" i="9"/>
  <c r="N12" i="9"/>
  <c r="L11" i="9"/>
  <c r="L12" i="9"/>
  <c r="N8" i="9"/>
  <c r="N4" i="9"/>
  <c r="N27" i="9"/>
  <c r="N35" i="9"/>
  <c r="L35" i="9"/>
  <c r="N6" i="9"/>
  <c r="L6" i="9"/>
  <c r="N14" i="9"/>
  <c r="L49" i="9"/>
  <c r="L50" i="9"/>
  <c r="L52" i="9"/>
  <c r="O52" i="9" s="1"/>
  <c r="L40" i="9"/>
  <c r="L41" i="9"/>
  <c r="L42" i="9"/>
  <c r="L45" i="9"/>
  <c r="L46" i="9"/>
  <c r="L37" i="9"/>
  <c r="L32" i="9"/>
  <c r="L33" i="9"/>
  <c r="O33" i="9" s="1"/>
  <c r="L17" i="9"/>
  <c r="L18" i="9"/>
  <c r="L19" i="9"/>
  <c r="L20" i="9"/>
  <c r="O20" i="9" s="1"/>
  <c r="L21" i="9"/>
  <c r="L8" i="9"/>
  <c r="L4" i="9"/>
  <c r="L27" i="9"/>
  <c r="O27" i="9" s="1"/>
  <c r="L14" i="9"/>
  <c r="H49" i="9"/>
  <c r="H50" i="9"/>
  <c r="H51" i="9"/>
  <c r="H52" i="9"/>
  <c r="H40" i="9"/>
  <c r="H41" i="9"/>
  <c r="H42" i="9"/>
  <c r="G42" i="9"/>
  <c r="H43" i="9"/>
  <c r="G43" i="9"/>
  <c r="H44" i="9"/>
  <c r="H45" i="9"/>
  <c r="H46" i="9"/>
  <c r="H37" i="9"/>
  <c r="H32" i="9"/>
  <c r="H33" i="9"/>
  <c r="H29" i="9"/>
  <c r="H25" i="9"/>
  <c r="H17" i="9"/>
  <c r="H18" i="9"/>
  <c r="H19" i="9"/>
  <c r="H20" i="9"/>
  <c r="H21" i="9"/>
  <c r="G21" i="9"/>
  <c r="H22" i="9"/>
  <c r="H23" i="9"/>
  <c r="H11" i="9"/>
  <c r="H12" i="9"/>
  <c r="H8" i="9"/>
  <c r="H4" i="9"/>
  <c r="G4" i="9"/>
  <c r="H27" i="9"/>
  <c r="G27" i="9"/>
  <c r="H35" i="9"/>
  <c r="H6" i="9"/>
  <c r="H14" i="9"/>
  <c r="G49" i="9"/>
  <c r="I49" i="9" s="1"/>
  <c r="G50" i="9"/>
  <c r="G51" i="9"/>
  <c r="I51" i="9" s="1"/>
  <c r="G52" i="9"/>
  <c r="I52" i="9" s="1"/>
  <c r="G40" i="9"/>
  <c r="G41" i="9"/>
  <c r="I41" i="9" s="1"/>
  <c r="G44" i="9"/>
  <c r="I44" i="9" s="1"/>
  <c r="G45" i="9"/>
  <c r="I45" i="9" s="1"/>
  <c r="G46" i="9"/>
  <c r="I46" i="9" s="1"/>
  <c r="G37" i="9"/>
  <c r="I37" i="9" s="1"/>
  <c r="G32" i="9"/>
  <c r="G33" i="9"/>
  <c r="G29" i="9"/>
  <c r="G25" i="9"/>
  <c r="I25" i="9" s="1"/>
  <c r="G17" i="9"/>
  <c r="G18" i="9"/>
  <c r="G19" i="9"/>
  <c r="I19" i="9" s="1"/>
  <c r="G20" i="9"/>
  <c r="G22" i="9"/>
  <c r="G23" i="9"/>
  <c r="G11" i="9"/>
  <c r="G12" i="9"/>
  <c r="G8" i="9"/>
  <c r="G35" i="9"/>
  <c r="G6" i="9"/>
  <c r="G14" i="9"/>
  <c r="E49" i="9"/>
  <c r="E50" i="9"/>
  <c r="E51" i="9"/>
  <c r="E52" i="9"/>
  <c r="E40" i="9"/>
  <c r="E41" i="9"/>
  <c r="E42" i="9"/>
  <c r="E43" i="9"/>
  <c r="E44" i="9"/>
  <c r="E45" i="9"/>
  <c r="E46" i="9"/>
  <c r="E37" i="9"/>
  <c r="E32" i="9"/>
  <c r="E33" i="9"/>
  <c r="C33" i="9"/>
  <c r="E29" i="9"/>
  <c r="E25" i="9"/>
  <c r="E17" i="9"/>
  <c r="E18" i="9"/>
  <c r="E19" i="9"/>
  <c r="C19" i="9"/>
  <c r="E20" i="9"/>
  <c r="E21" i="9"/>
  <c r="E22" i="9"/>
  <c r="E23" i="9"/>
  <c r="E11" i="9"/>
  <c r="E12" i="9"/>
  <c r="E8" i="9"/>
  <c r="E4" i="9"/>
  <c r="E27" i="9"/>
  <c r="E35" i="9"/>
  <c r="E6" i="9"/>
  <c r="E14" i="9"/>
  <c r="C49" i="9"/>
  <c r="C50" i="9"/>
  <c r="C51" i="9"/>
  <c r="C52" i="9"/>
  <c r="C40" i="9"/>
  <c r="C41" i="9"/>
  <c r="C42" i="9"/>
  <c r="C43" i="9"/>
  <c r="C44" i="9"/>
  <c r="C45" i="9"/>
  <c r="C46" i="9"/>
  <c r="C37" i="9"/>
  <c r="C32" i="9"/>
  <c r="C29" i="9"/>
  <c r="C25" i="9"/>
  <c r="C17" i="9"/>
  <c r="C18" i="9"/>
  <c r="C20" i="9"/>
  <c r="C21" i="9"/>
  <c r="C22" i="9"/>
  <c r="C23" i="9"/>
  <c r="C11" i="9"/>
  <c r="C12" i="9"/>
  <c r="C8" i="9"/>
  <c r="C4" i="9"/>
  <c r="C27" i="9"/>
  <c r="C35" i="9"/>
  <c r="C6" i="9"/>
  <c r="C14" i="9"/>
  <c r="G10" i="2"/>
  <c r="G9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21" i="5"/>
  <c r="G20" i="5"/>
  <c r="G16" i="5"/>
  <c r="G15" i="5"/>
  <c r="G11" i="5"/>
  <c r="G10" i="5"/>
  <c r="G6" i="5"/>
  <c r="G5" i="5"/>
  <c r="B28" i="2"/>
  <c r="C28" i="2"/>
  <c r="D28" i="2"/>
  <c r="E28" i="2"/>
  <c r="F28" i="2"/>
  <c r="G28" i="2"/>
  <c r="B28" i="3"/>
  <c r="C28" i="3"/>
  <c r="D28" i="3"/>
  <c r="E28" i="3"/>
  <c r="F28" i="3"/>
  <c r="G28" i="3"/>
  <c r="H28" i="3"/>
  <c r="B25" i="4"/>
  <c r="C25" i="4"/>
  <c r="C26" i="4"/>
  <c r="C35" i="4"/>
  <c r="C36" i="4"/>
  <c r="C30" i="4"/>
  <c r="C31" i="4"/>
  <c r="D25" i="4"/>
  <c r="E25" i="4"/>
  <c r="F25" i="4"/>
  <c r="G25" i="4"/>
  <c r="H25" i="4"/>
  <c r="I25" i="4"/>
  <c r="J25" i="4"/>
  <c r="B25" i="15"/>
  <c r="C25" i="15"/>
  <c r="D25" i="15"/>
  <c r="E25" i="15"/>
  <c r="F25" i="15"/>
  <c r="G25" i="15"/>
  <c r="G26" i="15"/>
  <c r="H25" i="15"/>
  <c r="I25" i="15"/>
  <c r="J25" i="15"/>
  <c r="J26" i="15"/>
  <c r="K25" i="15"/>
  <c r="B16" i="8"/>
  <c r="C16" i="8"/>
  <c r="D16" i="8"/>
  <c r="E16" i="8"/>
  <c r="G16" i="8"/>
  <c r="J16" i="8"/>
  <c r="K16" i="8"/>
  <c r="L16" i="8"/>
  <c r="J16" i="5"/>
  <c r="J15" i="5"/>
  <c r="J11" i="5"/>
  <c r="J10" i="5"/>
  <c r="J6" i="5"/>
  <c r="J5" i="5"/>
  <c r="B39" i="2"/>
  <c r="C39" i="2"/>
  <c r="D39" i="2"/>
  <c r="E39" i="2"/>
  <c r="F39" i="2"/>
  <c r="G39" i="2"/>
  <c r="B39" i="3"/>
  <c r="C39" i="3"/>
  <c r="D39" i="3"/>
  <c r="E39" i="3"/>
  <c r="F39" i="3"/>
  <c r="G39" i="3"/>
  <c r="B36" i="4"/>
  <c r="D36" i="4"/>
  <c r="D31" i="4"/>
  <c r="D26" i="4"/>
  <c r="E36" i="4"/>
  <c r="F36" i="4"/>
  <c r="G36" i="4"/>
  <c r="G35" i="4"/>
  <c r="H36" i="4"/>
  <c r="I36" i="4"/>
  <c r="J36" i="4"/>
  <c r="B36" i="15"/>
  <c r="C36" i="15"/>
  <c r="C35" i="15"/>
  <c r="D36" i="15"/>
  <c r="E36" i="15"/>
  <c r="F36" i="15"/>
  <c r="F35" i="15"/>
  <c r="G36" i="15"/>
  <c r="H36" i="15"/>
  <c r="I36" i="15"/>
  <c r="J36" i="15"/>
  <c r="K36" i="15"/>
  <c r="B27" i="8"/>
  <c r="C27" i="8"/>
  <c r="D27" i="8"/>
  <c r="E27" i="8"/>
  <c r="G27" i="8"/>
  <c r="G22" i="8"/>
  <c r="G17" i="8"/>
  <c r="J27" i="8"/>
  <c r="K27" i="8"/>
  <c r="L27" i="8"/>
  <c r="B38" i="2"/>
  <c r="C38" i="2"/>
  <c r="D38" i="2"/>
  <c r="E38" i="2"/>
  <c r="E33" i="2"/>
  <c r="F38" i="2"/>
  <c r="G38" i="2"/>
  <c r="B38" i="3"/>
  <c r="C38" i="3"/>
  <c r="D38" i="3"/>
  <c r="E38" i="3"/>
  <c r="F38" i="3"/>
  <c r="G38" i="3"/>
  <c r="B35" i="4"/>
  <c r="D35" i="4"/>
  <c r="E35" i="4"/>
  <c r="E37" i="4" s="1"/>
  <c r="E30" i="4"/>
  <c r="F35" i="4"/>
  <c r="H35" i="4"/>
  <c r="I35" i="4"/>
  <c r="J35" i="4"/>
  <c r="B35" i="15"/>
  <c r="D35" i="15"/>
  <c r="E35" i="15"/>
  <c r="G35" i="15"/>
  <c r="H35" i="15"/>
  <c r="I35" i="15"/>
  <c r="J35" i="15"/>
  <c r="K35" i="15"/>
  <c r="B26" i="8"/>
  <c r="C26" i="8"/>
  <c r="D26" i="8"/>
  <c r="E26" i="8"/>
  <c r="G26" i="8"/>
  <c r="J26" i="8"/>
  <c r="K26" i="8"/>
  <c r="L26" i="8"/>
  <c r="B34" i="2"/>
  <c r="C34" i="2"/>
  <c r="C35" i="2" s="1"/>
  <c r="D34" i="2"/>
  <c r="E34" i="2"/>
  <c r="F34" i="2"/>
  <c r="F33" i="2"/>
  <c r="G34" i="2"/>
  <c r="B34" i="3"/>
  <c r="C34" i="3"/>
  <c r="D34" i="3"/>
  <c r="E34" i="3"/>
  <c r="F34" i="3"/>
  <c r="F29" i="3"/>
  <c r="F33" i="3"/>
  <c r="G34" i="3"/>
  <c r="H34" i="3"/>
  <c r="H33" i="3"/>
  <c r="B31" i="4"/>
  <c r="E31" i="4"/>
  <c r="F31" i="4"/>
  <c r="F30" i="4"/>
  <c r="G31" i="4"/>
  <c r="H31" i="4"/>
  <c r="H26" i="4"/>
  <c r="I31" i="4"/>
  <c r="J31" i="4"/>
  <c r="B31" i="15"/>
  <c r="C31" i="15"/>
  <c r="C30" i="15"/>
  <c r="D31" i="15"/>
  <c r="D30" i="15"/>
  <c r="E31" i="15"/>
  <c r="F31" i="15"/>
  <c r="G31" i="15"/>
  <c r="H31" i="15"/>
  <c r="I31" i="15"/>
  <c r="J31" i="15"/>
  <c r="K31" i="15"/>
  <c r="B22" i="8"/>
  <c r="C22" i="8"/>
  <c r="D22" i="8"/>
  <c r="E22" i="8"/>
  <c r="G21" i="8"/>
  <c r="J22" i="8"/>
  <c r="K22" i="8"/>
  <c r="L22" i="8"/>
  <c r="B33" i="2"/>
  <c r="C33" i="2"/>
  <c r="D33" i="2"/>
  <c r="G33" i="2"/>
  <c r="B33" i="3"/>
  <c r="C33" i="3"/>
  <c r="D33" i="3"/>
  <c r="E33" i="3"/>
  <c r="G33" i="3"/>
  <c r="B30" i="4"/>
  <c r="D30" i="4"/>
  <c r="G30" i="4"/>
  <c r="H30" i="4"/>
  <c r="I30" i="4"/>
  <c r="J30" i="4"/>
  <c r="B30" i="15"/>
  <c r="E30" i="15"/>
  <c r="F30" i="15"/>
  <c r="G30" i="15"/>
  <c r="H30" i="15"/>
  <c r="I30" i="15"/>
  <c r="J30" i="15"/>
  <c r="K30" i="15"/>
  <c r="B21" i="8"/>
  <c r="C21" i="8"/>
  <c r="D21" i="8"/>
  <c r="E21" i="8"/>
  <c r="J21" i="8"/>
  <c r="K21" i="8"/>
  <c r="L21" i="8"/>
  <c r="B29" i="2"/>
  <c r="C29" i="2"/>
  <c r="D29" i="2"/>
  <c r="E29" i="2"/>
  <c r="F29" i="2"/>
  <c r="G29" i="2"/>
  <c r="B29" i="3"/>
  <c r="C29" i="3"/>
  <c r="D29" i="3"/>
  <c r="E29" i="3"/>
  <c r="G29" i="3"/>
  <c r="H29" i="3"/>
  <c r="B26" i="4"/>
  <c r="E26" i="4"/>
  <c r="F26" i="4"/>
  <c r="G26" i="4"/>
  <c r="I26" i="4"/>
  <c r="J26" i="4"/>
  <c r="B26" i="15"/>
  <c r="C26" i="15"/>
  <c r="D26" i="15"/>
  <c r="E26" i="15"/>
  <c r="F26" i="15"/>
  <c r="H26" i="15"/>
  <c r="I26" i="15"/>
  <c r="K26" i="15"/>
  <c r="B17" i="8"/>
  <c r="C17" i="8"/>
  <c r="D17" i="8"/>
  <c r="E17" i="8"/>
  <c r="J17" i="8"/>
  <c r="K17" i="8"/>
  <c r="L17" i="8"/>
  <c r="O26" i="7"/>
  <c r="B9" i="2"/>
  <c r="B10" i="2"/>
  <c r="C9" i="2"/>
  <c r="C10" i="2"/>
  <c r="D9" i="2"/>
  <c r="E9" i="2"/>
  <c r="F9" i="2"/>
  <c r="B10" i="3"/>
  <c r="C10" i="3"/>
  <c r="D10" i="3"/>
  <c r="E10" i="3"/>
  <c r="F10" i="3"/>
  <c r="F11" i="3"/>
  <c r="G10" i="3"/>
  <c r="H10" i="3"/>
  <c r="B10" i="4"/>
  <c r="C10" i="4"/>
  <c r="D10" i="4"/>
  <c r="D11" i="4"/>
  <c r="E10" i="4"/>
  <c r="E11" i="4"/>
  <c r="F10" i="4"/>
  <c r="G10" i="4"/>
  <c r="H10" i="4"/>
  <c r="I10" i="4"/>
  <c r="J10" i="4"/>
  <c r="B10" i="15"/>
  <c r="B11" i="15"/>
  <c r="C10" i="15"/>
  <c r="D10" i="15"/>
  <c r="D11" i="15"/>
  <c r="E10" i="15"/>
  <c r="E11" i="15"/>
  <c r="F10" i="15"/>
  <c r="G10" i="15"/>
  <c r="H10" i="15"/>
  <c r="I10" i="15"/>
  <c r="J10" i="15"/>
  <c r="J11" i="15"/>
  <c r="K10" i="15"/>
  <c r="B5" i="3"/>
  <c r="C5" i="3"/>
  <c r="D5" i="3"/>
  <c r="E5" i="3"/>
  <c r="F5" i="3"/>
  <c r="G5" i="3"/>
  <c r="G6" i="3"/>
  <c r="H5" i="3"/>
  <c r="B5" i="4"/>
  <c r="C5" i="4"/>
  <c r="D5" i="4"/>
  <c r="E5" i="4"/>
  <c r="F5" i="4"/>
  <c r="G5" i="4"/>
  <c r="H5" i="4"/>
  <c r="I5" i="4"/>
  <c r="I6" i="4"/>
  <c r="J5" i="4"/>
  <c r="B5" i="15"/>
  <c r="C5" i="15"/>
  <c r="D5" i="15"/>
  <c r="E5" i="15"/>
  <c r="F5" i="15"/>
  <c r="F6" i="15"/>
  <c r="G5" i="15"/>
  <c r="H5" i="15"/>
  <c r="H6" i="15"/>
  <c r="I5" i="15"/>
  <c r="J5" i="15"/>
  <c r="K5" i="15"/>
  <c r="K6" i="15"/>
  <c r="B5" i="7"/>
  <c r="C5" i="7"/>
  <c r="D5" i="7"/>
  <c r="E5" i="7"/>
  <c r="F5" i="7"/>
  <c r="D10" i="2"/>
  <c r="E10" i="2"/>
  <c r="F10" i="2"/>
  <c r="F11" i="2" s="1"/>
  <c r="B11" i="3"/>
  <c r="C11" i="3"/>
  <c r="D11" i="3"/>
  <c r="E11" i="3"/>
  <c r="G11" i="3"/>
  <c r="H11" i="3"/>
  <c r="B11" i="4"/>
  <c r="C11" i="4"/>
  <c r="F11" i="4"/>
  <c r="G11" i="4"/>
  <c r="H11" i="4"/>
  <c r="I11" i="4"/>
  <c r="J11" i="4"/>
  <c r="C11" i="15"/>
  <c r="F11" i="15"/>
  <c r="G11" i="15"/>
  <c r="G12" i="15" s="1"/>
  <c r="H11" i="15"/>
  <c r="I11" i="15"/>
  <c r="K11" i="15"/>
  <c r="B6" i="3"/>
  <c r="C6" i="3"/>
  <c r="D6" i="3"/>
  <c r="E6" i="3"/>
  <c r="F6" i="3"/>
  <c r="H6" i="3"/>
  <c r="B6" i="4"/>
  <c r="C6" i="4"/>
  <c r="D6" i="4"/>
  <c r="E6" i="4"/>
  <c r="F6" i="4"/>
  <c r="G6" i="4"/>
  <c r="G7" i="4" s="1"/>
  <c r="H6" i="4"/>
  <c r="J6" i="4"/>
  <c r="B6" i="15"/>
  <c r="C6" i="15"/>
  <c r="D6" i="15"/>
  <c r="E6" i="15"/>
  <c r="G6" i="15"/>
  <c r="I6" i="15"/>
  <c r="J6" i="15"/>
  <c r="B6" i="7"/>
  <c r="C6" i="7"/>
  <c r="D6" i="7"/>
  <c r="E6" i="7"/>
  <c r="F6" i="7"/>
  <c r="J26" i="7"/>
  <c r="B4" i="16"/>
  <c r="C4" i="16"/>
  <c r="D4" i="16"/>
  <c r="D5" i="16"/>
  <c r="E4" i="16"/>
  <c r="F4" i="16"/>
  <c r="G4" i="16"/>
  <c r="H4" i="16"/>
  <c r="I4" i="16"/>
  <c r="K4" i="16"/>
  <c r="K5" i="16"/>
  <c r="L4" i="16"/>
  <c r="M4" i="16"/>
  <c r="B9" i="16"/>
  <c r="C9" i="16"/>
  <c r="D9" i="16"/>
  <c r="E9" i="16"/>
  <c r="F9" i="16"/>
  <c r="F10" i="16"/>
  <c r="G9" i="16"/>
  <c r="H9" i="16"/>
  <c r="H10" i="16"/>
  <c r="I9" i="16"/>
  <c r="K9" i="16"/>
  <c r="L9" i="16"/>
  <c r="L10" i="16"/>
  <c r="M9" i="16"/>
  <c r="B5" i="16"/>
  <c r="C5" i="16"/>
  <c r="E5" i="16"/>
  <c r="F5" i="16"/>
  <c r="G5" i="16"/>
  <c r="H5" i="16"/>
  <c r="I5" i="16"/>
  <c r="L5" i="16"/>
  <c r="M5" i="16"/>
  <c r="B10" i="16"/>
  <c r="C10" i="16"/>
  <c r="D10" i="16"/>
  <c r="E10" i="16"/>
  <c r="G10" i="16"/>
  <c r="I10" i="16"/>
  <c r="K10" i="16"/>
  <c r="M10" i="16"/>
  <c r="E26" i="7"/>
  <c r="B21" i="1"/>
  <c r="C21" i="1"/>
  <c r="E21" i="1"/>
  <c r="H21" i="1" s="1"/>
  <c r="B20" i="1"/>
  <c r="C20" i="1"/>
  <c r="B4" i="8"/>
  <c r="C4" i="8"/>
  <c r="C5" i="8"/>
  <c r="D4" i="8"/>
  <c r="E4" i="8"/>
  <c r="E5" i="8"/>
  <c r="G4" i="8"/>
  <c r="I4" i="8"/>
  <c r="I5" i="8"/>
  <c r="J4" i="8"/>
  <c r="K4" i="8"/>
  <c r="L4" i="8"/>
  <c r="B5" i="8"/>
  <c r="D5" i="8"/>
  <c r="G5" i="8"/>
  <c r="J5" i="8"/>
  <c r="K5" i="8"/>
  <c r="L5" i="8"/>
  <c r="B10" i="7"/>
  <c r="B11" i="7"/>
  <c r="C10" i="7"/>
  <c r="D10" i="7"/>
  <c r="E10" i="7"/>
  <c r="F10" i="7"/>
  <c r="C11" i="7"/>
  <c r="D11" i="7"/>
  <c r="D12" i="7" s="1"/>
  <c r="E11" i="7"/>
  <c r="F11" i="7"/>
  <c r="B15" i="4"/>
  <c r="C15" i="4"/>
  <c r="C16" i="4"/>
  <c r="C18" i="4"/>
  <c r="C19" i="4"/>
  <c r="D15" i="4"/>
  <c r="E15" i="4"/>
  <c r="E16" i="4"/>
  <c r="F15" i="4"/>
  <c r="G15" i="4"/>
  <c r="H15" i="4"/>
  <c r="I15" i="4"/>
  <c r="J15" i="4"/>
  <c r="B15" i="15"/>
  <c r="B16" i="15"/>
  <c r="B18" i="15"/>
  <c r="B19" i="15"/>
  <c r="C15" i="15"/>
  <c r="D15" i="15"/>
  <c r="D16" i="15"/>
  <c r="D18" i="15"/>
  <c r="D19" i="15"/>
  <c r="E15" i="15"/>
  <c r="F15" i="15"/>
  <c r="G15" i="15"/>
  <c r="H15" i="15"/>
  <c r="I15" i="15"/>
  <c r="J15" i="15"/>
  <c r="J16" i="15"/>
  <c r="J18" i="15"/>
  <c r="J19" i="15"/>
  <c r="K15" i="15"/>
  <c r="C16" i="15"/>
  <c r="E16" i="15"/>
  <c r="F16" i="15"/>
  <c r="G16" i="15"/>
  <c r="H16" i="15"/>
  <c r="I16" i="15"/>
  <c r="K16" i="15"/>
  <c r="B18" i="4"/>
  <c r="D18" i="4"/>
  <c r="E18" i="4"/>
  <c r="F18" i="4"/>
  <c r="G18" i="4"/>
  <c r="H18" i="4"/>
  <c r="I18" i="4"/>
  <c r="I19" i="4"/>
  <c r="I16" i="4"/>
  <c r="J18" i="4"/>
  <c r="C18" i="15"/>
  <c r="E18" i="15"/>
  <c r="F18" i="15"/>
  <c r="G18" i="15"/>
  <c r="H18" i="15"/>
  <c r="H20" i="15" s="1"/>
  <c r="I18" i="15"/>
  <c r="K18" i="15"/>
  <c r="H19" i="15"/>
  <c r="B16" i="4"/>
  <c r="D16" i="4"/>
  <c r="F16" i="4"/>
  <c r="G16" i="4"/>
  <c r="H16" i="4"/>
  <c r="H19" i="4"/>
  <c r="J16" i="4"/>
  <c r="B19" i="4"/>
  <c r="D19" i="4"/>
  <c r="E19" i="4"/>
  <c r="F19" i="4"/>
  <c r="G19" i="4"/>
  <c r="J19" i="4"/>
  <c r="C19" i="15"/>
  <c r="E19" i="15"/>
  <c r="F19" i="15"/>
  <c r="G19" i="15"/>
  <c r="I19" i="15"/>
  <c r="K19" i="15"/>
  <c r="B16" i="3"/>
  <c r="C16" i="3"/>
  <c r="C17" i="3"/>
  <c r="C20" i="3"/>
  <c r="C21" i="3"/>
  <c r="D16" i="3"/>
  <c r="E16" i="3"/>
  <c r="F16" i="3"/>
  <c r="G16" i="3"/>
  <c r="H16" i="3"/>
  <c r="B20" i="3"/>
  <c r="D20" i="3"/>
  <c r="D21" i="3"/>
  <c r="D17" i="3"/>
  <c r="D18" i="3" s="1"/>
  <c r="E20" i="3"/>
  <c r="F20" i="3"/>
  <c r="G20" i="3"/>
  <c r="H20" i="3"/>
  <c r="B17" i="3"/>
  <c r="E17" i="3"/>
  <c r="F17" i="3"/>
  <c r="G17" i="3"/>
  <c r="H17" i="3"/>
  <c r="B21" i="3"/>
  <c r="E21" i="3"/>
  <c r="F21" i="3"/>
  <c r="G21" i="3"/>
  <c r="H21" i="3"/>
  <c r="H28" i="1"/>
  <c r="H27" i="1"/>
  <c r="H20" i="1"/>
  <c r="H19" i="1"/>
  <c r="H18" i="1"/>
  <c r="H17" i="1"/>
  <c r="H16" i="1"/>
  <c r="H10" i="1"/>
  <c r="H7" i="1"/>
  <c r="H6" i="1"/>
  <c r="H5" i="1"/>
  <c r="E28" i="1"/>
  <c r="E27" i="1"/>
  <c r="E20" i="1"/>
  <c r="E19" i="1"/>
  <c r="E18" i="1"/>
  <c r="E17" i="1"/>
  <c r="E16" i="1"/>
  <c r="E10" i="1"/>
  <c r="E7" i="1"/>
  <c r="E6" i="1"/>
  <c r="E5" i="1"/>
  <c r="B37" i="1"/>
  <c r="C51" i="2"/>
  <c r="F49" i="3"/>
  <c r="I49" i="3" s="1"/>
  <c r="I51" i="2" s="1"/>
  <c r="B45" i="4"/>
  <c r="F45" i="4"/>
  <c r="H45" i="4"/>
  <c r="C47" i="15"/>
  <c r="E47" i="15"/>
  <c r="F47" i="15"/>
  <c r="M35" i="16"/>
  <c r="M34" i="16"/>
  <c r="L35" i="16"/>
  <c r="L34" i="16"/>
  <c r="K35" i="16"/>
  <c r="I35" i="16"/>
  <c r="H35" i="16"/>
  <c r="G35" i="16"/>
  <c r="F35" i="16"/>
  <c r="E35" i="16"/>
  <c r="D35" i="16"/>
  <c r="C35" i="16"/>
  <c r="B35" i="16"/>
  <c r="K34" i="16"/>
  <c r="I34" i="16"/>
  <c r="H34" i="16"/>
  <c r="G34" i="16"/>
  <c r="F34" i="16"/>
  <c r="E34" i="16"/>
  <c r="D34" i="16"/>
  <c r="C34" i="16"/>
  <c r="B34" i="16"/>
  <c r="M28" i="16"/>
  <c r="L28" i="16"/>
  <c r="K28" i="16"/>
  <c r="K27" i="16"/>
  <c r="I28" i="16"/>
  <c r="H28" i="16"/>
  <c r="G28" i="16"/>
  <c r="F28" i="16"/>
  <c r="E28" i="16"/>
  <c r="D28" i="16"/>
  <c r="C28" i="16"/>
  <c r="B28" i="16"/>
  <c r="M27" i="16"/>
  <c r="L27" i="16"/>
  <c r="I27" i="16"/>
  <c r="H27" i="16"/>
  <c r="G27" i="16"/>
  <c r="F27" i="16"/>
  <c r="E27" i="16"/>
  <c r="B27" i="16"/>
  <c r="C27" i="16"/>
  <c r="D27" i="16"/>
  <c r="D30" i="16" s="1"/>
  <c r="M22" i="16"/>
  <c r="L22" i="16"/>
  <c r="K22" i="16"/>
  <c r="I22" i="16"/>
  <c r="H22" i="16"/>
  <c r="G22" i="16"/>
  <c r="F22" i="16"/>
  <c r="E22" i="16"/>
  <c r="E21" i="16"/>
  <c r="D22" i="16"/>
  <c r="C22" i="16"/>
  <c r="B22" i="16"/>
  <c r="M21" i="16"/>
  <c r="M23" i="16" s="1"/>
  <c r="L21" i="16"/>
  <c r="L23" i="16" s="1"/>
  <c r="K21" i="16"/>
  <c r="I21" i="16"/>
  <c r="I23" i="16" s="1"/>
  <c r="H21" i="16"/>
  <c r="G21" i="16"/>
  <c r="F21" i="16"/>
  <c r="D21" i="16"/>
  <c r="C21" i="16"/>
  <c r="B21" i="16"/>
  <c r="M17" i="16"/>
  <c r="L17" i="16"/>
  <c r="L16" i="16"/>
  <c r="K17" i="16"/>
  <c r="I17" i="16"/>
  <c r="H17" i="16"/>
  <c r="G17" i="16"/>
  <c r="F17" i="16"/>
  <c r="F16" i="16"/>
  <c r="E17" i="16"/>
  <c r="D17" i="16"/>
  <c r="C17" i="16"/>
  <c r="B17" i="16"/>
  <c r="M16" i="16"/>
  <c r="K16" i="16"/>
  <c r="I16" i="16"/>
  <c r="H16" i="16"/>
  <c r="G16" i="16"/>
  <c r="E16" i="16"/>
  <c r="D16" i="16"/>
  <c r="C16" i="16"/>
  <c r="B16" i="16"/>
  <c r="L9" i="8"/>
  <c r="L8" i="8"/>
  <c r="B9" i="8"/>
  <c r="B8" i="8"/>
  <c r="F46" i="15"/>
  <c r="E46" i="15"/>
  <c r="C46" i="15"/>
  <c r="H44" i="4"/>
  <c r="F44" i="4"/>
  <c r="B44" i="4"/>
  <c r="F48" i="3"/>
  <c r="I48" i="3" s="1"/>
  <c r="I50" i="2" s="1"/>
  <c r="H39" i="3"/>
  <c r="H38" i="3"/>
  <c r="C50" i="2"/>
  <c r="C48" i="2"/>
  <c r="J48" i="2" s="1"/>
  <c r="C47" i="2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N30" i="7"/>
  <c r="N31" i="7"/>
  <c r="P31" i="7"/>
  <c r="D30" i="7"/>
  <c r="F30" i="7"/>
  <c r="D31" i="7"/>
  <c r="F31" i="7"/>
  <c r="N29" i="7"/>
  <c r="P29" i="7"/>
  <c r="D29" i="7"/>
  <c r="F29" i="7"/>
  <c r="N27" i="7"/>
  <c r="P27" i="7"/>
  <c r="N28" i="7"/>
  <c r="P28" i="7"/>
  <c r="D27" i="7"/>
  <c r="F27" i="7"/>
  <c r="D28" i="7"/>
  <c r="N32" i="7"/>
  <c r="P32" i="7"/>
  <c r="I32" i="7"/>
  <c r="K32" i="7"/>
  <c r="D32" i="7"/>
  <c r="F32" i="7"/>
  <c r="I31" i="7"/>
  <c r="K31" i="7"/>
  <c r="P30" i="7"/>
  <c r="I30" i="7"/>
  <c r="K30" i="7"/>
  <c r="I29" i="7"/>
  <c r="K29" i="7"/>
  <c r="I28" i="7"/>
  <c r="K28" i="7"/>
  <c r="F28" i="7"/>
  <c r="I27" i="7"/>
  <c r="K27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D23" i="7"/>
  <c r="D25" i="7"/>
  <c r="N23" i="7"/>
  <c r="I23" i="7"/>
  <c r="H25" i="7"/>
  <c r="N25" i="7"/>
  <c r="N21" i="7"/>
  <c r="I21" i="7"/>
  <c r="G25" i="7"/>
  <c r="D21" i="7"/>
  <c r="H18" i="3" l="1"/>
  <c r="I7" i="15"/>
  <c r="H30" i="3"/>
  <c r="L23" i="8"/>
  <c r="H27" i="4"/>
  <c r="C40" i="3"/>
  <c r="O49" i="9"/>
  <c r="D30" i="3"/>
  <c r="B30" i="2"/>
  <c r="H37" i="15"/>
  <c r="F17" i="2"/>
  <c r="E12" i="7"/>
  <c r="K7" i="15"/>
  <c r="H7" i="15"/>
  <c r="D12" i="15"/>
  <c r="J32" i="15"/>
  <c r="F32" i="15"/>
  <c r="I41" i="15"/>
  <c r="G37" i="15"/>
  <c r="G12" i="4"/>
  <c r="J7" i="15"/>
  <c r="F41" i="15"/>
  <c r="D44" i="2"/>
  <c r="K23" i="8"/>
  <c r="I35" i="9"/>
  <c r="I23" i="9"/>
  <c r="B18" i="3"/>
  <c r="I4" i="9"/>
  <c r="B41" i="15"/>
  <c r="B35" i="3"/>
  <c r="H32" i="15"/>
  <c r="B32" i="15"/>
  <c r="H41" i="4"/>
  <c r="K28" i="8"/>
  <c r="E37" i="15"/>
  <c r="F14" i="9"/>
  <c r="E18" i="16"/>
  <c r="E23" i="16"/>
  <c r="I11" i="16"/>
  <c r="E23" i="8"/>
  <c r="J32" i="4"/>
  <c r="D40" i="4"/>
  <c r="G28" i="8"/>
  <c r="G7" i="15"/>
  <c r="C12" i="3"/>
  <c r="B44" i="2"/>
  <c r="B40" i="4"/>
  <c r="E43" i="3"/>
  <c r="E37" i="16"/>
  <c r="G22" i="3"/>
  <c r="K11" i="16"/>
  <c r="D11" i="16"/>
  <c r="L6" i="16"/>
  <c r="F7" i="7"/>
  <c r="C30" i="16"/>
  <c r="G30" i="16"/>
  <c r="H22" i="3"/>
  <c r="F22" i="3"/>
  <c r="B20" i="4"/>
  <c r="F17" i="15"/>
  <c r="B20" i="15"/>
  <c r="E17" i="4"/>
  <c r="C11" i="16"/>
  <c r="C11" i="2"/>
  <c r="G43" i="2"/>
  <c r="F35" i="3"/>
  <c r="G31" i="9"/>
  <c r="I42" i="9"/>
  <c r="P10" i="9"/>
  <c r="B37" i="4"/>
  <c r="D40" i="3"/>
  <c r="I12" i="9"/>
  <c r="R37" i="9"/>
  <c r="E35" i="2"/>
  <c r="D32" i="8"/>
  <c r="H40" i="15"/>
  <c r="F27" i="4"/>
  <c r="F18" i="9"/>
  <c r="O37" i="9"/>
  <c r="O41" i="9"/>
  <c r="O44" i="9"/>
  <c r="O42" i="9"/>
  <c r="R11" i="9"/>
  <c r="K12" i="15"/>
  <c r="G44" i="2"/>
  <c r="E35" i="3"/>
  <c r="B41" i="4"/>
  <c r="D44" i="3"/>
  <c r="J40" i="15"/>
  <c r="J11" i="16"/>
  <c r="E10" i="9"/>
  <c r="F33" i="9"/>
  <c r="R18" i="9"/>
  <c r="D6" i="2"/>
  <c r="B6" i="2"/>
  <c r="H11" i="2"/>
  <c r="J50" i="2"/>
  <c r="F18" i="16"/>
  <c r="D37" i="4"/>
  <c r="F23" i="9"/>
  <c r="F44" i="9"/>
  <c r="I8" i="9"/>
  <c r="I22" i="9"/>
  <c r="O14" i="9"/>
  <c r="O21" i="9"/>
  <c r="O46" i="9"/>
  <c r="O40" i="9"/>
  <c r="O50" i="9"/>
  <c r="Q10" i="9"/>
  <c r="H43" i="2"/>
  <c r="H23" i="16"/>
  <c r="B43" i="2"/>
  <c r="H23" i="3"/>
  <c r="G18" i="3"/>
  <c r="D20" i="4"/>
  <c r="G41" i="15"/>
  <c r="G40" i="4"/>
  <c r="C32" i="4"/>
  <c r="F35" i="9"/>
  <c r="F21" i="9"/>
  <c r="F46" i="9"/>
  <c r="F42" i="9"/>
  <c r="F51" i="9"/>
  <c r="R4" i="9"/>
  <c r="J37" i="15"/>
  <c r="H40" i="3"/>
  <c r="G18" i="16"/>
  <c r="L18" i="16"/>
  <c r="N27" i="16"/>
  <c r="K30" i="16"/>
  <c r="B37" i="16"/>
  <c r="F37" i="16"/>
  <c r="K37" i="16"/>
  <c r="M37" i="16"/>
  <c r="C22" i="3"/>
  <c r="K6" i="16"/>
  <c r="B7" i="7"/>
  <c r="C7" i="3"/>
  <c r="F12" i="4"/>
  <c r="D12" i="3"/>
  <c r="E11" i="2"/>
  <c r="G40" i="15"/>
  <c r="G32" i="4"/>
  <c r="E32" i="4"/>
  <c r="G44" i="3"/>
  <c r="D35" i="2"/>
  <c r="E32" i="8"/>
  <c r="K41" i="15"/>
  <c r="G37" i="4"/>
  <c r="F4" i="9"/>
  <c r="F40" i="9"/>
  <c r="F50" i="9"/>
  <c r="P48" i="9"/>
  <c r="R35" i="9"/>
  <c r="D21" i="2"/>
  <c r="B10" i="8"/>
  <c r="H18" i="16"/>
  <c r="B18" i="16"/>
  <c r="M18" i="16"/>
  <c r="E18" i="3"/>
  <c r="F20" i="4"/>
  <c r="C6" i="16"/>
  <c r="L11" i="16"/>
  <c r="E7" i="7"/>
  <c r="I7" i="4"/>
  <c r="E7" i="4"/>
  <c r="H7" i="3"/>
  <c r="H12" i="15"/>
  <c r="E12" i="15"/>
  <c r="H12" i="4"/>
  <c r="B12" i="4"/>
  <c r="B12" i="3"/>
  <c r="J41" i="4"/>
  <c r="B31" i="8"/>
  <c r="B32" i="4"/>
  <c r="L30" i="15"/>
  <c r="K30" i="4" s="1"/>
  <c r="L30" i="4" s="1"/>
  <c r="C10" i="5" s="1"/>
  <c r="F44" i="3"/>
  <c r="F35" i="2"/>
  <c r="B35" i="2"/>
  <c r="F40" i="3"/>
  <c r="B40" i="3"/>
  <c r="E43" i="2"/>
  <c r="L28" i="8"/>
  <c r="F40" i="15"/>
  <c r="C37" i="15"/>
  <c r="F25" i="9"/>
  <c r="F6" i="9"/>
  <c r="F8" i="9"/>
  <c r="F19" i="9"/>
  <c r="F37" i="9"/>
  <c r="R23" i="9"/>
  <c r="R22" i="9"/>
  <c r="Q48" i="9"/>
  <c r="R48" i="9" s="1"/>
  <c r="D32" i="4"/>
  <c r="G23" i="16"/>
  <c r="E20" i="4"/>
  <c r="I17" i="15"/>
  <c r="E17" i="15"/>
  <c r="J20" i="15"/>
  <c r="D20" i="15"/>
  <c r="G17" i="4"/>
  <c r="D17" i="4"/>
  <c r="C17" i="4"/>
  <c r="J6" i="8"/>
  <c r="J12" i="8" s="1"/>
  <c r="G11" i="16"/>
  <c r="H6" i="16"/>
  <c r="B40" i="2"/>
  <c r="C41" i="4"/>
  <c r="J23" i="16"/>
  <c r="G39" i="9"/>
  <c r="O12" i="9"/>
  <c r="O19" i="9"/>
  <c r="O25" i="9"/>
  <c r="O32" i="9"/>
  <c r="N39" i="9"/>
  <c r="O51" i="9"/>
  <c r="I25" i="7"/>
  <c r="F12" i="7"/>
  <c r="G11" i="7"/>
  <c r="C18" i="1" s="1"/>
  <c r="I29" i="3"/>
  <c r="I29" i="2" s="1"/>
  <c r="J29" i="2" s="1"/>
  <c r="B6" i="5" s="1"/>
  <c r="D23" i="8"/>
  <c r="L31" i="15"/>
  <c r="K31" i="4" s="1"/>
  <c r="L31" i="4" s="1"/>
  <c r="C11" i="5" s="1"/>
  <c r="B37" i="15"/>
  <c r="B40" i="15"/>
  <c r="F40" i="2"/>
  <c r="F43" i="2"/>
  <c r="L36" i="15"/>
  <c r="K36" i="4" s="1"/>
  <c r="L36" i="4" s="1"/>
  <c r="C16" i="5" s="1"/>
  <c r="G35" i="2"/>
  <c r="N10" i="16"/>
  <c r="G32" i="15"/>
  <c r="E40" i="2"/>
  <c r="L46" i="15"/>
  <c r="K44" i="4" s="1"/>
  <c r="L44" i="4" s="1"/>
  <c r="F30" i="16"/>
  <c r="N35" i="16"/>
  <c r="I17" i="3"/>
  <c r="I16" i="2" s="1"/>
  <c r="J16" i="2" s="1"/>
  <c r="H20" i="4"/>
  <c r="I20" i="15"/>
  <c r="I21" i="15" s="1"/>
  <c r="G27" i="4"/>
  <c r="F22" i="9"/>
  <c r="B6" i="16"/>
  <c r="I6" i="3"/>
  <c r="I5" i="2" s="1"/>
  <c r="J5" i="2" s="1"/>
  <c r="C5" i="1" s="1"/>
  <c r="C35" i="3"/>
  <c r="C28" i="8"/>
  <c r="C31" i="8"/>
  <c r="I40" i="15"/>
  <c r="I40" i="4"/>
  <c r="I37" i="4"/>
  <c r="L18" i="15"/>
  <c r="K18" i="4" s="1"/>
  <c r="L18" i="4" s="1"/>
  <c r="I38" i="3"/>
  <c r="I38" i="2" s="1"/>
  <c r="J38" i="2" s="1"/>
  <c r="B15" i="5" s="1"/>
  <c r="E40" i="4"/>
  <c r="C23" i="16"/>
  <c r="E30" i="3"/>
  <c r="G30" i="2"/>
  <c r="C30" i="2"/>
  <c r="F20" i="9"/>
  <c r="E16" i="9"/>
  <c r="I17" i="9"/>
  <c r="R40" i="9"/>
  <c r="K18" i="16"/>
  <c r="K23" i="16"/>
  <c r="J51" i="2"/>
  <c r="D22" i="3"/>
  <c r="D23" i="3" s="1"/>
  <c r="F18" i="3"/>
  <c r="I17" i="4"/>
  <c r="G20" i="4"/>
  <c r="C17" i="15"/>
  <c r="J17" i="15"/>
  <c r="G17" i="15"/>
  <c r="J17" i="4"/>
  <c r="C12" i="7"/>
  <c r="I6" i="8"/>
  <c r="I12" i="8" s="1"/>
  <c r="E6" i="8"/>
  <c r="E12" i="8" s="1"/>
  <c r="D21" i="1"/>
  <c r="M11" i="16"/>
  <c r="L6" i="15"/>
  <c r="K6" i="4" s="1"/>
  <c r="L6" i="4" s="1"/>
  <c r="C6" i="1" s="1"/>
  <c r="E7" i="3"/>
  <c r="G31" i="8"/>
  <c r="I32" i="15"/>
  <c r="E32" i="15"/>
  <c r="H44" i="3"/>
  <c r="H37" i="4"/>
  <c r="D41" i="4"/>
  <c r="E40" i="3"/>
  <c r="L18" i="8"/>
  <c r="E18" i="8"/>
  <c r="K27" i="15"/>
  <c r="C27" i="4"/>
  <c r="D43" i="2"/>
  <c r="J6" i="16"/>
  <c r="J18" i="16"/>
  <c r="J30" i="16"/>
  <c r="F43" i="9"/>
  <c r="F52" i="9"/>
  <c r="R20" i="9"/>
  <c r="R14" i="9"/>
  <c r="P31" i="9"/>
  <c r="R46" i="9"/>
  <c r="R52" i="9"/>
  <c r="H6" i="2"/>
  <c r="R8" i="9"/>
  <c r="B21" i="2"/>
  <c r="L31" i="9"/>
  <c r="H37" i="16"/>
  <c r="C18" i="3"/>
  <c r="J20" i="4"/>
  <c r="D17" i="15"/>
  <c r="C6" i="8"/>
  <c r="C12" i="8" s="1"/>
  <c r="D7" i="15"/>
  <c r="C12" i="15"/>
  <c r="F27" i="15"/>
  <c r="D32" i="15"/>
  <c r="G40" i="3"/>
  <c r="D27" i="4"/>
  <c r="F30" i="2"/>
  <c r="O17" i="9"/>
  <c r="O35" i="9"/>
  <c r="C17" i="2"/>
  <c r="H35" i="2"/>
  <c r="L39" i="9"/>
  <c r="C21" i="2"/>
  <c r="G45" i="2"/>
  <c r="C37" i="16"/>
  <c r="M4" i="8"/>
  <c r="B19" i="1" s="1"/>
  <c r="I5" i="3"/>
  <c r="I4" i="2" s="1"/>
  <c r="C48" i="9"/>
  <c r="F49" i="9"/>
  <c r="G6" i="2"/>
  <c r="E6" i="2"/>
  <c r="F21" i="2"/>
  <c r="F23" i="2" s="1"/>
  <c r="P55" i="9"/>
  <c r="N10" i="9"/>
  <c r="P39" i="9"/>
  <c r="C40" i="4"/>
  <c r="D6" i="16"/>
  <c r="H27" i="15"/>
  <c r="M22" i="8"/>
  <c r="D11" i="5" s="1"/>
  <c r="C40" i="2"/>
  <c r="F27" i="9"/>
  <c r="F11" i="9"/>
  <c r="E31" i="9"/>
  <c r="E48" i="9"/>
  <c r="G16" i="9"/>
  <c r="R17" i="9"/>
  <c r="P16" i="9"/>
  <c r="G21" i="2"/>
  <c r="I37" i="15"/>
  <c r="J47" i="2"/>
  <c r="C49" i="2"/>
  <c r="J49" i="2" s="1"/>
  <c r="F43" i="3"/>
  <c r="F30" i="3"/>
  <c r="C31" i="9"/>
  <c r="F32" i="9"/>
  <c r="L48" i="9"/>
  <c r="D17" i="2"/>
  <c r="H17" i="2"/>
  <c r="H40" i="2"/>
  <c r="E41" i="15"/>
  <c r="E55" i="9"/>
  <c r="B30" i="16"/>
  <c r="I34" i="3"/>
  <c r="I34" i="2" s="1"/>
  <c r="J34" i="2" s="1"/>
  <c r="B11" i="5" s="1"/>
  <c r="B6" i="8"/>
  <c r="C55" i="9"/>
  <c r="F55" i="9" s="1"/>
  <c r="D30" i="2"/>
  <c r="B7" i="3"/>
  <c r="G5" i="7"/>
  <c r="B7" i="1" s="1"/>
  <c r="I21" i="3"/>
  <c r="I20" i="2" s="1"/>
  <c r="J20" i="2" s="1"/>
  <c r="B22" i="3"/>
  <c r="B17" i="15"/>
  <c r="I12" i="4"/>
  <c r="C12" i="4"/>
  <c r="B11" i="2"/>
  <c r="M17" i="8"/>
  <c r="B18" i="8"/>
  <c r="L26" i="15"/>
  <c r="K26" i="4" s="1"/>
  <c r="L26" i="4" s="1"/>
  <c r="C6" i="5" s="1"/>
  <c r="C23" i="8"/>
  <c r="D43" i="3"/>
  <c r="D35" i="3"/>
  <c r="J37" i="4"/>
  <c r="J40" i="4"/>
  <c r="G41" i="4"/>
  <c r="C44" i="3"/>
  <c r="C37" i="4"/>
  <c r="O6" i="9"/>
  <c r="N31" i="9"/>
  <c r="N48" i="9"/>
  <c r="R25" i="9"/>
  <c r="P21" i="7"/>
  <c r="I18" i="16"/>
  <c r="N17" i="16"/>
  <c r="N22" i="16"/>
  <c r="G37" i="16"/>
  <c r="B17" i="4"/>
  <c r="B12" i="7"/>
  <c r="G6" i="8"/>
  <c r="G12" i="8" s="1"/>
  <c r="F11" i="16"/>
  <c r="F6" i="16"/>
  <c r="G6" i="7"/>
  <c r="C7" i="1" s="1"/>
  <c r="D7" i="3"/>
  <c r="C7" i="7"/>
  <c r="E7" i="15"/>
  <c r="J7" i="4"/>
  <c r="C7" i="4"/>
  <c r="G7" i="3"/>
  <c r="E12" i="4"/>
  <c r="F12" i="3"/>
  <c r="G23" i="8"/>
  <c r="E44" i="2"/>
  <c r="J18" i="8"/>
  <c r="G27" i="15"/>
  <c r="J37" i="16"/>
  <c r="O4" i="9"/>
  <c r="G10" i="7"/>
  <c r="B18" i="1" s="1"/>
  <c r="P23" i="7"/>
  <c r="H30" i="16"/>
  <c r="L30" i="16"/>
  <c r="D37" i="16"/>
  <c r="I37" i="16"/>
  <c r="L47" i="15"/>
  <c r="K45" i="4" s="1"/>
  <c r="L45" i="4" s="1"/>
  <c r="G20" i="15"/>
  <c r="J12" i="4"/>
  <c r="F7" i="4"/>
  <c r="B7" i="4"/>
  <c r="F7" i="3"/>
  <c r="E12" i="3"/>
  <c r="F44" i="2"/>
  <c r="K32" i="15"/>
  <c r="H40" i="4"/>
  <c r="C44" i="2"/>
  <c r="G40" i="2"/>
  <c r="M27" i="8"/>
  <c r="D16" i="5" s="1"/>
  <c r="F37" i="15"/>
  <c r="D40" i="2"/>
  <c r="M16" i="8"/>
  <c r="I27" i="15"/>
  <c r="B27" i="15"/>
  <c r="G48" i="9"/>
  <c r="I43" i="9"/>
  <c r="H39" i="9"/>
  <c r="O45" i="9"/>
  <c r="O43" i="9"/>
  <c r="R27" i="9"/>
  <c r="R12" i="9"/>
  <c r="R43" i="9"/>
  <c r="R33" i="9"/>
  <c r="F6" i="2"/>
  <c r="D23" i="16"/>
  <c r="E30" i="16"/>
  <c r="I30" i="16"/>
  <c r="C20" i="15"/>
  <c r="F17" i="4"/>
  <c r="K20" i="15"/>
  <c r="F20" i="15"/>
  <c r="C20" i="4"/>
  <c r="L6" i="8"/>
  <c r="G6" i="16"/>
  <c r="H11" i="16"/>
  <c r="E11" i="16"/>
  <c r="M6" i="16"/>
  <c r="I6" i="16"/>
  <c r="E6" i="16"/>
  <c r="D7" i="7"/>
  <c r="F7" i="15"/>
  <c r="B7" i="15"/>
  <c r="H7" i="4"/>
  <c r="D7" i="4"/>
  <c r="E44" i="3"/>
  <c r="J23" i="8"/>
  <c r="M21" i="8"/>
  <c r="D10" i="5" s="1"/>
  <c r="B28" i="8"/>
  <c r="M26" i="8"/>
  <c r="D15" i="5" s="1"/>
  <c r="G18" i="8"/>
  <c r="J27" i="4"/>
  <c r="G11" i="2"/>
  <c r="F29" i="9"/>
  <c r="F45" i="9"/>
  <c r="I6" i="9"/>
  <c r="I20" i="9"/>
  <c r="I32" i="9"/>
  <c r="I14" i="9"/>
  <c r="I27" i="9"/>
  <c r="H10" i="9"/>
  <c r="I21" i="9"/>
  <c r="H16" i="9"/>
  <c r="O8" i="9"/>
  <c r="O22" i="9"/>
  <c r="N16" i="9"/>
  <c r="R19" i="9"/>
  <c r="R49" i="9"/>
  <c r="Q39" i="9"/>
  <c r="R50" i="9"/>
  <c r="H33" i="8"/>
  <c r="J7" i="5"/>
  <c r="J17" i="5"/>
  <c r="J20" i="5"/>
  <c r="F25" i="7"/>
  <c r="K21" i="7"/>
  <c r="F23" i="7"/>
  <c r="E33" i="7"/>
  <c r="H29" i="1"/>
  <c r="G17" i="5"/>
  <c r="D38" i="1"/>
  <c r="E36" i="1" s="1"/>
  <c r="G22" i="5"/>
  <c r="P25" i="7"/>
  <c r="E22" i="1"/>
  <c r="E29" i="1"/>
  <c r="H22" i="1"/>
  <c r="G12" i="5"/>
  <c r="F21" i="7"/>
  <c r="K25" i="7"/>
  <c r="K23" i="7"/>
  <c r="E8" i="1"/>
  <c r="E11" i="1" s="1"/>
  <c r="J12" i="5"/>
  <c r="G7" i="5"/>
  <c r="H8" i="1"/>
  <c r="H11" i="1" s="1"/>
  <c r="J21" i="5"/>
  <c r="J33" i="7"/>
  <c r="M9" i="8"/>
  <c r="M8" i="8"/>
  <c r="D6" i="8"/>
  <c r="D12" i="8" s="1"/>
  <c r="K6" i="8"/>
  <c r="K12" i="8" s="1"/>
  <c r="L31" i="8"/>
  <c r="J31" i="8"/>
  <c r="J32" i="8"/>
  <c r="J28" i="8"/>
  <c r="C18" i="8"/>
  <c r="C32" i="8"/>
  <c r="E28" i="8"/>
  <c r="E31" i="8"/>
  <c r="H30" i="2"/>
  <c r="H44" i="2"/>
  <c r="B23" i="16"/>
  <c r="N21" i="16"/>
  <c r="J12" i="15"/>
  <c r="L11" i="15"/>
  <c r="K11" i="4" s="1"/>
  <c r="L11" i="4" s="1"/>
  <c r="B12" i="15"/>
  <c r="F41" i="9"/>
  <c r="C39" i="9"/>
  <c r="Q31" i="9"/>
  <c r="R32" i="9"/>
  <c r="C6" i="2"/>
  <c r="E21" i="2"/>
  <c r="E23" i="2" s="1"/>
  <c r="G17" i="2"/>
  <c r="H21" i="2"/>
  <c r="N28" i="16"/>
  <c r="C43" i="2"/>
  <c r="Q55" i="9"/>
  <c r="N55" i="9"/>
  <c r="G55" i="9"/>
  <c r="L10" i="8"/>
  <c r="L15" i="15"/>
  <c r="K15" i="4" s="1"/>
  <c r="L16" i="15"/>
  <c r="K16" i="4" s="1"/>
  <c r="L16" i="4" s="1"/>
  <c r="K17" i="15"/>
  <c r="N5" i="16"/>
  <c r="F12" i="9"/>
  <c r="C10" i="9"/>
  <c r="F17" i="9"/>
  <c r="C16" i="9"/>
  <c r="E39" i="9"/>
  <c r="I11" i="9"/>
  <c r="G10" i="9"/>
  <c r="L16" i="9"/>
  <c r="O23" i="9"/>
  <c r="L55" i="9"/>
  <c r="C27" i="15"/>
  <c r="C41" i="15"/>
  <c r="I33" i="3"/>
  <c r="I33" i="2" s="1"/>
  <c r="G35" i="3"/>
  <c r="K40" i="15"/>
  <c r="K37" i="15"/>
  <c r="N34" i="16"/>
  <c r="H41" i="15"/>
  <c r="I40" i="9"/>
  <c r="B46" i="4"/>
  <c r="B47" i="4" s="1"/>
  <c r="D18" i="16"/>
  <c r="N16" i="16"/>
  <c r="C7" i="15"/>
  <c r="L5" i="15"/>
  <c r="F12" i="15"/>
  <c r="L10" i="15"/>
  <c r="K10" i="4" s="1"/>
  <c r="I33" i="9"/>
  <c r="H31" i="9"/>
  <c r="H32" i="4"/>
  <c r="N4" i="16"/>
  <c r="M30" i="16"/>
  <c r="B38" i="1"/>
  <c r="C37" i="1" s="1"/>
  <c r="I27" i="4"/>
  <c r="I41" i="4"/>
  <c r="B27" i="4"/>
  <c r="D40" i="15"/>
  <c r="D37" i="15"/>
  <c r="L35" i="15"/>
  <c r="K35" i="4" s="1"/>
  <c r="K18" i="8"/>
  <c r="K31" i="8"/>
  <c r="D18" i="8"/>
  <c r="J27" i="15"/>
  <c r="J41" i="15"/>
  <c r="E40" i="15"/>
  <c r="L25" i="15"/>
  <c r="K25" i="4" s="1"/>
  <c r="E27" i="15"/>
  <c r="G30" i="3"/>
  <c r="G43" i="3"/>
  <c r="C43" i="3"/>
  <c r="C30" i="3"/>
  <c r="E30" i="2"/>
  <c r="I50" i="9"/>
  <c r="H55" i="9"/>
  <c r="H48" i="9"/>
  <c r="E22" i="3"/>
  <c r="I20" i="3"/>
  <c r="I19" i="2" s="1"/>
  <c r="I16" i="3"/>
  <c r="I15" i="2" s="1"/>
  <c r="D20" i="1"/>
  <c r="C32" i="15"/>
  <c r="C40" i="15"/>
  <c r="F32" i="4"/>
  <c r="F40" i="4"/>
  <c r="H35" i="3"/>
  <c r="H43" i="3"/>
  <c r="D28" i="8"/>
  <c r="D31" i="8"/>
  <c r="B43" i="3"/>
  <c r="B30" i="3"/>
  <c r="I28" i="3"/>
  <c r="I28" i="2" s="1"/>
  <c r="Q16" i="9"/>
  <c r="E20" i="15"/>
  <c r="L19" i="15"/>
  <c r="K19" i="4" s="1"/>
  <c r="L19" i="4" s="1"/>
  <c r="H17" i="4"/>
  <c r="G12" i="3"/>
  <c r="I10" i="3"/>
  <c r="I9" i="2" s="1"/>
  <c r="D27" i="15"/>
  <c r="D41" i="15"/>
  <c r="E27" i="4"/>
  <c r="E42" i="4" s="1"/>
  <c r="E41" i="4"/>
  <c r="F41" i="4"/>
  <c r="F37" i="4"/>
  <c r="B44" i="3"/>
  <c r="I39" i="3"/>
  <c r="I39" i="2" s="1"/>
  <c r="J39" i="2" s="1"/>
  <c r="B16" i="5" s="1"/>
  <c r="O18" i="9"/>
  <c r="O33" i="7"/>
  <c r="I11" i="3"/>
  <c r="I10" i="2" s="1"/>
  <c r="J10" i="2" s="1"/>
  <c r="I12" i="15"/>
  <c r="H12" i="3"/>
  <c r="D11" i="2"/>
  <c r="B32" i="8"/>
  <c r="B23" i="8"/>
  <c r="L32" i="8"/>
  <c r="G32" i="8"/>
  <c r="I18" i="9"/>
  <c r="I29" i="9"/>
  <c r="O11" i="9"/>
  <c r="L10" i="9"/>
  <c r="O29" i="9"/>
  <c r="B17" i="2"/>
  <c r="C18" i="16"/>
  <c r="F23" i="16"/>
  <c r="L37" i="16"/>
  <c r="I20" i="4"/>
  <c r="H17" i="15"/>
  <c r="H21" i="15" s="1"/>
  <c r="M5" i="8"/>
  <c r="C19" i="1" s="1"/>
  <c r="N9" i="16"/>
  <c r="B11" i="16"/>
  <c r="D12" i="4"/>
  <c r="I32" i="4"/>
  <c r="K32" i="8"/>
  <c r="R29" i="9"/>
  <c r="R44" i="9"/>
  <c r="C21" i="15" l="1"/>
  <c r="B21" i="15"/>
  <c r="R10" i="9"/>
  <c r="G45" i="3"/>
  <c r="B42" i="15"/>
  <c r="J42" i="15"/>
  <c r="B33" i="1"/>
  <c r="F23" i="3"/>
  <c r="C8" i="1"/>
  <c r="F42" i="15"/>
  <c r="B21" i="4"/>
  <c r="D45" i="2"/>
  <c r="G33" i="8"/>
  <c r="E45" i="3"/>
  <c r="D21" i="15"/>
  <c r="H45" i="3"/>
  <c r="I21" i="2"/>
  <c r="D44" i="9"/>
  <c r="G7" i="7"/>
  <c r="D21" i="4"/>
  <c r="I18" i="3"/>
  <c r="E21" i="4"/>
  <c r="G23" i="3"/>
  <c r="H42" i="15"/>
  <c r="F21" i="15"/>
  <c r="B23" i="3"/>
  <c r="I42" i="15"/>
  <c r="I40" i="3"/>
  <c r="K33" i="8"/>
  <c r="R55" i="9"/>
  <c r="I6" i="2"/>
  <c r="J6" i="2" s="1"/>
  <c r="D5" i="1" s="1"/>
  <c r="B45" i="2"/>
  <c r="C26" i="7"/>
  <c r="I10" i="9"/>
  <c r="H45" i="2"/>
  <c r="D12" i="5"/>
  <c r="B12" i="8"/>
  <c r="O39" i="9"/>
  <c r="G21" i="4"/>
  <c r="I35" i="2"/>
  <c r="J35" i="2" s="1"/>
  <c r="F21" i="4"/>
  <c r="F45" i="3"/>
  <c r="C23" i="2"/>
  <c r="E21" i="15"/>
  <c r="I31" i="9"/>
  <c r="E56" i="9"/>
  <c r="E54" i="9" s="1"/>
  <c r="E45" i="2"/>
  <c r="D19" i="1"/>
  <c r="F19" i="1" s="1"/>
  <c r="R31" i="9"/>
  <c r="N56" i="9"/>
  <c r="N54" i="9" s="1"/>
  <c r="L33" i="8"/>
  <c r="H42" i="4"/>
  <c r="K42" i="15"/>
  <c r="C21" i="4"/>
  <c r="D45" i="3"/>
  <c r="G21" i="15"/>
  <c r="D42" i="4"/>
  <c r="G42" i="4"/>
  <c r="C23" i="3"/>
  <c r="I17" i="2"/>
  <c r="J17" i="2" s="1"/>
  <c r="I30" i="3"/>
  <c r="C45" i="3"/>
  <c r="L37" i="15"/>
  <c r="E33" i="8"/>
  <c r="J21" i="2"/>
  <c r="J21" i="15"/>
  <c r="G42" i="15"/>
  <c r="C21" i="5"/>
  <c r="N30" i="16"/>
  <c r="C12" i="5"/>
  <c r="D7" i="1"/>
  <c r="G12" i="7"/>
  <c r="C42" i="4"/>
  <c r="I21" i="4"/>
  <c r="L32" i="15"/>
  <c r="I39" i="9"/>
  <c r="D23" i="2"/>
  <c r="C10" i="1"/>
  <c r="C11" i="1" s="1"/>
  <c r="M26" i="7" s="1"/>
  <c r="K32" i="4"/>
  <c r="L32" i="4" s="1"/>
  <c r="F45" i="2"/>
  <c r="N11" i="16"/>
  <c r="M6" i="8"/>
  <c r="C33" i="1"/>
  <c r="M32" i="8"/>
  <c r="F42" i="4"/>
  <c r="R16" i="9"/>
  <c r="K21" i="15"/>
  <c r="C28" i="1"/>
  <c r="F21" i="1"/>
  <c r="H23" i="2"/>
  <c r="F31" i="9"/>
  <c r="N6" i="16"/>
  <c r="I7" i="3"/>
  <c r="E11" i="5"/>
  <c r="F11" i="5" s="1"/>
  <c r="H11" i="5" s="1"/>
  <c r="G23" i="2"/>
  <c r="J21" i="4"/>
  <c r="I42" i="4"/>
  <c r="M31" i="8"/>
  <c r="D18" i="1"/>
  <c r="O31" i="9"/>
  <c r="K41" i="4"/>
  <c r="L41" i="4" s="1"/>
  <c r="J4" i="2"/>
  <c r="B5" i="1" s="1"/>
  <c r="I55" i="9"/>
  <c r="C16" i="1"/>
  <c r="I16" i="9"/>
  <c r="E42" i="15"/>
  <c r="C17" i="1"/>
  <c r="R39" i="9"/>
  <c r="M28" i="8"/>
  <c r="M18" i="8"/>
  <c r="O48" i="9"/>
  <c r="F48" i="9"/>
  <c r="N18" i="16"/>
  <c r="N37" i="16"/>
  <c r="M23" i="8"/>
  <c r="I44" i="3"/>
  <c r="I12" i="3"/>
  <c r="I35" i="3"/>
  <c r="J15" i="2"/>
  <c r="J33" i="8"/>
  <c r="J22" i="5"/>
  <c r="J42" i="4"/>
  <c r="P56" i="9"/>
  <c r="P54" i="9" s="1"/>
  <c r="E37" i="1"/>
  <c r="B21" i="5"/>
  <c r="E16" i="5"/>
  <c r="F16" i="5" s="1"/>
  <c r="B23" i="2"/>
  <c r="I11" i="2"/>
  <c r="J11" i="2" s="1"/>
  <c r="J9" i="2"/>
  <c r="E23" i="3"/>
  <c r="I22" i="3"/>
  <c r="D5" i="5"/>
  <c r="D20" i="5" s="1"/>
  <c r="I40" i="2"/>
  <c r="J40" i="2" s="1"/>
  <c r="K5" i="4"/>
  <c r="L7" i="15"/>
  <c r="C45" i="2"/>
  <c r="F39" i="9"/>
  <c r="C56" i="9"/>
  <c r="J33" i="2"/>
  <c r="I30" i="2"/>
  <c r="J30" i="2" s="1"/>
  <c r="I43" i="2"/>
  <c r="J43" i="2" s="1"/>
  <c r="F20" i="1"/>
  <c r="J28" i="2"/>
  <c r="B5" i="5" s="1"/>
  <c r="B26" i="7"/>
  <c r="B17" i="5"/>
  <c r="L41" i="15"/>
  <c r="G56" i="9"/>
  <c r="L56" i="9"/>
  <c r="M55" i="9" s="1"/>
  <c r="O16" i="9"/>
  <c r="F10" i="9"/>
  <c r="K17" i="4"/>
  <c r="L17" i="4" s="1"/>
  <c r="L15" i="4"/>
  <c r="B17" i="1" s="1"/>
  <c r="C36" i="1"/>
  <c r="L17" i="15"/>
  <c r="I44" i="2"/>
  <c r="J44" i="2" s="1"/>
  <c r="D17" i="5"/>
  <c r="D6" i="5"/>
  <c r="D21" i="5" s="1"/>
  <c r="B28" i="1"/>
  <c r="K37" i="4"/>
  <c r="L35" i="4"/>
  <c r="C15" i="5" s="1"/>
  <c r="E15" i="5" s="1"/>
  <c r="K40" i="4"/>
  <c r="L40" i="4" s="1"/>
  <c r="O10" i="9"/>
  <c r="H21" i="4"/>
  <c r="D33" i="8"/>
  <c r="I48" i="9"/>
  <c r="H56" i="9"/>
  <c r="H54" i="9" s="1"/>
  <c r="D42" i="15"/>
  <c r="Q56" i="9"/>
  <c r="L10" i="4"/>
  <c r="K12" i="4"/>
  <c r="L12" i="4" s="1"/>
  <c r="L27" i="15"/>
  <c r="O55" i="9"/>
  <c r="L20" i="15"/>
  <c r="K20" i="4"/>
  <c r="J19" i="2"/>
  <c r="L12" i="15"/>
  <c r="B33" i="8"/>
  <c r="K27" i="4"/>
  <c r="L27" i="4" s="1"/>
  <c r="L25" i="4"/>
  <c r="C5" i="5" s="1"/>
  <c r="C7" i="5" s="1"/>
  <c r="B45" i="3"/>
  <c r="I43" i="3"/>
  <c r="C42" i="15"/>
  <c r="L40" i="15"/>
  <c r="B42" i="4"/>
  <c r="F16" i="9"/>
  <c r="L12" i="8"/>
  <c r="M10" i="8"/>
  <c r="N23" i="16"/>
  <c r="C33" i="8"/>
  <c r="I23" i="2" l="1"/>
  <c r="H26" i="7"/>
  <c r="M12" i="8"/>
  <c r="D28" i="1"/>
  <c r="F28" i="1" s="1"/>
  <c r="I45" i="3"/>
  <c r="D17" i="1"/>
  <c r="F17" i="1" s="1"/>
  <c r="I23" i="3"/>
  <c r="L21" i="15"/>
  <c r="F7" i="1"/>
  <c r="M10" i="9"/>
  <c r="F5" i="1"/>
  <c r="B16" i="1"/>
  <c r="D16" i="1" s="1"/>
  <c r="J23" i="2"/>
  <c r="F18" i="1"/>
  <c r="C22" i="1"/>
  <c r="L42" i="15"/>
  <c r="B32" i="1"/>
  <c r="C32" i="1" s="1"/>
  <c r="K42" i="4"/>
  <c r="L42" i="4" s="1"/>
  <c r="B27" i="1"/>
  <c r="B29" i="1" s="1"/>
  <c r="M33" i="8"/>
  <c r="M16" i="9"/>
  <c r="E6" i="5"/>
  <c r="F6" i="5" s="1"/>
  <c r="H6" i="5" s="1"/>
  <c r="D22" i="5"/>
  <c r="B22" i="1"/>
  <c r="G54" i="9"/>
  <c r="I54" i="9" s="1"/>
  <c r="I56" i="9"/>
  <c r="D21" i="9"/>
  <c r="D50" i="9"/>
  <c r="D11" i="9"/>
  <c r="D43" i="9"/>
  <c r="D33" i="9"/>
  <c r="D27" i="9"/>
  <c r="D42" i="9"/>
  <c r="D6" i="9"/>
  <c r="D52" i="9"/>
  <c r="D40" i="9"/>
  <c r="D37" i="9"/>
  <c r="D48" i="9"/>
  <c r="D14" i="9"/>
  <c r="D12" i="9"/>
  <c r="D23" i="9"/>
  <c r="D51" i="9"/>
  <c r="F56" i="9"/>
  <c r="D4" i="9"/>
  <c r="D17" i="9"/>
  <c r="C54" i="9"/>
  <c r="D20" i="9"/>
  <c r="D8" i="9"/>
  <c r="D32" i="9"/>
  <c r="D46" i="9"/>
  <c r="D35" i="9"/>
  <c r="D22" i="9"/>
  <c r="D18" i="9"/>
  <c r="D49" i="9"/>
  <c r="D19" i="9"/>
  <c r="D29" i="9"/>
  <c r="D25" i="9"/>
  <c r="D56" i="9"/>
  <c r="D55" i="9"/>
  <c r="D41" i="9"/>
  <c r="D31" i="9"/>
  <c r="D45" i="9"/>
  <c r="B10" i="1"/>
  <c r="L37" i="4"/>
  <c r="Q54" i="9"/>
  <c r="R54" i="9" s="1"/>
  <c r="R56" i="9"/>
  <c r="D26" i="7"/>
  <c r="D7" i="5"/>
  <c r="E17" i="5"/>
  <c r="F15" i="5"/>
  <c r="K21" i="4"/>
  <c r="L21" i="4" s="1"/>
  <c r="L20" i="4"/>
  <c r="M19" i="9"/>
  <c r="L54" i="9"/>
  <c r="M43" i="9"/>
  <c r="O56" i="9"/>
  <c r="M49" i="9"/>
  <c r="M32" i="9"/>
  <c r="M8" i="9"/>
  <c r="M41" i="9"/>
  <c r="M48" i="9"/>
  <c r="M44" i="9"/>
  <c r="M31" i="9"/>
  <c r="M6" i="9"/>
  <c r="M20" i="9"/>
  <c r="M51" i="9"/>
  <c r="M4" i="9"/>
  <c r="M50" i="9"/>
  <c r="M18" i="9"/>
  <c r="M14" i="9"/>
  <c r="M25" i="9"/>
  <c r="M46" i="9"/>
  <c r="M56" i="9"/>
  <c r="M12" i="9"/>
  <c r="M39" i="9"/>
  <c r="M22" i="9"/>
  <c r="M52" i="9"/>
  <c r="M37" i="9"/>
  <c r="M21" i="9"/>
  <c r="M45" i="9"/>
  <c r="M33" i="9"/>
  <c r="M42" i="9"/>
  <c r="M29" i="9"/>
  <c r="M11" i="9"/>
  <c r="M23" i="9"/>
  <c r="M35" i="9"/>
  <c r="M40" i="9"/>
  <c r="M27" i="9"/>
  <c r="M17" i="9"/>
  <c r="B7" i="5"/>
  <c r="E5" i="5"/>
  <c r="I45" i="2"/>
  <c r="J45" i="2" s="1"/>
  <c r="D39" i="9"/>
  <c r="L5" i="4"/>
  <c r="B6" i="1" s="1"/>
  <c r="K7" i="4"/>
  <c r="L7" i="4" s="1"/>
  <c r="H16" i="5"/>
  <c r="D16" i="9"/>
  <c r="C20" i="5"/>
  <c r="C22" i="5" s="1"/>
  <c r="C17" i="5"/>
  <c r="D10" i="9"/>
  <c r="B10" i="5"/>
  <c r="C27" i="1"/>
  <c r="C29" i="1" s="1"/>
  <c r="E21" i="5"/>
  <c r="F21" i="5" s="1"/>
  <c r="H21" i="5" s="1"/>
  <c r="F54" i="9" l="1"/>
  <c r="D54" i="9"/>
  <c r="B12" i="5"/>
  <c r="E10" i="5"/>
  <c r="B20" i="5"/>
  <c r="D6" i="1"/>
  <c r="B8" i="1"/>
  <c r="B11" i="1" s="1"/>
  <c r="L26" i="7" s="1"/>
  <c r="H15" i="5"/>
  <c r="F17" i="5"/>
  <c r="H17" i="5" s="1"/>
  <c r="M54" i="9"/>
  <c r="O54" i="9"/>
  <c r="D27" i="1"/>
  <c r="F16" i="1"/>
  <c r="D22" i="1"/>
  <c r="F22" i="1" s="1"/>
  <c r="E7" i="5"/>
  <c r="F5" i="5"/>
  <c r="F26" i="7"/>
  <c r="D10" i="1"/>
  <c r="G26" i="7" l="1"/>
  <c r="N26" i="7"/>
  <c r="F6" i="1"/>
  <c r="D8" i="1"/>
  <c r="F8" i="1" s="1"/>
  <c r="F10" i="1"/>
  <c r="F7" i="5"/>
  <c r="H7" i="5" s="1"/>
  <c r="H5" i="5"/>
  <c r="F10" i="5"/>
  <c r="E12" i="5"/>
  <c r="D29" i="1"/>
  <c r="F29" i="1" s="1"/>
  <c r="F27" i="1"/>
  <c r="E20" i="5"/>
  <c r="B22" i="5"/>
  <c r="D11" i="1" l="1"/>
  <c r="F11" i="1" s="1"/>
  <c r="E22" i="5"/>
  <c r="F20" i="5"/>
  <c r="P26" i="7"/>
  <c r="F12" i="5"/>
  <c r="H12" i="5" s="1"/>
  <c r="H10" i="5"/>
  <c r="I26" i="7"/>
  <c r="K26" i="7" l="1"/>
  <c r="H20" i="5"/>
  <c r="F22" i="5"/>
  <c r="H22" i="5" s="1"/>
  <c r="C22" i="7" l="1"/>
  <c r="M22" i="7"/>
  <c r="B22" i="7"/>
  <c r="H22" i="7" l="1"/>
  <c r="D22" i="7"/>
  <c r="L22" i="7"/>
  <c r="G22" i="7" l="1"/>
  <c r="N22" i="7"/>
  <c r="F22" i="7"/>
  <c r="P22" i="7" l="1"/>
  <c r="I22" i="7"/>
  <c r="K22" i="7" l="1"/>
  <c r="G20" i="1" l="1"/>
  <c r="G21" i="1"/>
  <c r="D33" i="1"/>
  <c r="G5" i="1" l="1"/>
  <c r="C24" i="7"/>
  <c r="C33" i="7" s="1"/>
  <c r="I20" i="1"/>
  <c r="G18" i="1"/>
  <c r="G7" i="1"/>
  <c r="B24" i="7"/>
  <c r="B33" i="7" s="1"/>
  <c r="I21" i="1"/>
  <c r="D32" i="1" l="1"/>
  <c r="M24" i="7"/>
  <c r="M33" i="7" s="1"/>
  <c r="G6" i="1"/>
  <c r="G8" i="1" s="1"/>
  <c r="D24" i="7"/>
  <c r="F24" i="7" s="1"/>
  <c r="I18" i="1"/>
  <c r="G19" i="1"/>
  <c r="I5" i="1"/>
  <c r="G16" i="1"/>
  <c r="I7" i="1"/>
  <c r="I16" i="1" l="1"/>
  <c r="D33" i="7"/>
  <c r="F33" i="7" s="1"/>
  <c r="G17" i="1"/>
  <c r="G22" i="1" s="1"/>
  <c r="I22" i="1" s="1"/>
  <c r="I6" i="1"/>
  <c r="D34" i="1"/>
  <c r="E33" i="1" s="1"/>
  <c r="I19" i="1"/>
  <c r="I8" i="1"/>
  <c r="L24" i="7"/>
  <c r="N24" i="7" s="1"/>
  <c r="G10" i="1"/>
  <c r="H24" i="7"/>
  <c r="H33" i="7" s="1"/>
  <c r="G24" i="7"/>
  <c r="I10" i="1" l="1"/>
  <c r="G11" i="1"/>
  <c r="I11" i="1" s="1"/>
  <c r="L33" i="7"/>
  <c r="I17" i="1"/>
  <c r="E32" i="1"/>
  <c r="I24" i="7"/>
  <c r="G33" i="7"/>
  <c r="P24" i="7"/>
  <c r="N33" i="7"/>
  <c r="P33" i="7" s="1"/>
  <c r="I16" i="5"/>
  <c r="K24" i="7" l="1"/>
  <c r="I33" i="7"/>
  <c r="K33" i="7" s="1"/>
  <c r="G27" i="1" l="1"/>
  <c r="G28" i="1"/>
  <c r="I5" i="5"/>
  <c r="I11" i="5"/>
  <c r="I15" i="5"/>
  <c r="I6" i="5"/>
  <c r="I10" i="5" l="1"/>
  <c r="K11" i="5"/>
  <c r="G29" i="1"/>
  <c r="I29" i="1" s="1"/>
  <c r="I27" i="1"/>
  <c r="K15" i="5"/>
  <c r="I17" i="5"/>
  <c r="K17" i="5" s="1"/>
  <c r="I21" i="5"/>
  <c r="K21" i="5" s="1"/>
  <c r="K6" i="5"/>
  <c r="K5" i="5"/>
  <c r="I7" i="5"/>
  <c r="K7" i="5" s="1"/>
  <c r="I28" i="1"/>
  <c r="I12" i="5" l="1"/>
  <c r="K12" i="5" s="1"/>
  <c r="K10" i="5"/>
  <c r="I20" i="5"/>
  <c r="K20" i="5" l="1"/>
  <c r="I22" i="5"/>
  <c r="K22" i="5" s="1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<sst xmlns="http://schemas.openxmlformats.org/spreadsheetml/2006/main" count="533" uniqueCount="218">
  <si>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</si>
  <si>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</si>
  <si>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</si>
  <si>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</si>
  <si>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</si>
  <si>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</si>
  <si>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</si>
  <si>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</si>
  <si>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</si>
  <si>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</si>
  <si>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</si>
  <si>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</si>
  <si>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</si>
  <si>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</si>
  <si>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</si>
  <si>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</si>
  <si>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</si>
  <si>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</si>
  <si>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</si>
  <si>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</si>
  <si>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</si>
  <si>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</si>
  <si>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</si>
  <si>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</si>
  <si>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</si>
  <si>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</si>
  <si>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</si>
  <si>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</si>
  <si>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</si>
  <si>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</si>
  <si>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</si>
  <si>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</si>
  <si>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</si>
  <si>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</si>
  <si>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</si>
  <si>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</si>
  <si>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</si>
  <si>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</si>
  <si>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</si>
  <si>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</si>
  <si>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</si>
  <si>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</si>
  <si>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</si>
  <si>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</si>
  <si>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</si>
  <si>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</si>
  <si>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</si>
  <si>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</si>
  <si>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</si>
  <si>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</si>
  <si>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</si>
  <si>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</si>
  <si>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</si>
  <si>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</si>
  <si>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</si>
  <si>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</si>
  <si>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</si>
  <si>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</si>
  <si>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</si>
  <si>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</si>
  <si>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</si>
  <si>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</si>
  <si>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</si>
  <si>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</si>
  <si>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</si>
  <si>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</si>
  <si>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</si>
  <si>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</si>
  <si>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</si>
  <si>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</si>
  <si>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</si>
  <si>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</si>
  <si>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</si>
  <si>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</si>
  <si>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</si>
  <si>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</si>
  <si>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</si>
  <si>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</si>
  <si>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</si>
  <si>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</si>
  <si>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</si>
  <si>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</si>
  <si>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</si>
  <si>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</si>
  <si>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</si>
  <si>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</si>
  <si>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</si>
  <si>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</si>
  <si>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</si>
  <si>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</si>
  <si>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</si>
  <si>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</si>
  <si>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</si>
  <si>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</si>
  <si>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</si>
  <si>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</si>
  <si>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</si>
  <si>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</si>
  <si>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</si>
  <si>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</si>
  <si>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</si>
  <si>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</si>
  <si>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</si>
  <si>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</si>
  <si>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</si>
  <si>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</si>
  <si>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</si>
  <si>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</si>
  <si>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</si>
  <si>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</si>
  <si>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</si>
  <si>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</si>
  <si>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</si>
  <si>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</si>
  <si>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</si>
  <si>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</si>
  <si>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</si>
  <si>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</si>
  <si>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</si>
  <si>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</si>
  <si>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</si>
  <si>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</si>
  <si>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</si>
  <si>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</si>
  <si>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</si>
  <si>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</si>
  <si>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</si>
  <si>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</si>
  <si>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</si>
  <si>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</si>
  <si>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</si>
  <si>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</si>
  <si>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</si>
  <si>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</si>
  <si>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</si>
  <si>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</si>
  <si>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</si>
  <si>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</si>
  <si>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</si>
  <si>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</si>
  <si>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</si>
  <si>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</si>
  <si>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</si>
  <si>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</si>
  <si>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</si>
  <si>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</si>
  <si>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</si>
  <si>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</si>
  <si>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</si>
  <si>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</si>
  <si>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</si>
  <si>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</si>
  <si>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</si>
  <si>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</si>
  <si>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</si>
  <si>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</si>
  <si>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</si>
  <si>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</si>
  <si>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</si>
  <si>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</si>
  <si>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</si>
  <si>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</si>
  <si>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</si>
  <si>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</si>
  <si>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</si>
  <si>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</si>
  <si>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</si>
  <si>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</si>
  <si>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</si>
  <si>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</si>
  <si>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</si>
  <si>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</si>
  <si>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</si>
  <si>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</si>
  <si>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</si>
  <si>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</si>
  <si>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</si>
  <si>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</si>
  <si>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</si>
  <si>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</si>
  <si>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</si>
  <si>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</si>
  <si>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</si>
  <si>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</si>
  <si>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</si>
  <si>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</si>
  <si>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</si>
  <si>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</si>
  <si>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</si>
  <si>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</si>
  <si>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</si>
  <si>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</si>
  <si>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</si>
  <si>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</si>
  <si>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</si>
  <si>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</si>
  <si>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</si>
  <si>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</si>
  <si>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</si>
  <si>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</si>
  <si>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</si>
  <si>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</si>
  <si>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</si>
  <si>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</si>
  <si>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</si>
  <si>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</si>
  <si>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</si>
  <si>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</si>
  <si>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</si>
  <si>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</si>
  <si>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</si>
  <si>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</si>
  <si>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</si>
  <si>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</si>
  <si>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</si>
  <si>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June 2013</t>
  </si>
  <si>
    <t>Condor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</si>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</sst>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>
        <row r="5">
          <cell r="D5">
            <v>2125878</v>
          </cell>
          <cell r="G5">
            <v>11148631</v>
          </cell>
        </row>
        <row r="6">
          <cell r="D6">
            <v>900907</v>
          </cell>
          <cell r="G6">
            <v>4721738</v>
          </cell>
        </row>
        <row r="7">
          <cell r="D7">
            <v>0</v>
          </cell>
          <cell r="G7">
            <v>3957</v>
          </cell>
        </row>
        <row r="10">
          <cell r="D10">
            <v>102610</v>
          </cell>
          <cell r="G10">
            <v>549612</v>
          </cell>
        </row>
        <row r="16">
          <cell r="D16">
            <v>16826</v>
          </cell>
          <cell r="G16">
            <v>93839</v>
          </cell>
        </row>
        <row r="17">
          <cell r="D17">
            <v>18160</v>
          </cell>
          <cell r="G17">
            <v>100497</v>
          </cell>
        </row>
        <row r="18">
          <cell r="D18">
            <v>0</v>
          </cell>
          <cell r="G18">
            <v>42</v>
          </cell>
        </row>
        <row r="19">
          <cell r="D19">
            <v>951</v>
          </cell>
          <cell r="G19">
            <v>5616</v>
          </cell>
        </row>
        <row r="20">
          <cell r="D20">
            <v>1820</v>
          </cell>
          <cell r="G20">
            <v>10486</v>
          </cell>
        </row>
        <row r="21">
          <cell r="D21">
            <v>102</v>
          </cell>
          <cell r="G21">
            <v>634</v>
          </cell>
        </row>
        <row r="27">
          <cell r="D27">
            <v>14746.908009469789</v>
          </cell>
          <cell r="G27">
            <v>90783.566773056853</v>
          </cell>
        </row>
        <row r="28">
          <cell r="D28">
            <v>902.92958997702999</v>
          </cell>
          <cell r="G28">
            <v>7335.7729525780705</v>
          </cell>
        </row>
        <row r="32">
          <cell r="B32">
            <v>780589</v>
          </cell>
          <cell r="D32">
            <v>4431839</v>
          </cell>
        </row>
        <row r="33">
          <cell r="B33">
            <v>729167</v>
          </cell>
          <cell r="D33">
            <v>3483693</v>
          </cell>
        </row>
      </sheetData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>
        <row r="5">
          <cell r="F5">
            <v>7291.1929872697301</v>
          </cell>
          <cell r="I5">
            <v>45466.823213463191</v>
          </cell>
        </row>
        <row r="6">
          <cell r="F6">
            <v>351.76587245106998</v>
          </cell>
          <cell r="I6">
            <v>2662.0383651323</v>
          </cell>
        </row>
        <row r="10">
          <cell r="F10">
            <v>7455.71502220006</v>
          </cell>
          <cell r="I10">
            <v>45316.743559593669</v>
          </cell>
        </row>
        <row r="11">
          <cell r="F11">
            <v>551.16371752596001</v>
          </cell>
          <cell r="I11">
            <v>4673.7345874457706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14746.908009469789</v>
          </cell>
        </row>
        <row r="21">
          <cell r="F21">
            <v>902.92958997702999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>
        <row r="5">
          <cell r="G5">
            <v>9676655</v>
          </cell>
        </row>
        <row r="6">
          <cell r="G6">
            <v>3887418</v>
          </cell>
        </row>
        <row r="7">
          <cell r="G7">
            <v>2567</v>
          </cell>
        </row>
        <row r="10">
          <cell r="G10">
            <v>432090</v>
          </cell>
        </row>
        <row r="16">
          <cell r="G16">
            <v>75456</v>
          </cell>
        </row>
        <row r="17">
          <cell r="G17">
            <v>78545</v>
          </cell>
        </row>
        <row r="18">
          <cell r="G18">
            <v>41</v>
          </cell>
        </row>
        <row r="19">
          <cell r="G19">
            <v>5004</v>
          </cell>
        </row>
        <row r="20">
          <cell r="G20">
            <v>9753</v>
          </cell>
        </row>
        <row r="21">
          <cell r="G21">
            <v>542</v>
          </cell>
        </row>
        <row r="27">
          <cell r="G27">
            <v>75912.484223560605</v>
          </cell>
        </row>
        <row r="28">
          <cell r="G28">
            <v>7246.744110156319</v>
          </cell>
        </row>
        <row r="32">
          <cell r="D32">
            <v>3864094</v>
          </cell>
        </row>
        <row r="33">
          <cell r="D33">
            <v>2886935</v>
          </cell>
        </row>
      </sheetData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L25">
            <v>1489634</v>
          </cell>
          <cell r="M25">
            <v>1461317</v>
          </cell>
        </row>
      </sheetData>
      <sheetData sheetId="6"/>
      <sheetData sheetId="7">
        <row r="5">
          <cell r="I5">
            <v>35651.667646451009</v>
          </cell>
        </row>
        <row r="6">
          <cell r="I6">
            <v>3016.0912503129098</v>
          </cell>
        </row>
        <row r="10">
          <cell r="I10">
            <v>40260.816577109588</v>
          </cell>
        </row>
        <row r="11">
          <cell r="I11">
            <v>4230.6528598434106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</row>
        <row r="16">
          <cell r="DO16">
            <v>29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</row>
        <row r="32">
          <cell r="DO32">
            <v>7177</v>
          </cell>
        </row>
        <row r="33">
          <cell r="DO33">
            <v>6962</v>
          </cell>
        </row>
        <row r="37">
          <cell r="DO37">
            <v>30</v>
          </cell>
        </row>
        <row r="38">
          <cell r="DO38">
            <v>20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</row>
        <row r="47">
          <cell r="DO47">
            <v>84878</v>
          </cell>
        </row>
        <row r="52">
          <cell r="DO52">
            <v>122738</v>
          </cell>
        </row>
      </sheetData>
      <sheetData sheetId="3">
        <row r="4">
          <cell r="DO4">
            <v>95</v>
          </cell>
        </row>
        <row r="5">
          <cell r="DO5">
            <v>95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</row>
        <row r="22">
          <cell r="DO22">
            <v>10186</v>
          </cell>
        </row>
        <row r="23">
          <cell r="DO23">
            <v>10329</v>
          </cell>
        </row>
        <row r="27">
          <cell r="DO27">
            <v>139</v>
          </cell>
        </row>
        <row r="28">
          <cell r="DO28">
            <v>115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</row>
      </sheetData>
      <sheetData sheetId="4">
        <row r="4">
          <cell r="DO4">
            <v>61</v>
          </cell>
        </row>
        <row r="5">
          <cell r="DO5">
            <v>61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</row>
        <row r="22">
          <cell r="DO22">
            <v>9206</v>
          </cell>
        </row>
        <row r="23">
          <cell r="DO23">
            <v>9366</v>
          </cell>
        </row>
        <row r="27">
          <cell r="DO27">
            <v>355</v>
          </cell>
        </row>
        <row r="28">
          <cell r="DO28">
            <v>401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</row>
        <row r="47">
          <cell r="DO47">
            <v>51353</v>
          </cell>
        </row>
        <row r="52">
          <cell r="DO52">
            <v>9163</v>
          </cell>
        </row>
      </sheetData>
      <sheetData sheetId="5"/>
      <sheetData sheetId="6">
        <row r="4">
          <cell r="DO4">
            <v>213</v>
          </cell>
        </row>
        <row r="5">
          <cell r="DO5">
            <v>213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</row>
        <row r="22">
          <cell r="DO22">
            <v>27643</v>
          </cell>
        </row>
        <row r="23">
          <cell r="DO23">
            <v>26655</v>
          </cell>
        </row>
        <row r="27">
          <cell r="DO27">
            <v>1120</v>
          </cell>
        </row>
        <row r="28">
          <cell r="DO28">
            <v>1205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</row>
        <row r="47">
          <cell r="DO47">
            <v>31931</v>
          </cell>
        </row>
        <row r="52">
          <cell r="DO52">
            <v>14292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</sheetData>
      <sheetData sheetId="8">
        <row r="15">
          <cell r="DO15">
            <v>2</v>
          </cell>
        </row>
        <row r="16">
          <cell r="DO16">
            <v>2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</row>
        <row r="32">
          <cell r="DO32">
            <v>442</v>
          </cell>
        </row>
        <row r="33">
          <cell r="DO33">
            <v>468</v>
          </cell>
        </row>
        <row r="37">
          <cell r="DO37">
            <v>5</v>
          </cell>
        </row>
        <row r="38">
          <cell r="DO38">
            <v>3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</row>
      </sheetData>
      <sheetData sheetId="9">
        <row r="4">
          <cell r="DO4">
            <v>5475</v>
          </cell>
        </row>
        <row r="5">
          <cell r="DO5">
            <v>5462</v>
          </cell>
        </row>
        <row r="8">
          <cell r="DO8">
            <v>6</v>
          </cell>
        </row>
        <row r="9">
          <cell r="DO9">
            <v>12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</row>
        <row r="22">
          <cell r="DO22">
            <v>780125</v>
          </cell>
        </row>
        <row r="23">
          <cell r="DO23">
            <v>771242</v>
          </cell>
        </row>
        <row r="27">
          <cell r="DO27">
            <v>26968</v>
          </cell>
        </row>
        <row r="28">
          <cell r="DO28">
            <v>26402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</row>
        <row r="47">
          <cell r="DO47">
            <v>3911286</v>
          </cell>
        </row>
        <row r="48">
          <cell r="DO48">
            <v>693354</v>
          </cell>
        </row>
        <row r="52">
          <cell r="DO52">
            <v>3869444</v>
          </cell>
        </row>
        <row r="53">
          <cell r="DO53">
            <v>43484</v>
          </cell>
        </row>
        <row r="70">
          <cell r="DO70">
            <v>318523</v>
          </cell>
        </row>
        <row r="71">
          <cell r="DO71">
            <v>452719</v>
          </cell>
        </row>
        <row r="73">
          <cell r="DO73">
            <v>25475</v>
          </cell>
        </row>
        <row r="74">
          <cell r="DO74">
            <v>36207</v>
          </cell>
        </row>
      </sheetData>
      <sheetData sheetId="10">
        <row r="4">
          <cell r="DO4">
            <v>134</v>
          </cell>
        </row>
        <row r="5">
          <cell r="DO5">
            <v>134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</row>
        <row r="22">
          <cell r="DO22">
            <v>19802</v>
          </cell>
        </row>
        <row r="23">
          <cell r="DO23">
            <v>19556</v>
          </cell>
        </row>
        <row r="27">
          <cell r="DO27">
            <v>294</v>
          </cell>
        </row>
        <row r="28">
          <cell r="DO28">
            <v>315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</row>
      </sheetData>
      <sheetData sheetId="11">
        <row r="4">
          <cell r="DO4">
            <v>61</v>
          </cell>
        </row>
        <row r="5">
          <cell r="DO5">
            <v>61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</row>
        <row r="22">
          <cell r="DO22">
            <v>405</v>
          </cell>
        </row>
        <row r="23">
          <cell r="DO23">
            <v>422</v>
          </cell>
        </row>
        <row r="27">
          <cell r="DO27">
            <v>21</v>
          </cell>
        </row>
        <row r="28">
          <cell r="DO28">
            <v>15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</row>
        <row r="47">
          <cell r="DO47">
            <v>58</v>
          </cell>
        </row>
      </sheetData>
      <sheetData sheetId="12">
        <row r="15">
          <cell r="DN15">
            <v>13</v>
          </cell>
          <cell r="DO15">
            <v>29</v>
          </cell>
        </row>
        <row r="16">
          <cell r="DN16">
            <v>13</v>
          </cell>
          <cell r="DO16">
            <v>29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</row>
        <row r="32">
          <cell r="DN32">
            <v>1353</v>
          </cell>
          <cell r="DO32">
            <v>4569</v>
          </cell>
        </row>
        <row r="33">
          <cell r="DN33">
            <v>2209</v>
          </cell>
          <cell r="DO33">
            <v>4774</v>
          </cell>
        </row>
        <row r="37">
          <cell r="DN37">
            <v>48</v>
          </cell>
          <cell r="DO37">
            <v>29</v>
          </cell>
        </row>
        <row r="38">
          <cell r="DN38">
            <v>42</v>
          </cell>
          <cell r="DO38">
            <v>35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</row>
        <row r="47">
          <cell r="DO47">
            <v>2596</v>
          </cell>
        </row>
        <row r="52">
          <cell r="DO52">
            <v>3025</v>
          </cell>
        </row>
      </sheetData>
      <sheetData sheetId="13"/>
      <sheetData sheetId="14">
        <row r="4">
          <cell r="DO4">
            <v>645</v>
          </cell>
        </row>
        <row r="5">
          <cell r="DO5">
            <v>647</v>
          </cell>
        </row>
        <row r="8">
          <cell r="DO8">
            <v>1</v>
          </cell>
        </row>
        <row r="9">
          <cell r="DO9">
            <v>3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</row>
        <row r="22">
          <cell r="DO22">
            <v>78686</v>
          </cell>
        </row>
        <row r="23">
          <cell r="DO23">
            <v>76017</v>
          </cell>
        </row>
        <row r="27">
          <cell r="DO27">
            <v>1262</v>
          </cell>
        </row>
        <row r="28">
          <cell r="DO28">
            <v>1344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</row>
        <row r="47">
          <cell r="DO47">
            <v>201501</v>
          </cell>
        </row>
        <row r="52">
          <cell r="DO52">
            <v>76975</v>
          </cell>
        </row>
        <row r="70">
          <cell r="DO70">
            <v>74497</v>
          </cell>
        </row>
        <row r="71">
          <cell r="DO71">
            <v>1520</v>
          </cell>
        </row>
      </sheetData>
      <sheetData sheetId="15">
        <row r="4">
          <cell r="DO4">
            <v>294</v>
          </cell>
        </row>
        <row r="5">
          <cell r="DO5">
            <v>294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</row>
        <row r="22">
          <cell r="DO22">
            <v>40615</v>
          </cell>
        </row>
        <row r="23">
          <cell r="DO23">
            <v>38067</v>
          </cell>
        </row>
        <row r="27">
          <cell r="DO27">
            <v>294</v>
          </cell>
        </row>
        <row r="28">
          <cell r="DO28">
            <v>369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</row>
      </sheetData>
      <sheetData sheetId="16">
        <row r="4">
          <cell r="DO4">
            <v>563</v>
          </cell>
        </row>
        <row r="5">
          <cell r="DO5">
            <v>564</v>
          </cell>
        </row>
        <row r="8">
          <cell r="DO8">
            <v>63</v>
          </cell>
        </row>
        <row r="9">
          <cell r="DO9">
            <v>62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</row>
        <row r="22">
          <cell r="DO22">
            <v>65015</v>
          </cell>
        </row>
        <row r="23">
          <cell r="DO23">
            <v>57102</v>
          </cell>
        </row>
        <row r="27">
          <cell r="DO27">
            <v>1647</v>
          </cell>
        </row>
        <row r="28">
          <cell r="DO28">
            <v>1529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</row>
        <row r="47">
          <cell r="DO47">
            <v>106318</v>
          </cell>
        </row>
        <row r="48">
          <cell r="DO48">
            <v>41570</v>
          </cell>
        </row>
        <row r="52">
          <cell r="DO52">
            <v>7341</v>
          </cell>
        </row>
        <row r="53">
          <cell r="DO53">
            <v>211562</v>
          </cell>
        </row>
        <row r="70">
          <cell r="DO70">
            <v>50681</v>
          </cell>
        </row>
        <row r="71">
          <cell r="DO71">
            <v>6421</v>
          </cell>
        </row>
        <row r="73">
          <cell r="DO73">
            <v>1779</v>
          </cell>
        </row>
        <row r="74">
          <cell r="DO74">
            <v>0</v>
          </cell>
        </row>
      </sheetData>
      <sheetData sheetId="17">
        <row r="4">
          <cell r="DO4">
            <v>103</v>
          </cell>
        </row>
        <row r="5">
          <cell r="DO5">
            <v>103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</row>
        <row r="22">
          <cell r="DO22">
            <v>10718</v>
          </cell>
        </row>
        <row r="23">
          <cell r="DO23">
            <v>10243</v>
          </cell>
        </row>
        <row r="27">
          <cell r="DO27">
            <v>399</v>
          </cell>
        </row>
        <row r="28">
          <cell r="DO28">
            <v>480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</row>
        <row r="47">
          <cell r="DO47">
            <v>52886</v>
          </cell>
        </row>
        <row r="48">
          <cell r="DO48">
            <v>99358</v>
          </cell>
        </row>
        <row r="52">
          <cell r="DO52">
            <v>23607</v>
          </cell>
        </row>
        <row r="53">
          <cell r="DO53">
            <v>65892</v>
          </cell>
        </row>
      </sheetData>
      <sheetData sheetId="18">
        <row r="4">
          <cell r="DO4">
            <v>356</v>
          </cell>
        </row>
        <row r="5">
          <cell r="DO5">
            <v>350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</row>
        <row r="22">
          <cell r="DO22">
            <v>46789</v>
          </cell>
        </row>
        <row r="23">
          <cell r="DO23">
            <v>51140</v>
          </cell>
        </row>
        <row r="27">
          <cell r="DO27">
            <v>1305</v>
          </cell>
        </row>
        <row r="28">
          <cell r="DO28">
            <v>1686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</row>
        <row r="47">
          <cell r="DO47">
            <v>30366</v>
          </cell>
        </row>
        <row r="48">
          <cell r="DO48">
            <v>19583</v>
          </cell>
        </row>
        <row r="52">
          <cell r="DO52">
            <v>12753</v>
          </cell>
        </row>
        <row r="53">
          <cell r="DO53">
            <v>38318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</row>
      </sheetData>
      <sheetData sheetId="20">
        <row r="4">
          <cell r="DO4">
            <v>10</v>
          </cell>
        </row>
        <row r="5">
          <cell r="DO5">
            <v>8</v>
          </cell>
        </row>
        <row r="9">
          <cell r="DO9">
            <v>2</v>
          </cell>
        </row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</row>
        <row r="22">
          <cell r="DO22">
            <v>446</v>
          </cell>
        </row>
        <row r="23">
          <cell r="DO23">
            <v>356</v>
          </cell>
        </row>
        <row r="27">
          <cell r="DO27">
            <v>23</v>
          </cell>
        </row>
        <row r="28">
          <cell r="DO28">
            <v>13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</row>
        <row r="47">
          <cell r="DO47">
            <v>2</v>
          </cell>
        </row>
      </sheetData>
      <sheetData sheetId="21">
        <row r="4">
          <cell r="DO4">
            <v>214</v>
          </cell>
        </row>
        <row r="5">
          <cell r="DO5">
            <v>214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</row>
        <row r="22">
          <cell r="DO22">
            <v>14461</v>
          </cell>
        </row>
        <row r="23">
          <cell r="DO23">
            <v>14206</v>
          </cell>
        </row>
        <row r="27">
          <cell r="DO27">
            <v>100</v>
          </cell>
        </row>
        <row r="28">
          <cell r="DO28">
            <v>54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</row>
      </sheetData>
      <sheetData sheetId="22">
        <row r="4">
          <cell r="DO4">
            <v>526</v>
          </cell>
        </row>
        <row r="5">
          <cell r="DO5">
            <v>528</v>
          </cell>
        </row>
        <row r="8">
          <cell r="DO8">
            <v>1</v>
          </cell>
        </row>
        <row r="15">
          <cell r="DN15">
            <v>1</v>
          </cell>
        </row>
        <row r="16">
          <cell r="DN16">
            <v>2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</row>
        <row r="22">
          <cell r="DO22">
            <v>32271</v>
          </cell>
        </row>
        <row r="23">
          <cell r="DO23">
            <v>31753</v>
          </cell>
        </row>
        <row r="27">
          <cell r="DO27">
            <v>826</v>
          </cell>
        </row>
        <row r="28">
          <cell r="DO28">
            <v>905</v>
          </cell>
        </row>
        <row r="33">
          <cell r="DN33">
            <v>96</v>
          </cell>
        </row>
        <row r="38">
          <cell r="DN38">
            <v>4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</row>
        <row r="70">
          <cell r="DO70">
            <v>11590</v>
          </cell>
        </row>
        <row r="71">
          <cell r="DO71">
            <v>20163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</row>
      </sheetData>
      <sheetData sheetId="25"/>
      <sheetData sheetId="26">
        <row r="4">
          <cell r="DO4">
            <v>883</v>
          </cell>
        </row>
        <row r="5">
          <cell r="DO5">
            <v>883</v>
          </cell>
        </row>
        <row r="9">
          <cell r="DO9">
            <v>3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</row>
        <row r="22">
          <cell r="DO22">
            <v>57336</v>
          </cell>
        </row>
        <row r="23">
          <cell r="DO23">
            <v>57199</v>
          </cell>
        </row>
        <row r="27">
          <cell r="DO27">
            <v>1930</v>
          </cell>
        </row>
        <row r="28">
          <cell r="DO28">
            <v>1848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</row>
        <row r="70">
          <cell r="BG70">
            <v>26242</v>
          </cell>
          <cell r="DO70">
            <v>21907</v>
          </cell>
        </row>
        <row r="71">
          <cell r="BG71">
            <v>44562</v>
          </cell>
          <cell r="DO71">
            <v>35292</v>
          </cell>
        </row>
        <row r="73">
          <cell r="BG73">
            <v>1540</v>
          </cell>
          <cell r="DO73">
            <v>2456</v>
          </cell>
        </row>
        <row r="74">
          <cell r="BG74">
            <v>2614</v>
          </cell>
          <cell r="DO74">
            <v>3956</v>
          </cell>
        </row>
      </sheetData>
      <sheetData sheetId="27"/>
      <sheetData sheetId="28">
        <row r="4">
          <cell r="DO4">
            <v>196</v>
          </cell>
        </row>
        <row r="5">
          <cell r="DO5">
            <v>196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</row>
        <row r="22">
          <cell r="DO22">
            <v>8860</v>
          </cell>
        </row>
        <row r="23">
          <cell r="DO23">
            <v>8081</v>
          </cell>
        </row>
        <row r="27">
          <cell r="DO27">
            <v>295</v>
          </cell>
        </row>
        <row r="28">
          <cell r="DO28">
            <v>296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</row>
      </sheetData>
      <sheetData sheetId="31">
        <row r="4">
          <cell r="DO4">
            <v>117</v>
          </cell>
        </row>
        <row r="5">
          <cell r="DO5">
            <v>117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</row>
        <row r="22">
          <cell r="DO22">
            <v>7598</v>
          </cell>
        </row>
        <row r="23">
          <cell r="DO23">
            <v>7008</v>
          </cell>
        </row>
        <row r="27">
          <cell r="DO27">
            <v>232</v>
          </cell>
        </row>
        <row r="28">
          <cell r="DO28">
            <v>229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</row>
      </sheetData>
      <sheetData sheetId="32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</row>
      </sheetData>
      <sheetData sheetId="33">
        <row r="4">
          <cell r="DO4">
            <v>64</v>
          </cell>
        </row>
        <row r="5">
          <cell r="DO5">
            <v>64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</row>
        <row r="22">
          <cell r="DO22">
            <v>4051</v>
          </cell>
        </row>
        <row r="23">
          <cell r="DO23">
            <v>4343</v>
          </cell>
        </row>
        <row r="27">
          <cell r="DO27">
            <v>196</v>
          </cell>
        </row>
        <row r="28">
          <cell r="DO28">
            <v>52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</sheetData>
      <sheetData sheetId="36">
        <row r="4">
          <cell r="DO4">
            <v>2920</v>
          </cell>
        </row>
        <row r="5">
          <cell r="DO5">
            <v>2916</v>
          </cell>
        </row>
        <row r="8">
          <cell r="DO8">
            <v>1</v>
          </cell>
        </row>
        <row r="9">
          <cell r="DO9">
            <v>9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</row>
        <row r="22">
          <cell r="DO22">
            <v>146940</v>
          </cell>
        </row>
        <row r="23">
          <cell r="DO23">
            <v>144794</v>
          </cell>
        </row>
        <row r="27">
          <cell r="DO27">
            <v>4489</v>
          </cell>
        </row>
        <row r="28">
          <cell r="DO28">
            <v>4514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</row>
        <row r="70">
          <cell r="DO70">
            <v>42383</v>
          </cell>
        </row>
        <row r="71">
          <cell r="DO71">
            <v>102411</v>
          </cell>
        </row>
        <row r="73">
          <cell r="DO73">
            <v>4144</v>
          </cell>
        </row>
        <row r="74">
          <cell r="DO74">
            <v>10273</v>
          </cell>
        </row>
      </sheetData>
      <sheetData sheetId="37"/>
      <sheetData sheetId="38">
        <row r="4">
          <cell r="DO4">
            <v>87</v>
          </cell>
        </row>
        <row r="5">
          <cell r="DO5">
            <v>86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</row>
        <row r="22">
          <cell r="DO22">
            <v>5966</v>
          </cell>
        </row>
        <row r="23">
          <cell r="DO23">
            <v>5797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</row>
      </sheetData>
      <sheetData sheetId="39">
        <row r="4">
          <cell r="DO4">
            <v>270</v>
          </cell>
        </row>
        <row r="5">
          <cell r="DO5">
            <v>270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</row>
        <row r="22">
          <cell r="DO22">
            <v>17427</v>
          </cell>
        </row>
        <row r="23">
          <cell r="DO23">
            <v>15928</v>
          </cell>
        </row>
        <row r="27">
          <cell r="DO27">
            <v>633</v>
          </cell>
        </row>
        <row r="28">
          <cell r="DO28">
            <v>665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</row>
      </sheetData>
      <sheetData sheetId="40">
        <row r="4">
          <cell r="DO4">
            <v>1752</v>
          </cell>
        </row>
        <row r="5">
          <cell r="DO5">
            <v>1746</v>
          </cell>
        </row>
        <row r="8">
          <cell r="DO8">
            <v>2</v>
          </cell>
        </row>
        <row r="9">
          <cell r="DO9">
            <v>7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</row>
        <row r="22">
          <cell r="DO22">
            <v>72615</v>
          </cell>
        </row>
        <row r="23">
          <cell r="DO23">
            <v>75094</v>
          </cell>
        </row>
        <row r="27">
          <cell r="DO27">
            <v>2758</v>
          </cell>
        </row>
        <row r="28">
          <cell r="DO28">
            <v>2804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</row>
        <row r="70">
          <cell r="DO70">
            <v>16220</v>
          </cell>
        </row>
        <row r="71">
          <cell r="DO71">
            <v>58874</v>
          </cell>
        </row>
        <row r="73">
          <cell r="DO73">
            <v>763</v>
          </cell>
        </row>
        <row r="74">
          <cell r="DO74">
            <v>2768</v>
          </cell>
        </row>
      </sheetData>
      <sheetData sheetId="41">
        <row r="4">
          <cell r="DO4">
            <v>160</v>
          </cell>
        </row>
        <row r="5">
          <cell r="DO5">
            <v>160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</row>
        <row r="22">
          <cell r="DO22">
            <v>10472</v>
          </cell>
        </row>
        <row r="23">
          <cell r="DO23">
            <v>9904</v>
          </cell>
        </row>
        <row r="27">
          <cell r="DO27">
            <v>349</v>
          </cell>
        </row>
        <row r="28">
          <cell r="DO28">
            <v>361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</row>
        <row r="70">
          <cell r="DO70">
            <v>3397</v>
          </cell>
        </row>
        <row r="71">
          <cell r="DO71">
            <v>6507</v>
          </cell>
        </row>
      </sheetData>
      <sheetData sheetId="42">
        <row r="4">
          <cell r="DO4">
            <v>199</v>
          </cell>
        </row>
        <row r="5">
          <cell r="DO5">
            <v>199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</row>
        <row r="22">
          <cell r="DO22">
            <v>12584</v>
          </cell>
        </row>
        <row r="23">
          <cell r="DO23">
            <v>12829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O4">
            <v>2</v>
          </cell>
        </row>
        <row r="5">
          <cell r="DO5">
            <v>2</v>
          </cell>
        </row>
        <row r="22">
          <cell r="DO22">
            <v>53</v>
          </cell>
        </row>
        <row r="23">
          <cell r="DO23">
            <v>50</v>
          </cell>
        </row>
      </sheetData>
      <sheetData sheetId="50"/>
      <sheetData sheetId="51">
        <row r="4">
          <cell r="DO4">
            <v>21</v>
          </cell>
        </row>
        <row r="5">
          <cell r="DO5">
            <v>21</v>
          </cell>
        </row>
        <row r="47">
          <cell r="DO47">
            <v>684037</v>
          </cell>
        </row>
        <row r="52">
          <cell r="DO52">
            <v>455131</v>
          </cell>
        </row>
      </sheetData>
      <sheetData sheetId="52">
        <row r="15">
          <cell r="DO15">
            <v>20</v>
          </cell>
        </row>
        <row r="16">
          <cell r="DO16">
            <v>20</v>
          </cell>
        </row>
        <row r="47">
          <cell r="DO47">
            <v>13063</v>
          </cell>
        </row>
        <row r="52">
          <cell r="DO52">
            <v>56759</v>
          </cell>
        </row>
      </sheetData>
      <sheetData sheetId="53">
        <row r="4">
          <cell r="DO4">
            <v>88</v>
          </cell>
        </row>
        <row r="5">
          <cell r="DO5">
            <v>88</v>
          </cell>
        </row>
        <row r="47">
          <cell r="DO47">
            <v>5622288</v>
          </cell>
        </row>
        <row r="52">
          <cell r="DO52">
            <v>8154459</v>
          </cell>
        </row>
      </sheetData>
      <sheetData sheetId="54">
        <row r="4">
          <cell r="DO4">
            <v>90</v>
          </cell>
        </row>
        <row r="5">
          <cell r="DO5">
            <v>90</v>
          </cell>
        </row>
        <row r="47">
          <cell r="DO47">
            <v>4423383</v>
          </cell>
        </row>
        <row r="48">
          <cell r="DO48">
            <v>7453</v>
          </cell>
        </row>
        <row r="52">
          <cell r="DO52">
            <v>4133825</v>
          </cell>
        </row>
        <row r="53">
          <cell r="DO53">
            <v>168353</v>
          </cell>
        </row>
      </sheetData>
      <sheetData sheetId="55"/>
      <sheetData sheetId="56"/>
      <sheetData sheetId="57"/>
      <sheetData sheetId="58">
        <row r="4">
          <cell r="DO4">
            <v>222</v>
          </cell>
        </row>
        <row r="5">
          <cell r="DO5">
            <v>222</v>
          </cell>
        </row>
      </sheetData>
      <sheetData sheetId="59"/>
      <sheetData sheetId="60">
        <row r="4">
          <cell r="DO4">
            <v>20</v>
          </cell>
        </row>
        <row r="5">
          <cell r="DO5">
            <v>20</v>
          </cell>
        </row>
        <row r="47">
          <cell r="DO47">
            <v>135239</v>
          </cell>
        </row>
        <row r="52">
          <cell r="DO52">
            <v>40369</v>
          </cell>
        </row>
      </sheetData>
      <sheetData sheetId="61">
        <row r="4">
          <cell r="DO4">
            <v>26</v>
          </cell>
        </row>
        <row r="5">
          <cell r="DO5">
            <v>26</v>
          </cell>
        </row>
        <row r="47">
          <cell r="DO47">
            <v>35619</v>
          </cell>
        </row>
        <row r="52">
          <cell r="DO52">
            <v>42771</v>
          </cell>
        </row>
      </sheetData>
      <sheetData sheetId="62">
        <row r="4">
          <cell r="DO4">
            <v>51</v>
          </cell>
        </row>
        <row r="5">
          <cell r="DO5">
            <v>47</v>
          </cell>
        </row>
      </sheetData>
      <sheetData sheetId="63">
        <row r="4">
          <cell r="DO4">
            <v>999</v>
          </cell>
        </row>
        <row r="5">
          <cell r="DO5">
            <v>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34" sqref="B3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41791</v>
      </c>
      <c r="B2" s="17"/>
      <c r="C2" s="17"/>
      <c r="D2" s="482" t="s">
        <v>193</v>
      </c>
      <c r="E2" s="482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3"/>
      <c r="E3" s="484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1165159</v>
      </c>
      <c r="C5" s="302">
        <f>'Major Airline Stats'!J5</f>
        <v>1145804</v>
      </c>
      <c r="D5" s="5">
        <f>'Major Airline Stats'!J6</f>
        <v>2310963</v>
      </c>
      <c r="E5" s="9">
        <f>'[1]Monthly Summary'!D5</f>
        <v>2125878</v>
      </c>
      <c r="F5" s="41">
        <f>(D5-E5)/E5</f>
        <v>8.7062851207830361E-2</v>
      </c>
      <c r="G5" s="9">
        <f>+D5+'[2]Monthly Summary'!G5</f>
        <v>11987618</v>
      </c>
      <c r="H5" s="9">
        <f>'[1]Monthly Summary'!G5</f>
        <v>11148631</v>
      </c>
      <c r="I5" s="88">
        <f>(G5-H5)/H5</f>
        <v>7.525471064563892E-2</v>
      </c>
      <c r="J5" s="9"/>
    </row>
    <row r="6" spans="1:14" x14ac:dyDescent="0.2">
      <c r="A6" s="70" t="s">
        <v>5</v>
      </c>
      <c r="B6" s="300">
        <f>'Regional Major'!L5</f>
        <v>419173</v>
      </c>
      <c r="C6" s="300">
        <f>'Regional Major'!L6</f>
        <v>416308</v>
      </c>
      <c r="D6" s="5">
        <f>B6+C6</f>
        <v>835481</v>
      </c>
      <c r="E6" s="9">
        <f>'[1]Monthly Summary'!D6</f>
        <v>900907</v>
      </c>
      <c r="F6" s="41">
        <f>(D6-E6)/E6</f>
        <v>-7.2622368346566296E-2</v>
      </c>
      <c r="G6" s="9">
        <f>+D6+'[2]Monthly Summary'!G6</f>
        <v>4722899</v>
      </c>
      <c r="H6" s="9">
        <f>'[1]Monthly Summary'!G6</f>
        <v>4721738</v>
      </c>
      <c r="I6" s="88">
        <f>(G6-H6)/H6</f>
        <v>2.4588403676781729E-4</v>
      </c>
      <c r="J6" s="21"/>
      <c r="K6" s="2"/>
    </row>
    <row r="7" spans="1:14" x14ac:dyDescent="0.2">
      <c r="A7" s="70" t="s">
        <v>6</v>
      </c>
      <c r="B7" s="9">
        <f>Charter!G5</f>
        <v>53</v>
      </c>
      <c r="C7" s="301">
        <f>Charter!G6</f>
        <v>50</v>
      </c>
      <c r="D7" s="5">
        <f>B7+C7</f>
        <v>103</v>
      </c>
      <c r="E7" s="9">
        <f>'[1]Monthly Summary'!D7</f>
        <v>0</v>
      </c>
      <c r="F7" s="41" t="e">
        <f>(D7-E7)/E7</f>
        <v>#DIV/0!</v>
      </c>
      <c r="G7" s="9">
        <f>+D7+'[2]Monthly Summary'!G7</f>
        <v>2670</v>
      </c>
      <c r="H7" s="9">
        <f>'[1]Monthly Summary'!G7</f>
        <v>3957</v>
      </c>
      <c r="I7" s="88">
        <f>(G7-H7)/H7</f>
        <v>-0.32524639878695982</v>
      </c>
      <c r="J7" s="21"/>
      <c r="K7" s="2"/>
    </row>
    <row r="8" spans="1:14" x14ac:dyDescent="0.2">
      <c r="A8" s="73" t="s">
        <v>7</v>
      </c>
      <c r="B8" s="152">
        <f>SUM(B5:B7)</f>
        <v>1584385</v>
      </c>
      <c r="C8" s="152">
        <f>SUM(C5:C7)</f>
        <v>1562162</v>
      </c>
      <c r="D8" s="152">
        <f>SUM(D5:D7)</f>
        <v>3146547</v>
      </c>
      <c r="E8" s="152">
        <f>SUM(E5:E7)</f>
        <v>3026785</v>
      </c>
      <c r="F8" s="95">
        <f>(D8-E8)/E8</f>
        <v>3.9567395768116999E-2</v>
      </c>
      <c r="G8" s="152">
        <f>SUM(G5:G7)</f>
        <v>16713187</v>
      </c>
      <c r="H8" s="152">
        <f>SUM(H5:H7)</f>
        <v>15874326</v>
      </c>
      <c r="I8" s="94">
        <f>(G8-H8)/H8</f>
        <v>5.2843881371719338E-2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47418</v>
      </c>
      <c r="C10" s="303">
        <f>'Major Airline Stats'!J10+'Regional Major'!L11</f>
        <v>47388</v>
      </c>
      <c r="D10" s="124">
        <f>SUM(B10:C10)</f>
        <v>94806</v>
      </c>
      <c r="E10" s="124">
        <f>'[1]Monthly Summary'!D10</f>
        <v>102610</v>
      </c>
      <c r="F10" s="96">
        <f>(D10-E10)/E10</f>
        <v>-7.6054965402982164E-2</v>
      </c>
      <c r="G10" s="118">
        <f>+D10+'[2]Monthly Summary'!G10</f>
        <v>526896</v>
      </c>
      <c r="H10" s="124">
        <f>'[1]Monthly Summary'!G10</f>
        <v>549612</v>
      </c>
      <c r="I10" s="99">
        <f>(G10-H10)/H10</f>
        <v>-4.1330975306216024E-2</v>
      </c>
      <c r="J10" s="263"/>
    </row>
    <row r="11" spans="1:14" ht="15.75" thickBot="1" x14ac:dyDescent="0.3">
      <c r="A11" s="72" t="s">
        <v>15</v>
      </c>
      <c r="B11" s="278">
        <f>B10+B8</f>
        <v>1631803</v>
      </c>
      <c r="C11" s="278">
        <f>C10+C8</f>
        <v>1609550</v>
      </c>
      <c r="D11" s="278">
        <f>D10+D8</f>
        <v>3241353</v>
      </c>
      <c r="E11" s="278">
        <f>E10+E8</f>
        <v>3129395</v>
      </c>
      <c r="F11" s="97">
        <f>(D11-E11)/E11</f>
        <v>3.5776244290030498E-2</v>
      </c>
      <c r="G11" s="278">
        <f>G8+G10</f>
        <v>17240083</v>
      </c>
      <c r="H11" s="278">
        <f>H8+H10</f>
        <v>16423938</v>
      </c>
      <c r="I11" s="100">
        <f>(G11-H11)/H11</f>
        <v>4.9692406291353512E-2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2" t="s">
        <v>193</v>
      </c>
      <c r="E13" s="482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3"/>
      <c r="E14" s="484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8458</v>
      </c>
      <c r="C16" s="311">
        <f>'Major Airline Stats'!J16+'Major Airline Stats'!J20</f>
        <v>8455</v>
      </c>
      <c r="D16" s="49">
        <f t="shared" ref="D16:D21" si="0">SUM(B16:C16)</f>
        <v>16913</v>
      </c>
      <c r="E16" s="9">
        <f>'[1]Monthly Summary'!D16</f>
        <v>16826</v>
      </c>
      <c r="F16" s="98">
        <f t="shared" ref="F16:F22" si="1">(D16-E16)/E16</f>
        <v>5.1705693569475807E-3</v>
      </c>
      <c r="G16" s="49">
        <f>+D16+'[2]Monthly Summary'!G16</f>
        <v>92369</v>
      </c>
      <c r="H16" s="9">
        <f>'[1]Monthly Summary'!G16</f>
        <v>93839</v>
      </c>
      <c r="I16" s="261">
        <f t="shared" ref="I16:I22" si="2">(G16-H16)/H16</f>
        <v>-1.5665128571276336E-2</v>
      </c>
      <c r="N16" s="134"/>
    </row>
    <row r="17" spans="1:12" x14ac:dyDescent="0.2">
      <c r="A17" s="71" t="s">
        <v>5</v>
      </c>
      <c r="B17" s="49">
        <f>'Regional Major'!L15+'Regional Major'!L18</f>
        <v>7957</v>
      </c>
      <c r="C17" s="49">
        <f>'Regional Major'!L16+'Regional Major'!L19</f>
        <v>7960</v>
      </c>
      <c r="D17" s="49">
        <f>SUM(B17:C17)</f>
        <v>15917</v>
      </c>
      <c r="E17" s="9">
        <f>'[1]Monthly Summary'!D17</f>
        <v>18160</v>
      </c>
      <c r="F17" s="98">
        <f t="shared" si="1"/>
        <v>-0.12351321585903084</v>
      </c>
      <c r="G17" s="49">
        <f>+D17+'[2]Monthly Summary'!G17</f>
        <v>94462</v>
      </c>
      <c r="H17" s="9">
        <f>'[1]Monthly Summary'!G17</f>
        <v>100497</v>
      </c>
      <c r="I17" s="261">
        <f t="shared" si="2"/>
        <v>-6.0051543827178921E-2</v>
      </c>
    </row>
    <row r="18" spans="1:12" x14ac:dyDescent="0.2">
      <c r="A18" s="71" t="s">
        <v>10</v>
      </c>
      <c r="B18" s="49">
        <f>Charter!G10</f>
        <v>2</v>
      </c>
      <c r="C18" s="49">
        <f>Charter!G11</f>
        <v>2</v>
      </c>
      <c r="D18" s="49">
        <f t="shared" si="0"/>
        <v>4</v>
      </c>
      <c r="E18" s="9">
        <f>'[1]Monthly Summary'!D18</f>
        <v>0</v>
      </c>
      <c r="F18" s="98" t="e">
        <f t="shared" si="1"/>
        <v>#DIV/0!</v>
      </c>
      <c r="G18" s="49">
        <f>+D18+'[2]Monthly Summary'!G18</f>
        <v>45</v>
      </c>
      <c r="H18" s="9">
        <f>'[1]Monthly Summary'!G18</f>
        <v>42</v>
      </c>
      <c r="I18" s="261">
        <f t="shared" si="2"/>
        <v>7.1428571428571425E-2</v>
      </c>
    </row>
    <row r="19" spans="1:12" x14ac:dyDescent="0.2">
      <c r="A19" s="71" t="s">
        <v>11</v>
      </c>
      <c r="B19" s="49">
        <f>Cargo!M4</f>
        <v>487</v>
      </c>
      <c r="C19" s="49">
        <f>Cargo!M5</f>
        <v>487</v>
      </c>
      <c r="D19" s="49">
        <f t="shared" si="0"/>
        <v>974</v>
      </c>
      <c r="E19" s="9">
        <f>'[1]Monthly Summary'!D19</f>
        <v>951</v>
      </c>
      <c r="F19" s="98">
        <f t="shared" si="1"/>
        <v>2.4185068349106203E-2</v>
      </c>
      <c r="G19" s="49">
        <f>+D19+'[2]Monthly Summary'!G19</f>
        <v>5978</v>
      </c>
      <c r="H19" s="9">
        <f>'[1]Monthly Summary'!G19</f>
        <v>5616</v>
      </c>
      <c r="I19" s="261">
        <f t="shared" si="2"/>
        <v>6.4458689458689461E-2</v>
      </c>
    </row>
    <row r="20" spans="1:12" x14ac:dyDescent="0.2">
      <c r="A20" s="71" t="s">
        <v>172</v>
      </c>
      <c r="B20" s="49">
        <f>'[3]General Avation'!$DO$4</f>
        <v>999</v>
      </c>
      <c r="C20" s="49">
        <f>'[3]General Avation'!$DO$5</f>
        <v>999</v>
      </c>
      <c r="D20" s="49">
        <f t="shared" si="0"/>
        <v>1998</v>
      </c>
      <c r="E20" s="9">
        <f>'[1]Monthly Summary'!D20</f>
        <v>1820</v>
      </c>
      <c r="F20" s="98">
        <f t="shared" si="1"/>
        <v>9.7802197802197802E-2</v>
      </c>
      <c r="G20" s="49">
        <f>+D20+'[2]Monthly Summary'!G20</f>
        <v>11751</v>
      </c>
      <c r="H20" s="9">
        <f>'[1]Monthly Summary'!G20</f>
        <v>10486</v>
      </c>
      <c r="I20" s="261">
        <f t="shared" si="2"/>
        <v>0.12063703986267404</v>
      </c>
    </row>
    <row r="21" spans="1:12" ht="12.75" customHeight="1" x14ac:dyDescent="0.2">
      <c r="A21" s="71" t="s">
        <v>12</v>
      </c>
      <c r="B21" s="18">
        <f>'[3]Military '!$DO$4</f>
        <v>51</v>
      </c>
      <c r="C21" s="18">
        <f>'[3]Military '!$DO$5</f>
        <v>47</v>
      </c>
      <c r="D21" s="18">
        <f t="shared" si="0"/>
        <v>98</v>
      </c>
      <c r="E21" s="124">
        <f>'[1]Monthly Summary'!D21</f>
        <v>102</v>
      </c>
      <c r="F21" s="259">
        <f t="shared" si="1"/>
        <v>-3.9215686274509803E-2</v>
      </c>
      <c r="G21" s="124">
        <f>+D21+'[2]Monthly Summary'!G21</f>
        <v>640</v>
      </c>
      <c r="H21" s="124">
        <f>'[1]Monthly Summary'!G21+E21</f>
        <v>736</v>
      </c>
      <c r="I21" s="262">
        <f t="shared" si="2"/>
        <v>-0.13043478260869565</v>
      </c>
    </row>
    <row r="22" spans="1:12" ht="15.75" thickBot="1" x14ac:dyDescent="0.3">
      <c r="A22" s="72" t="s">
        <v>31</v>
      </c>
      <c r="B22" s="279">
        <f>SUM(B16:B21)</f>
        <v>17954</v>
      </c>
      <c r="C22" s="279">
        <f>SUM(C16:C21)</f>
        <v>17950</v>
      </c>
      <c r="D22" s="279">
        <f>SUM(D16:D21)</f>
        <v>35904</v>
      </c>
      <c r="E22" s="279">
        <f>SUM(E16:E21)</f>
        <v>37859</v>
      </c>
      <c r="F22" s="275">
        <f t="shared" si="1"/>
        <v>-5.1638976201167489E-2</v>
      </c>
      <c r="G22" s="279">
        <f>SUM(G16:G21)</f>
        <v>205245</v>
      </c>
      <c r="H22" s="279">
        <f>SUM(H16:H21)</f>
        <v>211216</v>
      </c>
      <c r="I22" s="276">
        <f t="shared" si="2"/>
        <v>-2.8269638663737596E-2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2" t="s">
        <v>193</v>
      </c>
      <c r="E24" s="482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6979.3368930854795</v>
      </c>
      <c r="C27" s="23">
        <f>(Cargo!M21+'Major Airline Stats'!J33+'Regional Major'!L30)*0.00045359237</f>
        <v>7721.3450643652395</v>
      </c>
      <c r="D27" s="23">
        <f>(SUM(B27:C27)+('Cargo Summary'!E17*0.00045359237))</f>
        <v>14700.681957450719</v>
      </c>
      <c r="E27" s="9">
        <f>'[1]Monthly Summary'!D27</f>
        <v>14746.908009469789</v>
      </c>
      <c r="F27" s="101">
        <f>(D27-E27)/E27</f>
        <v>-3.1346267291683118E-3</v>
      </c>
      <c r="G27" s="56">
        <f>+D27+'[2]Monthly Summary'!G27</f>
        <v>90613.166181011329</v>
      </c>
      <c r="H27" s="9">
        <f>'[1]Monthly Summary'!G27</f>
        <v>90783.566773056853</v>
      </c>
      <c r="I27" s="103">
        <f>(G27-H27)/H27</f>
        <v>-1.8769982068615534E-3</v>
      </c>
    </row>
    <row r="28" spans="1:12" x14ac:dyDescent="0.2">
      <c r="A28" s="65" t="s">
        <v>18</v>
      </c>
      <c r="B28" s="23">
        <f>(Cargo!M17+'Major Airline Stats'!J29+'Regional Major'!L26)*0.00045359237</f>
        <v>390.68727294365999</v>
      </c>
      <c r="C28" s="23">
        <f>(Cargo!M22+'Major Airline Stats'!J34+'Regional Major'!L31)*0.00045359237</f>
        <v>239.31941674332998</v>
      </c>
      <c r="D28" s="23">
        <f>SUM(B28:C28)</f>
        <v>630.00668968698994</v>
      </c>
      <c r="E28" s="9">
        <f>'[1]Monthly Summary'!D28</f>
        <v>902.92958997702999</v>
      </c>
      <c r="F28" s="101">
        <f>(D28-E28)/E28</f>
        <v>-0.30226376820476453</v>
      </c>
      <c r="G28" s="23">
        <f>+D28+'[2]Monthly Summary'!G28</f>
        <v>7876.7507998433093</v>
      </c>
      <c r="H28" s="9">
        <f>'[1]Monthly Summary'!G28</f>
        <v>7335.7729525780705</v>
      </c>
      <c r="I28" s="103">
        <f>(G28-H28)/H28</f>
        <v>7.3745173243825457E-2</v>
      </c>
    </row>
    <row r="29" spans="1:12" ht="15.75" thickBot="1" x14ac:dyDescent="0.3">
      <c r="A29" s="66" t="s">
        <v>67</v>
      </c>
      <c r="B29" s="57">
        <f>SUM(B27:B28)</f>
        <v>7370.0241660291395</v>
      </c>
      <c r="C29" s="57">
        <f>SUM(C27:C28)</f>
        <v>7960.6644811085698</v>
      </c>
      <c r="D29" s="57">
        <f>SUM(D27:D28)</f>
        <v>15330.688647137709</v>
      </c>
      <c r="E29" s="57">
        <f>SUM(E27:E28)</f>
        <v>15649.837599446819</v>
      </c>
      <c r="F29" s="102">
        <f>(D29-E29)/E29</f>
        <v>-2.0393115920921162E-2</v>
      </c>
      <c r="G29" s="57">
        <f>SUM(G27:G28)</f>
        <v>98489.916980854643</v>
      </c>
      <c r="H29" s="57">
        <f>SUM(H27:H28)</f>
        <v>98119.339725634927</v>
      </c>
      <c r="I29" s="104">
        <f>(G29-H29)/H29</f>
        <v>3.7768013549208368E-3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1" t="s">
        <v>164</v>
      </c>
      <c r="C31" s="480"/>
      <c r="D31" s="481" t="s">
        <v>176</v>
      </c>
      <c r="E31" s="480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825051</v>
      </c>
      <c r="C32" s="413">
        <f>B32/C8</f>
        <v>0.52814688873497118</v>
      </c>
      <c r="D32" s="414">
        <f>+B32+'[2]Monthly Summary'!$D$32</f>
        <v>4689145</v>
      </c>
      <c r="E32" s="415">
        <f>+D32/D34</f>
        <v>0.56406078003019533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737111</v>
      </c>
      <c r="C33" s="418">
        <f>+B33/C8</f>
        <v>0.47185311126502882</v>
      </c>
      <c r="D33" s="419">
        <f>+B33+'[2]Monthly Summary'!$D$33</f>
        <v>3624046</v>
      </c>
      <c r="E33" s="420">
        <f>+D33/D34</f>
        <v>0.43593921996980461</v>
      </c>
      <c r="G33" s="435"/>
      <c r="H33" s="435"/>
      <c r="I33" s="434"/>
    </row>
    <row r="34" spans="1:14" ht="13.5" thickBot="1" x14ac:dyDescent="0.25">
      <c r="B34" s="315"/>
      <c r="D34" s="421">
        <f>SUM(D32:D33)</f>
        <v>8313191</v>
      </c>
    </row>
    <row r="35" spans="1:14" ht="13.5" thickBot="1" x14ac:dyDescent="0.25">
      <c r="B35" s="479" t="s">
        <v>215</v>
      </c>
      <c r="C35" s="480"/>
      <c r="D35" s="481" t="s">
        <v>195</v>
      </c>
      <c r="E35" s="480"/>
    </row>
    <row r="36" spans="1:14" x14ac:dyDescent="0.2">
      <c r="A36" s="411" t="s">
        <v>165</v>
      </c>
      <c r="B36" s="412">
        <f>'[1]Monthly Summary'!$B$32</f>
        <v>780589</v>
      </c>
      <c r="C36" s="413">
        <f>+B36/B38</f>
        <v>0.51702990416994532</v>
      </c>
      <c r="D36" s="414">
        <f>'[1]Monthly Summary'!$D$32</f>
        <v>4431839</v>
      </c>
      <c r="E36" s="415">
        <f>+D36/D38</f>
        <v>0.55989148928966492</v>
      </c>
    </row>
    <row r="37" spans="1:14" ht="13.5" thickBot="1" x14ac:dyDescent="0.25">
      <c r="A37" s="416" t="s">
        <v>166</v>
      </c>
      <c r="B37" s="417">
        <f>'[1]Monthly Summary'!$B$33</f>
        <v>729167</v>
      </c>
      <c r="C37" s="420">
        <f>+B37/B38</f>
        <v>0.48297009583005468</v>
      </c>
      <c r="D37" s="419">
        <f>'[1]Monthly Summary'!$D$33</f>
        <v>3483693</v>
      </c>
      <c r="E37" s="420">
        <f>+D37/D38</f>
        <v>0.44010851071033508</v>
      </c>
    </row>
    <row r="38" spans="1:14" x14ac:dyDescent="0.2">
      <c r="B38" s="443">
        <f>+SUM(B36:B37)</f>
        <v>1509756</v>
      </c>
      <c r="D38" s="421">
        <f>SUM(D36:D37)</f>
        <v>7915532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zoomScale="85" zoomScaleNormal="100" zoomScaleSheetLayoutView="85" workbookViewId="0">
      <selection activeCell="E6" sqref="E6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1" t="s">
        <v>148</v>
      </c>
      <c r="B1" s="522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8" t="s">
        <v>152</v>
      </c>
      <c r="K1" s="529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3">
        <v>41791</v>
      </c>
      <c r="B2" s="524"/>
      <c r="C2" s="525" t="s">
        <v>9</v>
      </c>
      <c r="D2" s="526"/>
      <c r="E2" s="526"/>
      <c r="F2" s="526"/>
      <c r="G2" s="526"/>
      <c r="H2" s="526"/>
      <c r="I2" s="527"/>
      <c r="J2" s="523">
        <v>41791</v>
      </c>
      <c r="K2" s="524"/>
      <c r="L2" s="518" t="s">
        <v>154</v>
      </c>
      <c r="M2" s="519"/>
      <c r="N2" s="519"/>
      <c r="O2" s="519"/>
      <c r="P2" s="519"/>
      <c r="Q2" s="519"/>
      <c r="R2" s="520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[3]AirCanada!$DO$19</f>
        <v>178</v>
      </c>
      <c r="D4" s="353">
        <f>C4/$C$56</f>
        <v>5.4218702406335665E-3</v>
      </c>
      <c r="E4" s="354">
        <f>[3]AirCanada!$DA$19</f>
        <v>176</v>
      </c>
      <c r="F4" s="355">
        <f>(C4-E4)/E4</f>
        <v>1.1363636363636364E-2</v>
      </c>
      <c r="G4" s="354">
        <f>SUM([3]AirCanada!$DJ$19:$DO$19)</f>
        <v>1003</v>
      </c>
      <c r="H4" s="354">
        <f>SUM([3]AirCanada!$CV$19:$DA$19)</f>
        <v>1084</v>
      </c>
      <c r="I4" s="355">
        <f>(G4-H4)/H4</f>
        <v>-7.4723247232472326E-2</v>
      </c>
      <c r="J4" s="351" t="s">
        <v>110</v>
      </c>
      <c r="K4" s="58"/>
      <c r="L4" s="352">
        <f>[3]AirCanada!$DO$41</f>
        <v>9303</v>
      </c>
      <c r="M4" s="353">
        <f>L4/$L$56</f>
        <v>2.9566710864709494E-3</v>
      </c>
      <c r="N4" s="354">
        <f>[3]AirCanada!$DA$41</f>
        <v>8052</v>
      </c>
      <c r="O4" s="355">
        <f>(L4-N4)/N4</f>
        <v>0.1553651266766021</v>
      </c>
      <c r="P4" s="354">
        <f>SUM([3]AirCanada!$DJ$41:$DO$41)</f>
        <v>35020</v>
      </c>
      <c r="Q4" s="354">
        <f>SUM([3]AirCanada!$CV$41:$DA$41)</f>
        <v>33224</v>
      </c>
      <c r="R4" s="355">
        <f>(P4-Q4)/Q4</f>
        <v>5.4057307970142063E-2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France'!$DO$19</f>
        <v>58</v>
      </c>
      <c r="D6" s="353">
        <f>C6/$C$56</f>
        <v>1.766676819981724E-3</v>
      </c>
      <c r="E6" s="354">
        <f>'[3]Air France'!$DA$19</f>
        <v>50</v>
      </c>
      <c r="F6" s="355">
        <f>(C6-E6)/E6</f>
        <v>0.16</v>
      </c>
      <c r="G6" s="354">
        <f>SUM('[3]Air France'!$DJ$19:$DO$19)</f>
        <v>58</v>
      </c>
      <c r="H6" s="354">
        <f>SUM('[3]Air France'!$CV$19:$DA$19)</f>
        <v>68</v>
      </c>
      <c r="I6" s="355">
        <f>(G6-H6)/H6</f>
        <v>-0.14705882352941177</v>
      </c>
      <c r="J6" s="351" t="s">
        <v>198</v>
      </c>
      <c r="K6" s="58"/>
      <c r="L6" s="352">
        <f>'[3]Air France'!$DO$41</f>
        <v>14139</v>
      </c>
      <c r="M6" s="353">
        <f>L6/$L$56</f>
        <v>4.493644253639982E-3</v>
      </c>
      <c r="N6" s="354">
        <f>'[3]Air France'!$DA$41</f>
        <v>12570</v>
      </c>
      <c r="O6" s="355">
        <f>(L6-N6)/N6</f>
        <v>0.12482100238663485</v>
      </c>
      <c r="P6" s="354">
        <f>SUM('[3]Air France'!$DJ$41:$DO$41)</f>
        <v>14139</v>
      </c>
      <c r="Q6" s="354">
        <f>SUM('[3]Air France'!$CV$41:$DA$41)</f>
        <v>16787</v>
      </c>
      <c r="R6" s="355">
        <f>(P6-Q6)/Q6</f>
        <v>-0.15774110919163639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[3]Alaska!$DO$19</f>
        <v>122</v>
      </c>
      <c r="D8" s="353">
        <f>C8/$C$56</f>
        <v>3.7161133109960402E-3</v>
      </c>
      <c r="E8" s="354">
        <f>[3]Alaska!$DA$19</f>
        <v>118</v>
      </c>
      <c r="F8" s="355">
        <f>(C8-E8)/E8</f>
        <v>3.3898305084745763E-2</v>
      </c>
      <c r="G8" s="354">
        <f>SUM([3]Alaska!$DJ$19:$DO$19)</f>
        <v>724</v>
      </c>
      <c r="H8" s="354">
        <f>SUM([3]Alaska!$CV$19:$DA$19)</f>
        <v>722</v>
      </c>
      <c r="I8" s="355">
        <f>(G8-H8)/H8</f>
        <v>2.7700831024930748E-3</v>
      </c>
      <c r="J8" s="351" t="s">
        <v>142</v>
      </c>
      <c r="K8" s="58"/>
      <c r="L8" s="352">
        <f>[3]Alaska!$DO$41</f>
        <v>18572</v>
      </c>
      <c r="M8" s="353">
        <f>L8/$L$56</f>
        <v>5.9025363235449286E-3</v>
      </c>
      <c r="N8" s="354">
        <f>[3]Alaska!$DA$41</f>
        <v>17472</v>
      </c>
      <c r="O8" s="355">
        <f>(L8-N8)/N8</f>
        <v>6.2957875457875456E-2</v>
      </c>
      <c r="P8" s="354">
        <f>SUM([3]Alaska!$DJ$41:$DO$41)</f>
        <v>93265</v>
      </c>
      <c r="Q8" s="354">
        <f>SUM([3]Alaska!$CV$41:$DA$41)</f>
        <v>94428</v>
      </c>
      <c r="R8" s="355">
        <f>(P8-Q8)/Q8</f>
        <v>-1.2316262125640699E-2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854</v>
      </c>
      <c r="D10" s="353">
        <f>C10/$C$56</f>
        <v>2.601279317697228E-2</v>
      </c>
      <c r="E10" s="357">
        <f>SUM(E11:E12)</f>
        <v>1030</v>
      </c>
      <c r="F10" s="355">
        <f>(C10-E10)/E10</f>
        <v>-0.17087378640776699</v>
      </c>
      <c r="G10" s="357">
        <f>SUM(G11:G12)</f>
        <v>5527</v>
      </c>
      <c r="H10" s="357">
        <f>SUM(H11:H12)</f>
        <v>6300</v>
      </c>
      <c r="I10" s="355">
        <f>(G10-H10)/H10</f>
        <v>-0.1226984126984127</v>
      </c>
      <c r="J10" s="351" t="s">
        <v>19</v>
      </c>
      <c r="K10" s="359"/>
      <c r="L10" s="352">
        <f>SUM(L11:L12)</f>
        <v>82965</v>
      </c>
      <c r="M10" s="353">
        <f>L10/$L$56</f>
        <v>2.636786162410645E-2</v>
      </c>
      <c r="N10" s="357">
        <f>SUM(N11:N12)</f>
        <v>89569</v>
      </c>
      <c r="O10" s="355">
        <f>(L10-N10)/N10</f>
        <v>-7.3730866706114839E-2</v>
      </c>
      <c r="P10" s="352">
        <f>SUM(P11:P12)</f>
        <v>486270</v>
      </c>
      <c r="Q10" s="357">
        <f>SUM(Q11:Q12)</f>
        <v>504077</v>
      </c>
      <c r="R10" s="355">
        <f>(P10-Q10)/Q10</f>
        <v>-3.5325952185876364E-2</v>
      </c>
      <c r="T10" s="21"/>
    </row>
    <row r="11" spans="1:23" ht="14.1" customHeight="1" x14ac:dyDescent="0.2">
      <c r="A11" s="55"/>
      <c r="B11" s="360" t="s">
        <v>19</v>
      </c>
      <c r="C11" s="356">
        <f>[3]American!$DO$19</f>
        <v>426</v>
      </c>
      <c r="D11" s="41">
        <f>C11/$C$56</f>
        <v>1.2975936643314041E-2</v>
      </c>
      <c r="E11" s="9">
        <f>[3]American!$DA$19</f>
        <v>638</v>
      </c>
      <c r="F11" s="89">
        <f>(C11-E11)/E11</f>
        <v>-0.33228840125391851</v>
      </c>
      <c r="G11" s="9">
        <f>SUM([3]American!$DJ$19:$DO$19)</f>
        <v>2734</v>
      </c>
      <c r="H11" s="9">
        <f>SUM([3]American!$CV$19:$DA$19)</f>
        <v>3538</v>
      </c>
      <c r="I11" s="89">
        <f>(G11-H11)/H11</f>
        <v>-0.22724703222159412</v>
      </c>
      <c r="J11" s="55"/>
      <c r="K11" s="360" t="s">
        <v>19</v>
      </c>
      <c r="L11" s="356">
        <f>[3]American!$DO$41</f>
        <v>54298</v>
      </c>
      <c r="M11" s="41">
        <f>L11/$L$56</f>
        <v>1.7256941486961153E-2</v>
      </c>
      <c r="N11" s="9">
        <f>[3]American!$DA$41</f>
        <v>70339</v>
      </c>
      <c r="O11" s="89">
        <f>(L11-N11)/N11</f>
        <v>-0.22805271613187564</v>
      </c>
      <c r="P11" s="9">
        <f>SUM([3]American!$DJ$41:$DO$41)</f>
        <v>318560</v>
      </c>
      <c r="Q11" s="9">
        <f>SUM([3]American!$CV$41:$DA$41)</f>
        <v>381295</v>
      </c>
      <c r="R11" s="89">
        <f>(P11-Q11)/Q11</f>
        <v>-0.16453139957250948</v>
      </c>
      <c r="T11" s="21"/>
    </row>
    <row r="12" spans="1:23" ht="14.1" customHeight="1" x14ac:dyDescent="0.2">
      <c r="A12" s="55"/>
      <c r="B12" s="360" t="s">
        <v>174</v>
      </c>
      <c r="C12" s="356">
        <f>'[3]American Eagle'!$DO$19</f>
        <v>428</v>
      </c>
      <c r="D12" s="41">
        <f>C12/$C$56</f>
        <v>1.3036856533658239E-2</v>
      </c>
      <c r="E12" s="9">
        <f>'[3]American Eagle'!$DA$19</f>
        <v>392</v>
      </c>
      <c r="F12" s="89">
        <f>(C12-E12)/E12</f>
        <v>9.1836734693877556E-2</v>
      </c>
      <c r="G12" s="9">
        <f>SUM('[3]American Eagle'!$DJ$19:$DO$19)</f>
        <v>2793</v>
      </c>
      <c r="H12" s="9">
        <f>SUM('[3]American Eagle'!$CV$19:$DA$19)</f>
        <v>2762</v>
      </c>
      <c r="I12" s="89">
        <f>(G12-H12)/H12</f>
        <v>1.1223750905141203E-2</v>
      </c>
      <c r="J12" s="55"/>
      <c r="K12" s="360" t="s">
        <v>174</v>
      </c>
      <c r="L12" s="356">
        <f>'[3]American Eagle'!$DO$41</f>
        <v>28667</v>
      </c>
      <c r="M12" s="41">
        <f>L12/$L$56</f>
        <v>9.1109201371452984E-3</v>
      </c>
      <c r="N12" s="9">
        <f>'[3]American Eagle'!$DA$41</f>
        <v>19230</v>
      </c>
      <c r="O12" s="89">
        <f>(L12-N12)/N12</f>
        <v>0.49074362974518981</v>
      </c>
      <c r="P12" s="9">
        <f>SUM('[3]American Eagle'!$DJ$41:$DO$41)</f>
        <v>167710</v>
      </c>
      <c r="Q12" s="9">
        <f>SUM('[3]American Eagle'!$CV$41:$DA$41)</f>
        <v>122782</v>
      </c>
      <c r="R12" s="89">
        <f>(P12-Q12)/Q12</f>
        <v>0.36591682819957322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216</v>
      </c>
      <c r="B14" s="361"/>
      <c r="C14" s="352">
        <f>[3]Condor!$DO$19</f>
        <v>4</v>
      </c>
      <c r="D14" s="353">
        <f t="shared" ref="D14:D23" si="0">C14/$C$56</f>
        <v>1.2183978068839476E-4</v>
      </c>
      <c r="E14" s="354">
        <f>[3]Condor!$DA$19</f>
        <v>0</v>
      </c>
      <c r="F14" s="355" t="e">
        <f>(C14-E14)/E14</f>
        <v>#DIV/0!</v>
      </c>
      <c r="G14" s="354">
        <f>SUM([3]Condor!$DJ$19:$DO$19)</f>
        <v>4</v>
      </c>
      <c r="H14" s="354">
        <f>SUM([3]Condor!$CV$19:$DA$19)</f>
        <v>0</v>
      </c>
      <c r="I14" s="355" t="e">
        <f>(G14-H14)/H14</f>
        <v>#DIV/0!</v>
      </c>
      <c r="J14" s="351" t="s">
        <v>216</v>
      </c>
      <c r="K14" s="361"/>
      <c r="L14" s="352">
        <f>[3]Condor!$DO$41</f>
        <v>910</v>
      </c>
      <c r="M14" s="353">
        <f t="shared" ref="M14:M23" si="1">L14/$L$56</f>
        <v>2.8921538091890401E-4</v>
      </c>
      <c r="N14" s="354">
        <f>[3]Condor!$DA$41</f>
        <v>0</v>
      </c>
      <c r="O14" s="355" t="e">
        <f>(L14-N14)/N14</f>
        <v>#DIV/0!</v>
      </c>
      <c r="P14" s="354">
        <f>SUM([3]Condor!$DJ$41:$DO$41)</f>
        <v>910</v>
      </c>
      <c r="Q14" s="354">
        <f>SUM([3]Condor!$CV$41:$DA$41)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25023</v>
      </c>
      <c r="D16" s="353">
        <f t="shared" si="0"/>
        <v>0.76219920804142549</v>
      </c>
      <c r="E16" s="354">
        <f>SUM(E17:E23)</f>
        <v>26342</v>
      </c>
      <c r="F16" s="355">
        <f t="shared" ref="F16:F23" si="2">(C16-E16)/E16</f>
        <v>-5.0072128160352287E-2</v>
      </c>
      <c r="G16" s="357">
        <f>SUM(G17:G23)</f>
        <v>141105</v>
      </c>
      <c r="H16" s="357">
        <f>SUM(H17:H23)</f>
        <v>144292</v>
      </c>
      <c r="I16" s="355">
        <f>(G16-H16)/H16</f>
        <v>-2.2087156599118453E-2</v>
      </c>
      <c r="J16" s="351" t="s">
        <v>20</v>
      </c>
      <c r="K16" s="365"/>
      <c r="L16" s="352">
        <f>SUM(L17:L23)</f>
        <v>2361335</v>
      </c>
      <c r="M16" s="353">
        <f t="shared" si="1"/>
        <v>0.75047736428806611</v>
      </c>
      <c r="N16" s="354">
        <f>SUM(N17:N23)</f>
        <v>2307648</v>
      </c>
      <c r="O16" s="355">
        <f t="shared" ref="O16:O23" si="3">(L16-N16)/N16</f>
        <v>2.3264813351083009E-2</v>
      </c>
      <c r="P16" s="354">
        <f>SUM(P17:P23)</f>
        <v>12341818</v>
      </c>
      <c r="Q16" s="354">
        <f>SUM(Q17:Q23)</f>
        <v>11834189</v>
      </c>
      <c r="R16" s="355">
        <f t="shared" ref="R16:R23" si="4">(P16-Q16)/Q16</f>
        <v>4.2895123611765874E-2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[3]Delta!$DO$19</f>
        <v>11597</v>
      </c>
      <c r="D17" s="41">
        <f t="shared" si="0"/>
        <v>0.35324398416082853</v>
      </c>
      <c r="E17" s="9">
        <f>[3]Delta!$DA$19</f>
        <v>10706</v>
      </c>
      <c r="F17" s="89">
        <f t="shared" si="2"/>
        <v>8.3224360171866241E-2</v>
      </c>
      <c r="G17" s="9">
        <f>SUM([3]Delta!$DJ$19:$DO$19)</f>
        <v>59361</v>
      </c>
      <c r="H17" s="9">
        <f>SUM([3]Delta!$CV$19:$DA$19)</f>
        <v>57195</v>
      </c>
      <c r="I17" s="89">
        <f t="shared" ref="I17:I23" si="5">(G17-H17)/H17</f>
        <v>3.787044322056124E-2</v>
      </c>
      <c r="J17" s="55"/>
      <c r="K17" s="360" t="s">
        <v>20</v>
      </c>
      <c r="L17" s="356">
        <f>[3]Delta!$DO$41</f>
        <v>1675098</v>
      </c>
      <c r="M17" s="41">
        <f t="shared" si="1"/>
        <v>0.53237813862252115</v>
      </c>
      <c r="N17" s="9">
        <f>[3]Delta!$DA$41</f>
        <v>1530019</v>
      </c>
      <c r="O17" s="89">
        <f t="shared" si="3"/>
        <v>9.4821698292635578E-2</v>
      </c>
      <c r="P17" s="9">
        <f>SUM([3]Delta!$DJ$41:$DO$41)</f>
        <v>8315047</v>
      </c>
      <c r="Q17" s="9">
        <f>SUM([3]Delta!$CV$41:$DA$41)</f>
        <v>7737669</v>
      </c>
      <c r="R17" s="89">
        <f t="shared" si="4"/>
        <v>7.461911332728241E-2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[3]Compass!$DO$19</f>
        <v>1987</v>
      </c>
      <c r="D18" s="41">
        <f t="shared" si="0"/>
        <v>6.0523911056960096E-2</v>
      </c>
      <c r="E18" s="9">
        <f>[3]Compass!$DA$19</f>
        <v>3583</v>
      </c>
      <c r="F18" s="89">
        <f t="shared" si="2"/>
        <v>-0.44543678481719229</v>
      </c>
      <c r="G18" s="9">
        <f>SUM([3]Compass!$DJ$19:$DO$19)</f>
        <v>14477</v>
      </c>
      <c r="H18" s="9">
        <f>SUM([3]Compass!$CV$19:$DA$19)</f>
        <v>21870</v>
      </c>
      <c r="I18" s="89">
        <f t="shared" si="5"/>
        <v>-0.33804298125285781</v>
      </c>
      <c r="J18" s="55"/>
      <c r="K18" s="362" t="s">
        <v>131</v>
      </c>
      <c r="L18" s="356">
        <f>[3]Compass!$DO$41</f>
        <v>127226</v>
      </c>
      <c r="M18" s="41">
        <f t="shared" si="1"/>
        <v>4.0434852805262066E-2</v>
      </c>
      <c r="N18" s="9">
        <f>[3]Compass!$DA$41</f>
        <v>220230</v>
      </c>
      <c r="O18" s="89">
        <f t="shared" si="3"/>
        <v>-0.42230395495618217</v>
      </c>
      <c r="P18" s="9">
        <f>SUM([3]Compass!$DJ$41:$DO$41)</f>
        <v>888854</v>
      </c>
      <c r="Q18" s="9">
        <f>SUM([3]Compass!$CV$41:$DA$41)</f>
        <v>1266038</v>
      </c>
      <c r="R18" s="89">
        <f t="shared" si="4"/>
        <v>-0.29792470684134281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[3]Pinnacle!$DO$19</f>
        <v>6381</v>
      </c>
      <c r="D19" s="41">
        <f t="shared" si="0"/>
        <v>0.19436491014316173</v>
      </c>
      <c r="E19" s="9">
        <f>[3]Pinnacle!$DA$19</f>
        <v>5988</v>
      </c>
      <c r="F19" s="89">
        <f t="shared" si="2"/>
        <v>6.5631262525050096E-2</v>
      </c>
      <c r="G19" s="9">
        <f>SUM([3]Pinnacle!$DJ$19:$DO$19)</f>
        <v>42098</v>
      </c>
      <c r="H19" s="9">
        <f>SUM([3]Pinnacle!$CV$19:$DA$19)</f>
        <v>32341</v>
      </c>
      <c r="I19" s="89">
        <f t="shared" si="5"/>
        <v>0.30169135153520299</v>
      </c>
      <c r="J19" s="55"/>
      <c r="K19" s="361" t="s">
        <v>204</v>
      </c>
      <c r="L19" s="356">
        <f>[3]Pinnacle!$DO$41</f>
        <v>319986</v>
      </c>
      <c r="M19" s="41">
        <f t="shared" si="1"/>
        <v>0.10169766250408398</v>
      </c>
      <c r="N19" s="9">
        <f>[3]Pinnacle!$DA$41</f>
        <v>281273</v>
      </c>
      <c r="O19" s="89">
        <f t="shared" si="3"/>
        <v>0.13763496674049766</v>
      </c>
      <c r="P19" s="9">
        <f>SUM([3]Pinnacle!$DJ$41:$DO$41)</f>
        <v>2004945</v>
      </c>
      <c r="Q19" s="9">
        <f>SUM([3]Pinnacle!$CV$41:$DA$41)</f>
        <v>1444918</v>
      </c>
      <c r="R19" s="89">
        <f t="shared" si="4"/>
        <v>0.3875839320985689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Jet'!$DO$19</f>
        <v>0</v>
      </c>
      <c r="D20" s="41">
        <f t="shared" si="0"/>
        <v>0</v>
      </c>
      <c r="E20" s="9">
        <f>'[3]Go Jet'!$DA$19</f>
        <v>0</v>
      </c>
      <c r="F20" s="89" t="e">
        <f>(C20-E20)/E20</f>
        <v>#DIV/0!</v>
      </c>
      <c r="G20" s="9">
        <f>SUM('[3]Go Jet'!$DJ$19:$DO$19)</f>
        <v>0</v>
      </c>
      <c r="H20" s="9">
        <f>SUM('[3]Go Jet'!$CV$19:$DA$19)</f>
        <v>0</v>
      </c>
      <c r="I20" s="89" t="e">
        <f>(G20-H20)/H20</f>
        <v>#DIV/0!</v>
      </c>
      <c r="J20" s="55"/>
      <c r="K20" s="361" t="s">
        <v>181</v>
      </c>
      <c r="L20" s="356">
        <f>'[3]Go Jet'!$DO$41</f>
        <v>0</v>
      </c>
      <c r="M20" s="41">
        <f t="shared" si="1"/>
        <v>0</v>
      </c>
      <c r="N20" s="9">
        <f>'[3]Go Jet'!$DA$41</f>
        <v>0</v>
      </c>
      <c r="O20" s="89" t="e">
        <f>(L20-N20)/N20</f>
        <v>#DIV/0!</v>
      </c>
      <c r="P20" s="9">
        <f>SUM('[3]Go Jet'!$DJ$41:$DO$41)</f>
        <v>0</v>
      </c>
      <c r="Q20" s="9">
        <f>SUM('[3]Go Jet'!$CV$41:$DA$41)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West'!$DO$19</f>
        <v>3683</v>
      </c>
      <c r="D21" s="41">
        <f t="shared" si="0"/>
        <v>0.11218397806883948</v>
      </c>
      <c r="E21" s="9">
        <f>'[3]Sky West'!$DA$19</f>
        <v>5080</v>
      </c>
      <c r="F21" s="89">
        <f t="shared" si="2"/>
        <v>-0.27500000000000002</v>
      </c>
      <c r="G21" s="9">
        <f>SUM('[3]Sky West'!$DJ$19:$DO$19)</f>
        <v>17951</v>
      </c>
      <c r="H21" s="9">
        <f>SUM('[3]Sky West'!$CV$19:$DA$19)</f>
        <v>27829</v>
      </c>
      <c r="I21" s="89">
        <f t="shared" si="5"/>
        <v>-0.35495346580904813</v>
      </c>
      <c r="J21" s="55"/>
      <c r="K21" s="361" t="s">
        <v>109</v>
      </c>
      <c r="L21" s="356">
        <f>'[3]Sky West'!$DO$41</f>
        <v>154625</v>
      </c>
      <c r="M21" s="41">
        <f t="shared" si="1"/>
        <v>4.9142778323720368E-2</v>
      </c>
      <c r="N21" s="9">
        <f>'[3]Sky West'!$DA$41</f>
        <v>218320</v>
      </c>
      <c r="O21" s="89">
        <f t="shared" si="3"/>
        <v>-0.29175064126053502</v>
      </c>
      <c r="P21" s="9">
        <f>SUM('[3]Sky West'!$DJ$41:$DO$41)</f>
        <v>716408</v>
      </c>
      <c r="Q21" s="9">
        <f>SUM('[3]Sky West'!$CV$41:$DA$41)</f>
        <v>1121333</v>
      </c>
      <c r="R21" s="89">
        <f t="shared" si="4"/>
        <v>-0.36111039272009299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America_Delta'!$DO$19</f>
        <v>320</v>
      </c>
      <c r="D22" s="41">
        <f t="shared" si="0"/>
        <v>9.7471824550715812E-3</v>
      </c>
      <c r="E22" s="9">
        <f>'[3]Shuttle America_Delta'!$DA$19</f>
        <v>80</v>
      </c>
      <c r="F22" s="89">
        <f t="shared" si="2"/>
        <v>3</v>
      </c>
      <c r="G22" s="9">
        <f>SUM('[3]Shuttle America_Delta'!$DJ$19:$DO$19)</f>
        <v>1466</v>
      </c>
      <c r="H22" s="9">
        <f>SUM('[3]Shuttle America_Delta'!$CV$19:$DA$19)</f>
        <v>611</v>
      </c>
      <c r="I22" s="89">
        <f t="shared" si="5"/>
        <v>1.3993453355155483</v>
      </c>
      <c r="J22" s="55"/>
      <c r="K22" s="361" t="s">
        <v>147</v>
      </c>
      <c r="L22" s="356">
        <f>'[3]Shuttle America_Delta'!$DO$41</f>
        <v>20376</v>
      </c>
      <c r="M22" s="41">
        <f t="shared" si="1"/>
        <v>6.4758819797841628E-3</v>
      </c>
      <c r="N22" s="9">
        <f>'[3]Shuttle America_Delta'!$DA$41</f>
        <v>4968</v>
      </c>
      <c r="O22" s="89">
        <f t="shared" si="3"/>
        <v>3.1014492753623188</v>
      </c>
      <c r="P22" s="9">
        <f>SUM('[3]Shuttle America_Delta'!$DJ$41:$DO$41)</f>
        <v>88039</v>
      </c>
      <c r="Q22" s="9">
        <f>SUM('[3]Shuttle America_Delta'!$CV$41:$DA$41)</f>
        <v>34845</v>
      </c>
      <c r="R22" s="89">
        <f t="shared" si="4"/>
        <v>1.5265891806571961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Southeast'!$DO$19</f>
        <v>1055</v>
      </c>
      <c r="D23" s="41">
        <f t="shared" si="0"/>
        <v>3.2135242156564117E-2</v>
      </c>
      <c r="E23" s="9">
        <f>'[3]Atlantic Southeast'!$DA$19</f>
        <v>905</v>
      </c>
      <c r="F23" s="89">
        <f t="shared" si="2"/>
        <v>0.16574585635359115</v>
      </c>
      <c r="G23" s="9">
        <f>SUM('[3]Atlantic Southeast'!$DJ$19:$DO$19)</f>
        <v>5752</v>
      </c>
      <c r="H23" s="9">
        <f>SUM('[3]Atlantic Southeast'!$CV$19:$DA$19)</f>
        <v>4446</v>
      </c>
      <c r="I23" s="89">
        <f t="shared" si="5"/>
        <v>0.29374718848403059</v>
      </c>
      <c r="J23" s="55"/>
      <c r="K23" s="366" t="s">
        <v>55</v>
      </c>
      <c r="L23" s="356">
        <f>'[3]Atlantic Southeast'!$DO$41</f>
        <v>64024</v>
      </c>
      <c r="M23" s="41">
        <f t="shared" si="1"/>
        <v>2.0348050052694407E-2</v>
      </c>
      <c r="N23" s="9">
        <f>'[3]Atlantic Southeast'!$DA$41</f>
        <v>52838</v>
      </c>
      <c r="O23" s="89">
        <f t="shared" si="3"/>
        <v>0.21170369809606723</v>
      </c>
      <c r="P23" s="9">
        <f>SUM('[3]Atlantic Southeast'!$DJ$41:$DO$41)</f>
        <v>328525</v>
      </c>
      <c r="Q23" s="9">
        <f>SUM('[3]Atlantic Southeast'!$CV$41:$DA$41)</f>
        <v>229386</v>
      </c>
      <c r="R23" s="89">
        <f t="shared" si="4"/>
        <v>0.43219289756131585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[3]Frontier!$DO$19</f>
        <v>268</v>
      </c>
      <c r="D25" s="353">
        <f>C25/$C$56</f>
        <v>8.1632653061224497E-3</v>
      </c>
      <c r="E25" s="354">
        <f>[3]Frontier!$DA$19</f>
        <v>232</v>
      </c>
      <c r="F25" s="355">
        <f>(C25-E25)/E25</f>
        <v>0.15517241379310345</v>
      </c>
      <c r="G25" s="354">
        <f>SUM([3]Frontier!$DJ$19:$DO$19)</f>
        <v>1299</v>
      </c>
      <c r="H25" s="354">
        <f>SUM([3]Frontier!$CV$19:$DA$19)</f>
        <v>1194</v>
      </c>
      <c r="I25" s="355">
        <f>(G25-H25)/H25</f>
        <v>8.7939698492462318E-2</v>
      </c>
      <c r="J25" s="351" t="s">
        <v>51</v>
      </c>
      <c r="K25" s="367"/>
      <c r="L25" s="352">
        <f>[3]Frontier!$DO$41</f>
        <v>39358</v>
      </c>
      <c r="M25" s="353">
        <f>L25/$L$56</f>
        <v>1.2508724134292553E-2</v>
      </c>
      <c r="N25" s="354">
        <f>[3]Frontier!$DA$41</f>
        <v>33596</v>
      </c>
      <c r="O25" s="355">
        <f>(L25-N25)/N25</f>
        <v>0.17150851291820454</v>
      </c>
      <c r="P25" s="354">
        <f>SUM([3]Frontier!$DJ$41:$DO$41)</f>
        <v>185155</v>
      </c>
      <c r="Q25" s="354">
        <f>SUM([3]Frontier!$CV$41:$DA$41)</f>
        <v>172065</v>
      </c>
      <c r="R25" s="355">
        <f>(P25-Q25)/Q25</f>
        <v>7.6075901548833286E-2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Lakes'!$DO$19</f>
        <v>122</v>
      </c>
      <c r="D27" s="353">
        <f>C27/$C$56</f>
        <v>3.7161133109960402E-3</v>
      </c>
      <c r="E27" s="354">
        <f>'[3]Great Lakes'!$DA$19</f>
        <v>1152</v>
      </c>
      <c r="F27" s="355">
        <f>(C27-E27)/E27</f>
        <v>-0.89409722222222221</v>
      </c>
      <c r="G27" s="354">
        <f>SUM('[3]Great Lakes'!$DJ$19:$DO$19)</f>
        <v>1030</v>
      </c>
      <c r="H27" s="354">
        <f>SUM('[3]Great Lakes'!$CV$19:$DA$19)</f>
        <v>6760</v>
      </c>
      <c r="I27" s="355">
        <f>(G27-H27)/H27</f>
        <v>-0.84763313609467461</v>
      </c>
      <c r="J27" s="351" t="s">
        <v>180</v>
      </c>
      <c r="K27" s="367"/>
      <c r="L27" s="352">
        <f>'[3]Great Lakes'!$DO$41</f>
        <v>827</v>
      </c>
      <c r="M27" s="353">
        <f>L27/$L$56</f>
        <v>2.6283639562630067E-4</v>
      </c>
      <c r="N27" s="354">
        <f>'[3]Great Lakes'!$DA$41</f>
        <v>4436</v>
      </c>
      <c r="O27" s="355">
        <f>(L27-N27)/N27</f>
        <v>-0.813570784490532</v>
      </c>
      <c r="P27" s="354">
        <f>SUM('[3]Great Lakes'!$DJ$41:$DO$41)</f>
        <v>6645</v>
      </c>
      <c r="Q27" s="354">
        <f>SUM('[3]Great Lakes'!$CV$41:$DA$41)</f>
        <v>23782</v>
      </c>
      <c r="R27" s="355">
        <f>(P27-Q27)/Q27</f>
        <v>-0.72058699857034736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[3]Icelandair!$DO$19</f>
        <v>58</v>
      </c>
      <c r="D29" s="353">
        <f>C29/$C$56</f>
        <v>1.766676819981724E-3</v>
      </c>
      <c r="E29" s="354">
        <f>[3]Icelandair!$DA$19</f>
        <v>60</v>
      </c>
      <c r="F29" s="355">
        <f>(C29-E29)/E29</f>
        <v>-3.3333333333333333E-2</v>
      </c>
      <c r="G29" s="354">
        <f>SUM([3]Icelandair!$DJ$19:$DO$19)</f>
        <v>84</v>
      </c>
      <c r="H29" s="354">
        <f>SUM([3]Icelandair!$CV$19:$DA$19)</f>
        <v>84</v>
      </c>
      <c r="I29" s="355">
        <f>(G29-H29)/H29</f>
        <v>0</v>
      </c>
      <c r="J29" s="351" t="s">
        <v>52</v>
      </c>
      <c r="K29" s="367"/>
      <c r="L29" s="352">
        <f>[3]Icelandair!$DO$41</f>
        <v>9343</v>
      </c>
      <c r="M29" s="353">
        <f>L29/$L$56</f>
        <v>2.9693838504673848E-3</v>
      </c>
      <c r="N29" s="354">
        <f>[3]Icelandair!$DA$41</f>
        <v>9707</v>
      </c>
      <c r="O29" s="355">
        <f>(L29-N29)/N29</f>
        <v>-3.7498712269496241E-2</v>
      </c>
      <c r="P29" s="354">
        <f>SUM([3]Icelandair!$DJ$41:$DO$41)</f>
        <v>12905</v>
      </c>
      <c r="Q29" s="354">
        <f>SUM([3]Icelandair!$CV$41:$DA$41)</f>
        <v>12806</v>
      </c>
      <c r="R29" s="355">
        <f>(P29-Q29)/Q29</f>
        <v>7.730751210370139E-3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1486</v>
      </c>
      <c r="D31" s="353">
        <f>C31/$C$56</f>
        <v>4.5263478525738657E-2</v>
      </c>
      <c r="E31" s="354">
        <f>SUM(E32:E33)</f>
        <v>1541</v>
      </c>
      <c r="F31" s="355">
        <f>(C31-E31)/E31</f>
        <v>-3.5691109669046074E-2</v>
      </c>
      <c r="G31" s="352">
        <f>SUM(G32:G33)</f>
        <v>8515</v>
      </c>
      <c r="H31" s="354">
        <f>SUM(H32:H33)</f>
        <v>8881</v>
      </c>
      <c r="I31" s="355">
        <f>(G31-H31)/H31</f>
        <v>-4.1211575273054836E-2</v>
      </c>
      <c r="J31" s="351" t="s">
        <v>144</v>
      </c>
      <c r="K31" s="58"/>
      <c r="L31" s="352">
        <f>SUM(L32:L33)</f>
        <v>175218</v>
      </c>
      <c r="M31" s="353">
        <f>L31/$L$56</f>
        <v>5.5687627048185188E-2</v>
      </c>
      <c r="N31" s="354">
        <f>SUM(N32:N33)</f>
        <v>168985</v>
      </c>
      <c r="O31" s="355">
        <f>(L31-N31)/N31</f>
        <v>3.6884930615143356E-2</v>
      </c>
      <c r="P31" s="352">
        <f>SUM(P32:P33)</f>
        <v>916142</v>
      </c>
      <c r="Q31" s="354">
        <f>SUM(Q32:Q33)</f>
        <v>872586</v>
      </c>
      <c r="R31" s="355">
        <f>(P31-Q31)/Q31</f>
        <v>4.9915996818651685E-2</v>
      </c>
      <c r="T31" s="21"/>
    </row>
    <row r="32" spans="1:23" ht="14.1" customHeight="1" x14ac:dyDescent="0.2">
      <c r="A32" s="363"/>
      <c r="B32" s="58" t="s">
        <v>144</v>
      </c>
      <c r="C32" s="454">
        <f>[3]Southwest!$DO$19</f>
        <v>1296</v>
      </c>
      <c r="D32" s="455">
        <f>C32/$C$56</f>
        <v>3.9476088943039903E-2</v>
      </c>
      <c r="E32" s="302">
        <f>[3]Southwest!$DA$19</f>
        <v>1245</v>
      </c>
      <c r="F32" s="456">
        <f>(C32-E32)/E32</f>
        <v>4.0963855421686748E-2</v>
      </c>
      <c r="G32" s="302">
        <f>SUM([3]Southwest!$DJ$19:$DO$19)</f>
        <v>7197</v>
      </c>
      <c r="H32" s="302">
        <f>SUM([3]Southwest!$CV$19:$DA$19)</f>
        <v>7263</v>
      </c>
      <c r="I32" s="456">
        <f>(G32-H32)/H32</f>
        <v>-9.0871540685667079E-3</v>
      </c>
      <c r="J32" s="351"/>
      <c r="K32" s="58" t="s">
        <v>144</v>
      </c>
      <c r="L32" s="454">
        <f>[3]Southwest!$DO$41</f>
        <v>154703</v>
      </c>
      <c r="M32" s="455">
        <f>L32/$L$56</f>
        <v>4.9167568213513417E-2</v>
      </c>
      <c r="N32" s="302">
        <f>[3]Southwest!$DA$41</f>
        <v>137113</v>
      </c>
      <c r="O32" s="456">
        <f>(L32-N32)/N32</f>
        <v>0.12828834610868409</v>
      </c>
      <c r="P32" s="302">
        <f>SUM([3]Southwest!$DJ$41:$DO$41)</f>
        <v>785824</v>
      </c>
      <c r="Q32" s="302">
        <f>SUM([3]Southwest!$CV$41:$DA$41)</f>
        <v>708899</v>
      </c>
      <c r="R32" s="456">
        <f>(P32-Q32)/Q32</f>
        <v>0.10851334252129005</v>
      </c>
      <c r="T32" s="21"/>
    </row>
    <row r="33" spans="1:21" ht="14.1" customHeight="1" x14ac:dyDescent="0.2">
      <c r="A33" s="363"/>
      <c r="B33" s="58" t="s">
        <v>205</v>
      </c>
      <c r="C33" s="454">
        <f>[3]AirTran!$DO$19</f>
        <v>190</v>
      </c>
      <c r="D33" s="455">
        <f>C33/$C$56</f>
        <v>5.7873895826987508E-3</v>
      </c>
      <c r="E33" s="302">
        <f>[3]AirTran!$DA$19</f>
        <v>296</v>
      </c>
      <c r="F33" s="456">
        <f>(C33-E33)/E33</f>
        <v>-0.35810810810810811</v>
      </c>
      <c r="G33" s="302">
        <f>SUM([3]AirTran!$DJ$19:$DO$19)</f>
        <v>1318</v>
      </c>
      <c r="H33" s="302">
        <f>SUM([3]AirTran!$CV$19:$DA$19)</f>
        <v>1618</v>
      </c>
      <c r="I33" s="456">
        <f>(G33-H33)/H33</f>
        <v>-0.18541409147095178</v>
      </c>
      <c r="J33" s="351"/>
      <c r="K33" s="58" t="s">
        <v>205</v>
      </c>
      <c r="L33" s="454">
        <f>[3]AirTran!$DO$41</f>
        <v>20515</v>
      </c>
      <c r="M33" s="455">
        <f>L33/$L$56</f>
        <v>6.5200588346717757E-3</v>
      </c>
      <c r="N33" s="302">
        <f>[3]AirTran!$DA$41</f>
        <v>31872</v>
      </c>
      <c r="O33" s="456">
        <f>(L33-N33)/N33</f>
        <v>-0.35633157630522089</v>
      </c>
      <c r="P33" s="302">
        <f>SUM([3]AirTran!$DJ$41:$DO$41)</f>
        <v>130318</v>
      </c>
      <c r="Q33" s="302">
        <f>SUM([3]AirTran!$CV$41:$DA$41)</f>
        <v>163687</v>
      </c>
      <c r="R33" s="456">
        <f>(P33-Q33)/Q33</f>
        <v>-0.20385858376046967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[3]Spirit!$DO$19</f>
        <v>588</v>
      </c>
      <c r="D35" s="353">
        <f>C35/$C$56</f>
        <v>1.7910447761194031E-2</v>
      </c>
      <c r="E35" s="354">
        <f>[3]Spirit!$DA$19</f>
        <v>344</v>
      </c>
      <c r="F35" s="355">
        <f>(C35-E35)/E35</f>
        <v>0.70930232558139539</v>
      </c>
      <c r="G35" s="354">
        <f>SUM([3]Spirit!$DJ$19:$DO$19)</f>
        <v>3797</v>
      </c>
      <c r="H35" s="354">
        <f>SUM([3]Spirit!$CV$19:$DA$19)</f>
        <v>1952</v>
      </c>
      <c r="I35" s="355">
        <f>(G35-H35)/H35</f>
        <v>0.94518442622950816</v>
      </c>
      <c r="J35" s="351" t="s">
        <v>182</v>
      </c>
      <c r="K35" s="58"/>
      <c r="L35" s="352">
        <f>[3]Spirit!$DO$41</f>
        <v>78682</v>
      </c>
      <c r="M35" s="353">
        <f>L35/$L$56</f>
        <v>2.5006642419188138E-2</v>
      </c>
      <c r="N35" s="354">
        <f>[3]Spirit!$DA$41</f>
        <v>44425</v>
      </c>
      <c r="O35" s="355">
        <f>(L35-N35)/N35</f>
        <v>0.77111986494091167</v>
      </c>
      <c r="P35" s="354">
        <f>SUM([3]Spirit!$DJ$41:$DO$41)</f>
        <v>500866</v>
      </c>
      <c r="Q35" s="354">
        <f>SUM([3]Spirit!$CV$41:$DA$41)</f>
        <v>257206</v>
      </c>
      <c r="R35" s="355">
        <f>(P35-Q35)/Q35</f>
        <v>0.94733404352931116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Country'!$DO$19</f>
        <v>1272</v>
      </c>
      <c r="D37" s="353">
        <f>C37/$C$56</f>
        <v>3.8745050258909536E-2</v>
      </c>
      <c r="E37" s="354">
        <f>'[3]Sun Country'!$DA$19</f>
        <v>1137</v>
      </c>
      <c r="F37" s="355">
        <f>(C37-E37)/E37</f>
        <v>0.11873350923482849</v>
      </c>
      <c r="G37" s="354">
        <f>SUM('[3]Sun Country'!$DJ$19:$DO$19)</f>
        <v>8924</v>
      </c>
      <c r="H37" s="354">
        <f>SUM('[3]Sun Country'!$CV$19:$DA$19)</f>
        <v>7073</v>
      </c>
      <c r="I37" s="355">
        <f>(G37-H37)/H37</f>
        <v>0.2616994203308356</v>
      </c>
      <c r="J37" s="351" t="s">
        <v>53</v>
      </c>
      <c r="K37" s="367"/>
      <c r="L37" s="352">
        <f>'[3]Sun Country'!$DO$41</f>
        <v>125628</v>
      </c>
      <c r="M37" s="353">
        <f>L37/$L$56</f>
        <v>3.9926977883604477E-2</v>
      </c>
      <c r="N37" s="354">
        <f>'[3]Sun Country'!$DA$41</f>
        <v>116480</v>
      </c>
      <c r="O37" s="355">
        <f>(L37-N37)/N37</f>
        <v>7.8537087912087911E-2</v>
      </c>
      <c r="P37" s="354">
        <f>SUM('[3]Sun Country'!$DJ$41:$DO$41)</f>
        <v>873700</v>
      </c>
      <c r="Q37" s="354">
        <f>SUM('[3]Sun Country'!$CV$41:$DA$41)</f>
        <v>766925</v>
      </c>
      <c r="R37" s="355">
        <f>(P37-Q37)/Q37</f>
        <v>0.1392248264171855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1770</v>
      </c>
      <c r="D39" s="353">
        <f>C39/$C$56</f>
        <v>5.3914102954614684E-2</v>
      </c>
      <c r="E39" s="354">
        <f>SUM(E40:E46)</f>
        <v>1884</v>
      </c>
      <c r="F39" s="355">
        <f t="shared" ref="F39:F46" si="6">(C39-E39)/E39</f>
        <v>-6.0509554140127389E-2</v>
      </c>
      <c r="G39" s="354">
        <f>SUM(G40:G46)</f>
        <v>9474</v>
      </c>
      <c r="H39" s="354">
        <f>SUM(H40:H46)</f>
        <v>10515</v>
      </c>
      <c r="I39" s="355">
        <f t="shared" ref="I39:I46" si="7">(G39-H39)/H39</f>
        <v>-9.9001426533523534E-2</v>
      </c>
      <c r="J39" s="351" t="s">
        <v>21</v>
      </c>
      <c r="K39" s="359"/>
      <c r="L39" s="352">
        <f>SUM(L40:L46)</f>
        <v>111276</v>
      </c>
      <c r="M39" s="353">
        <f t="shared" ref="M39:M46" si="8">L39/$L$56</f>
        <v>3.5365638161683477E-2</v>
      </c>
      <c r="N39" s="354">
        <f>SUM(N40:N46)</f>
        <v>95001</v>
      </c>
      <c r="O39" s="355">
        <f t="shared" ref="O39:O46" si="9">(L39-N39)/N39</f>
        <v>0.17131398616856663</v>
      </c>
      <c r="P39" s="354">
        <f>SUM(P40:P46)</f>
        <v>609435</v>
      </c>
      <c r="Q39" s="354">
        <f>SUM(Q40:Q46)</f>
        <v>617772</v>
      </c>
      <c r="R39" s="355">
        <f t="shared" ref="R39:R46" si="10">(P39-Q39)/Q39</f>
        <v>-1.3495270099648415E-2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[3]United!$DO$19</f>
        <v>206</v>
      </c>
      <c r="D40" s="41">
        <f>C40/$C$56</f>
        <v>6.2747487054523304E-3</v>
      </c>
      <c r="E40" s="9">
        <f>[3]United!$DA$19+[3]Continental!$DA$19</f>
        <v>134</v>
      </c>
      <c r="F40" s="89">
        <f t="shared" si="6"/>
        <v>0.53731343283582089</v>
      </c>
      <c r="G40" s="9">
        <f>SUM([3]United!$DJ$19:$DO$19)</f>
        <v>1698</v>
      </c>
      <c r="H40" s="9">
        <f>SUM([3]United!$CV$19:$DA$19)+SUM([3]Continental!$CV$19:$DA$19)</f>
        <v>2194</v>
      </c>
      <c r="I40" s="89">
        <f t="shared" si="7"/>
        <v>-0.22607110300820418</v>
      </c>
      <c r="J40" s="368"/>
      <c r="K40" s="360" t="s">
        <v>192</v>
      </c>
      <c r="L40" s="356">
        <f>[3]United!$DO$41</f>
        <v>20961</v>
      </c>
      <c r="M40" s="41">
        <f t="shared" si="8"/>
        <v>6.6618061532320296E-3</v>
      </c>
      <c r="N40" s="9">
        <f>[3]United!$DA$41+[3]Continental!$DA$41</f>
        <v>12802</v>
      </c>
      <c r="O40" s="89">
        <f t="shared" si="9"/>
        <v>0.63732229339165758</v>
      </c>
      <c r="P40" s="9">
        <f>SUM([3]United!$DJ$41:$DO$41)+SUM([3]Continental!$DJ$41:$DO$41)</f>
        <v>184669</v>
      </c>
      <c r="Q40" s="9">
        <f>SUM([3]United!$CV$41:$DA$41)+SUM([3]Continental!$CV$41:$DA$41)</f>
        <v>223035</v>
      </c>
      <c r="R40" s="89">
        <f t="shared" si="10"/>
        <v>-0.17201784473288945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[3]Chautaqua_Continental!$DO$19</f>
        <v>0</v>
      </c>
      <c r="D41" s="41">
        <f>C41/$C$56</f>
        <v>0</v>
      </c>
      <c r="E41" s="9">
        <f>[3]Chautaqua_Continental!$DA$19</f>
        <v>70</v>
      </c>
      <c r="F41" s="89">
        <f t="shared" si="6"/>
        <v>-1</v>
      </c>
      <c r="G41" s="9">
        <f>SUM([3]Chautaqua_Continental!$DJ$19:$DO$19)</f>
        <v>58</v>
      </c>
      <c r="H41" s="9">
        <f>SUM([3]Chautaqua_Continental!$CV$19:$DA$19)</f>
        <v>507</v>
      </c>
      <c r="I41" s="89">
        <f t="shared" si="7"/>
        <v>-0.88560157790927019</v>
      </c>
      <c r="J41" s="55"/>
      <c r="K41" s="361" t="s">
        <v>130</v>
      </c>
      <c r="L41" s="356">
        <f>[3]Chautaqua_Continental!$DO$41</f>
        <v>0</v>
      </c>
      <c r="M41" s="41">
        <f t="shared" si="8"/>
        <v>0</v>
      </c>
      <c r="N41" s="9">
        <f>[3]Chautaqua_Continental!$DA$41</f>
        <v>2545</v>
      </c>
      <c r="O41" s="89">
        <f t="shared" si="9"/>
        <v>-1</v>
      </c>
      <c r="P41" s="9">
        <f>SUM([3]Chautaqua_Continental!$DJ$41:$DO$41)</f>
        <v>2215</v>
      </c>
      <c r="Q41" s="9">
        <f>SUM([3]Chautaqua_Continental!$CV$41:$DA$41)</f>
        <v>18486</v>
      </c>
      <c r="R41" s="89">
        <f t="shared" si="10"/>
        <v>-0.88017959536946877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Jet_UA'!$DO$19</f>
        <v>234</v>
      </c>
      <c r="D42" s="41">
        <f>C42/$C$56</f>
        <v>7.1276271702710933E-3</v>
      </c>
      <c r="E42" s="9">
        <f>'[3]Go Jet_UA'!$DA$19</f>
        <v>116</v>
      </c>
      <c r="F42" s="89">
        <f>(C42-E42)/E42</f>
        <v>1.0172413793103448</v>
      </c>
      <c r="G42" s="9">
        <f>SUM('[3]Go Jet_UA'!$DJ$19:$DO$19)</f>
        <v>1748</v>
      </c>
      <c r="H42" s="9">
        <f>SUM('[3]Go Jet_UA'!$CV$19:$DA$19)</f>
        <v>116</v>
      </c>
      <c r="I42" s="89">
        <f>(G42-H42)/H42</f>
        <v>14.068965517241379</v>
      </c>
      <c r="J42" s="55"/>
      <c r="K42" s="361" t="s">
        <v>181</v>
      </c>
      <c r="L42" s="356">
        <f>'[3]Go Jet_UA'!$DO$41</f>
        <v>14606</v>
      </c>
      <c r="M42" s="41">
        <f t="shared" si="8"/>
        <v>4.6420657732983645E-3</v>
      </c>
      <c r="N42" s="9">
        <f>'[3]Go Jet_UA'!$DA$41</f>
        <v>6719</v>
      </c>
      <c r="O42" s="89">
        <f>(L42-N42)/N42</f>
        <v>1.1738353921714542</v>
      </c>
      <c r="P42" s="9">
        <f>SUM('[3]Go Jet_UA'!$DJ$41:$DO$41)</f>
        <v>107204</v>
      </c>
      <c r="Q42" s="9">
        <f>SUM('[3]Go Jet_UA'!$CV$41:$DA$41)</f>
        <v>6719</v>
      </c>
      <c r="R42" s="89">
        <f>(P42-Q42)/Q42</f>
        <v>14.9553504985861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[3]MESA_UA!$DO$19</f>
        <v>0</v>
      </c>
      <c r="D43" s="41">
        <f>C43/$C$56</f>
        <v>0</v>
      </c>
      <c r="E43" s="9">
        <f>[3]MESA_UA!$DA$19</f>
        <v>0</v>
      </c>
      <c r="F43" s="89" t="e">
        <f>(C43-E43)/E43</f>
        <v>#DIV/0!</v>
      </c>
      <c r="G43" s="9">
        <f>SUM([3]MESA_UA!$DJ$19:$DO$19)</f>
        <v>396</v>
      </c>
      <c r="H43" s="9">
        <f>SUM([3]MESA_UA!$CV$19:$DA$19)</f>
        <v>0</v>
      </c>
      <c r="I43" s="89" t="e">
        <f>(G43-H43)/H43</f>
        <v>#DIV/0!</v>
      </c>
      <c r="J43" s="55"/>
      <c r="K43" s="361" t="s">
        <v>56</v>
      </c>
      <c r="L43" s="356">
        <f>[3]MESA_UA!$DO$41</f>
        <v>0</v>
      </c>
      <c r="M43" s="41">
        <f t="shared" si="8"/>
        <v>0</v>
      </c>
      <c r="N43" s="9">
        <f>[3]MESA_UA!$DA$41</f>
        <v>0</v>
      </c>
      <c r="O43" s="89" t="e">
        <f>(L43-N43)/N43</f>
        <v>#DIV/0!</v>
      </c>
      <c r="P43" s="9">
        <f>SUM([3]MESA_UA!$DJ$41:$DO$41)</f>
        <v>24133</v>
      </c>
      <c r="Q43" s="9">
        <f>SUM([3]MESA_UA!$CV$41:$DA$41)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Express'!$DO$19</f>
        <v>392</v>
      </c>
      <c r="D44" s="41">
        <f>C44/$C$55</f>
        <v>2.4627756486775145E-2</v>
      </c>
      <c r="E44" s="9">
        <f>'[3]Continental Express'!$DA$19</f>
        <v>616</v>
      </c>
      <c r="F44" s="89">
        <f t="shared" si="6"/>
        <v>-0.36363636363636365</v>
      </c>
      <c r="G44" s="9">
        <f>SUM('[3]Continental Express'!$DJ$19:$DO$19)</f>
        <v>2534</v>
      </c>
      <c r="H44" s="9">
        <f>SUM('[3]Continental Express'!$CV$19:$DA$19)</f>
        <v>2916</v>
      </c>
      <c r="I44" s="89">
        <f t="shared" si="7"/>
        <v>-0.13100137174211249</v>
      </c>
      <c r="J44" s="55"/>
      <c r="K44" s="361" t="s">
        <v>177</v>
      </c>
      <c r="L44" s="356">
        <f>'[3]Continental Express'!$DO$41</f>
        <v>16941</v>
      </c>
      <c r="M44" s="41">
        <f t="shared" si="8"/>
        <v>5.3841733715902776E-3</v>
      </c>
      <c r="N44" s="9">
        <f>'[3]Continental Express'!$DA$41</f>
        <v>26230</v>
      </c>
      <c r="O44" s="89">
        <f t="shared" si="9"/>
        <v>-0.35413648494090738</v>
      </c>
      <c r="P44" s="9">
        <f>SUM('[3]Continental Express'!$DJ$41:$DO$41)</f>
        <v>104914</v>
      </c>
      <c r="Q44" s="9">
        <f>SUM('[3]Continental Express'!$CV$41:$DA$41)</f>
        <v>111217</v>
      </c>
      <c r="R44" s="89">
        <f t="shared" si="10"/>
        <v>-5.6672990639920158E-2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West_UA'!$DO$19</f>
        <v>540</v>
      </c>
      <c r="D45" s="41">
        <f>C45/$C$56</f>
        <v>1.6448370392933294E-2</v>
      </c>
      <c r="E45" s="9">
        <f>'[3]Sky West_UA'!$DA$19+'[3]Sky West_CO'!$DA$19</f>
        <v>402</v>
      </c>
      <c r="F45" s="89">
        <f t="shared" si="6"/>
        <v>0.34328358208955223</v>
      </c>
      <c r="G45" s="9">
        <f>SUM('[3]Sky West_UA'!$DJ$19:$DO$19)</f>
        <v>1334</v>
      </c>
      <c r="H45" s="9">
        <f>SUM('[3]Sky West_UA'!$CV$19:$DA$19)+SUM('[3]Sky West_CO'!$CV$19:$DA$19)</f>
        <v>1556</v>
      </c>
      <c r="I45" s="89">
        <f t="shared" si="7"/>
        <v>-0.14267352185089974</v>
      </c>
      <c r="J45" s="368"/>
      <c r="K45" s="361" t="s">
        <v>109</v>
      </c>
      <c r="L45" s="356">
        <f>'[3]Sky West_UA'!$DO$41</f>
        <v>33355</v>
      </c>
      <c r="M45" s="41">
        <f t="shared" si="8"/>
        <v>1.060085607752752E-2</v>
      </c>
      <c r="N45" s="9">
        <f>'[3]Sky West_UA'!$DA$41+'[3]Sky West_CO'!$DA$41</f>
        <v>13231</v>
      </c>
      <c r="O45" s="89">
        <f t="shared" si="9"/>
        <v>1.5209734713929408</v>
      </c>
      <c r="P45" s="9">
        <f>SUM('[3]Sky West_UA'!$DJ$41:$DO$41)</f>
        <v>80440</v>
      </c>
      <c r="Q45" s="9">
        <f>SUM('[3]Sky West_UA'!$CV$41:$DA$41)+SUM('[3]Sky West_CO'!$CV$41:$DA$41)</f>
        <v>79496</v>
      </c>
      <c r="R45" s="89">
        <f t="shared" si="10"/>
        <v>1.1874811311260943E-2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America'!$DO$19</f>
        <v>398</v>
      </c>
      <c r="D46" s="41">
        <f>C46/$C$56</f>
        <v>1.2123058178495278E-2</v>
      </c>
      <c r="E46" s="9">
        <f>'[3]Shuttle America'!$DA$19</f>
        <v>546</v>
      </c>
      <c r="F46" s="89">
        <f t="shared" si="6"/>
        <v>-0.27106227106227104</v>
      </c>
      <c r="G46" s="9">
        <f>SUM('[3]Shuttle America'!$DJ$19:$DO$19)</f>
        <v>1706</v>
      </c>
      <c r="H46" s="9">
        <f>SUM('[3]Shuttle America'!$CV$19:$DA$19)</f>
        <v>3226</v>
      </c>
      <c r="I46" s="89">
        <f t="shared" si="7"/>
        <v>-0.47117172969621823</v>
      </c>
      <c r="J46" s="368"/>
      <c r="K46" s="362" t="s">
        <v>147</v>
      </c>
      <c r="L46" s="356">
        <f>'[3]Shuttle America'!$DO$41</f>
        <v>25413</v>
      </c>
      <c r="M46" s="41">
        <f t="shared" si="8"/>
        <v>8.076736786035283E-3</v>
      </c>
      <c r="N46" s="9">
        <f>'[3]Shuttle America'!$DA$41</f>
        <v>33474</v>
      </c>
      <c r="O46" s="89">
        <f t="shared" si="9"/>
        <v>-0.24081376590786879</v>
      </c>
      <c r="P46" s="9">
        <f>SUM('[3]Shuttle America'!$DJ$41:$DO$41)</f>
        <v>105860</v>
      </c>
      <c r="Q46" s="9">
        <f>SUM('[3]Shuttle America'!$CV$41:$DA$41)</f>
        <v>178819</v>
      </c>
      <c r="R46" s="89">
        <f t="shared" si="10"/>
        <v>-0.40800474222537875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1027</v>
      </c>
      <c r="D48" s="353">
        <f>C48/$C$56</f>
        <v>3.1282363691745356E-2</v>
      </c>
      <c r="E48" s="354">
        <f>SUM(E49:E52)</f>
        <v>920</v>
      </c>
      <c r="F48" s="355">
        <f>(C48-E48)/E48</f>
        <v>0.11630434782608695</v>
      </c>
      <c r="G48" s="354">
        <f>SUM(G49:G52)</f>
        <v>5287</v>
      </c>
      <c r="H48" s="354">
        <f>SUM(H49:H52)</f>
        <v>5411</v>
      </c>
      <c r="I48" s="355">
        <f>(G48-H48)/H48</f>
        <v>-2.2916281648493807E-2</v>
      </c>
      <c r="J48" s="363" t="s">
        <v>22</v>
      </c>
      <c r="K48" s="364"/>
      <c r="L48" s="352">
        <f>SUM(L49:L52)</f>
        <v>118888</v>
      </c>
      <c r="M48" s="353">
        <f>L48/$L$56</f>
        <v>3.7784877150205121E-2</v>
      </c>
      <c r="N48" s="354">
        <f>SUM(N49:N52)</f>
        <v>118844</v>
      </c>
      <c r="O48" s="355">
        <f>(L48-N48)/N48</f>
        <v>3.7023324694557573E-4</v>
      </c>
      <c r="P48" s="354">
        <f>SUM(P49:P52)</f>
        <v>634247</v>
      </c>
      <c r="Q48" s="354">
        <f>SUM(Q49:Q52)</f>
        <v>664522</v>
      </c>
      <c r="R48" s="355">
        <f>(P48-Q48)/Q48</f>
        <v>-4.5559063507302995E-2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Airways'!$DO$19</f>
        <v>706</v>
      </c>
      <c r="D49" s="41">
        <f>C49/$C$56</f>
        <v>2.1504721291501674E-2</v>
      </c>
      <c r="E49" s="9">
        <f>'[3]US Airways'!$DA$19</f>
        <v>714</v>
      </c>
      <c r="F49" s="89">
        <f>(C49-E49)/E49</f>
        <v>-1.1204481792717087E-2</v>
      </c>
      <c r="G49" s="9">
        <f>SUM('[3]US Airways'!$DJ$19:$DO$19)</f>
        <v>4141</v>
      </c>
      <c r="H49" s="9">
        <f>SUM('[3]US Airways'!$CV$19:$DA$19)</f>
        <v>4178</v>
      </c>
      <c r="I49" s="89">
        <f>(G49-H49)/H49</f>
        <v>-8.8559119195787458E-3</v>
      </c>
      <c r="J49" s="368"/>
      <c r="K49" s="360" t="s">
        <v>22</v>
      </c>
      <c r="L49" s="356">
        <f>'[3]US Airways'!$DO$41</f>
        <v>97929</v>
      </c>
      <c r="M49" s="41">
        <f>L49/$L$56</f>
        <v>3.1123706635172912E-2</v>
      </c>
      <c r="N49" s="9">
        <f>'[3]US Airways'!$DA$41</f>
        <v>105047</v>
      </c>
      <c r="O49" s="89">
        <f>(L49-N49)/N49</f>
        <v>-6.7760145458699433E-2</v>
      </c>
      <c r="P49" s="9">
        <f>SUM('[3]US Airways'!$DJ$41:$DO$41)</f>
        <v>565615</v>
      </c>
      <c r="Q49" s="9">
        <f>SUM('[3]US Airways'!$CV$41:$DA$41)</f>
        <v>590047</v>
      </c>
      <c r="R49" s="89">
        <f>(P49-Q49)/Q49</f>
        <v>-4.1406870978074627E-2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[3]Republic!$DO$19</f>
        <v>173</v>
      </c>
      <c r="D50" s="41">
        <f>C50/$C$56</f>
        <v>5.2695705147730735E-3</v>
      </c>
      <c r="E50" s="9">
        <f>[3]Republic!$DA$19</f>
        <v>196</v>
      </c>
      <c r="F50" s="89">
        <f>(C50-E50)/E50</f>
        <v>-0.11734693877551021</v>
      </c>
      <c r="G50" s="9">
        <f>SUM([3]Republic!$DJ$19:$DO$19)</f>
        <v>977</v>
      </c>
      <c r="H50" s="9">
        <f>SUM([3]Republic!$CV$19:$DA$19)</f>
        <v>1193</v>
      </c>
      <c r="I50" s="89">
        <f>(G50-H50)/H50</f>
        <v>-0.18105616093880972</v>
      </c>
      <c r="J50" s="368"/>
      <c r="K50" s="362" t="s">
        <v>57</v>
      </c>
      <c r="L50" s="356">
        <f>[3]Republic!$DO$41</f>
        <v>11763</v>
      </c>
      <c r="M50" s="41">
        <f>L50/$L$56</f>
        <v>3.7385060722517228E-3</v>
      </c>
      <c r="N50" s="9">
        <f>[3]Republic!$DA$41</f>
        <v>13313</v>
      </c>
      <c r="O50" s="89">
        <f>(L50-N50)/N50</f>
        <v>-0.11642755201682566</v>
      </c>
      <c r="P50" s="9">
        <f>SUM([3]Republic!$DJ$41:$DO$41)</f>
        <v>58566</v>
      </c>
      <c r="Q50" s="9">
        <f>SUM([3]Republic!$CV$41:$DA$41)</f>
        <v>72840</v>
      </c>
      <c r="R50" s="89">
        <f>(P50-Q50)/Q50</f>
        <v>-0.19596375617792422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[3]MESA!$DO$19</f>
        <v>128</v>
      </c>
      <c r="D51" s="41">
        <f>C51/$C$56</f>
        <v>3.8988729820286323E-3</v>
      </c>
      <c r="E51" s="9">
        <f>[3]MESA!$DA$19</f>
        <v>0</v>
      </c>
      <c r="F51" s="89" t="e">
        <f>(C51-E51)/E51</f>
        <v>#DIV/0!</v>
      </c>
      <c r="G51" s="9">
        <f>SUM([3]MESA!$DJ$19:$DO$19)</f>
        <v>128</v>
      </c>
      <c r="H51" s="9">
        <f>SUM([3]MESA!$CV$19:$DA$19)</f>
        <v>0</v>
      </c>
      <c r="I51" s="89" t="e">
        <f>(G51-H51)/H51</f>
        <v>#DIV/0!</v>
      </c>
      <c r="J51" s="368"/>
      <c r="K51" s="361" t="s">
        <v>108</v>
      </c>
      <c r="L51" s="356">
        <f>[3]MESA!$DO$41</f>
        <v>8394</v>
      </c>
      <c r="M51" s="41">
        <f>L51/$L$56</f>
        <v>2.6677735246519564E-3</v>
      </c>
      <c r="N51" s="9">
        <f>[3]MESA!$DA$41</f>
        <v>0</v>
      </c>
      <c r="O51" s="89" t="e">
        <f>(L51-N51)/N51</f>
        <v>#DIV/0!</v>
      </c>
      <c r="P51" s="9">
        <f>SUM([3]MESA!$DJ$41:$DO$41)</f>
        <v>8394</v>
      </c>
      <c r="Q51" s="9">
        <f>SUM([3]MESA!$CV$41:$DA$41)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Wisconsin'!$DO$19</f>
        <v>20</v>
      </c>
      <c r="D52" s="372">
        <f>C52/$C$56</f>
        <v>6.0919890344197382E-4</v>
      </c>
      <c r="E52" s="374">
        <f>'[3]Air Wisconsin'!$DA$19</f>
        <v>10</v>
      </c>
      <c r="F52" s="373">
        <f>(C52-E52)/E52</f>
        <v>1</v>
      </c>
      <c r="G52" s="374">
        <f>SUM('[3]Air Wisconsin'!$DJ$19:$DO$19)</f>
        <v>41</v>
      </c>
      <c r="H52" s="374">
        <f>SUM('[3]Air Wisconsin'!$CV$19:$DA$19)</f>
        <v>40</v>
      </c>
      <c r="I52" s="398">
        <f>(G52-H52)/H52</f>
        <v>2.5000000000000001E-2</v>
      </c>
      <c r="J52" s="369"/>
      <c r="K52" s="370" t="s">
        <v>54</v>
      </c>
      <c r="L52" s="371">
        <f>'[3]Air Wisconsin'!$DO$41</f>
        <v>802</v>
      </c>
      <c r="M52" s="372">
        <f>L52/$L$56</f>
        <v>2.5489091812852857E-4</v>
      </c>
      <c r="N52" s="374">
        <f>'[3]Air Wisconsin'!$DA$41</f>
        <v>484</v>
      </c>
      <c r="O52" s="373">
        <f>(L52-N52)/N52</f>
        <v>0.65702479338842978</v>
      </c>
      <c r="P52" s="374">
        <f>SUM('[3]Air Wisconsin'!$DJ$41:$DO$41)</f>
        <v>1672</v>
      </c>
      <c r="Q52" s="374">
        <f>SUM('[3]Air Wisconsin'!$CV$41:$DA$41)</f>
        <v>1635</v>
      </c>
      <c r="R52" s="373">
        <f>(P52-Q52)/Q52</f>
        <v>2.2629969418960245E-2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16913</v>
      </c>
      <c r="D54" s="451">
        <f>C54/$C$56</f>
        <v>0.51516905269570512</v>
      </c>
      <c r="E54" s="382">
        <f>+E56-E55</f>
        <v>16826</v>
      </c>
      <c r="F54" s="384">
        <f>(C54-E54)/E54</f>
        <v>5.1705693569475807E-3</v>
      </c>
      <c r="G54" s="382">
        <f>+G56-G55</f>
        <v>92369</v>
      </c>
      <c r="H54" s="382">
        <f>+H56-H55</f>
        <v>93839</v>
      </c>
      <c r="I54" s="385">
        <f>(G54-H54)/H54</f>
        <v>-1.5665128571276336E-2</v>
      </c>
      <c r="K54" s="381" t="s">
        <v>149</v>
      </c>
      <c r="L54" s="382">
        <f>+L56-L55</f>
        <v>2310963</v>
      </c>
      <c r="M54" s="383">
        <f>+L54/L56</f>
        <v>0.73446818058735508</v>
      </c>
      <c r="N54" s="382">
        <f>+N56-N55</f>
        <v>2125878</v>
      </c>
      <c r="O54" s="384">
        <f>(L54-N54)/N54</f>
        <v>8.7062851207830361E-2</v>
      </c>
      <c r="P54" s="382">
        <f>+P56-P55</f>
        <v>11987618</v>
      </c>
      <c r="Q54" s="382">
        <f>+Q56-Q55</f>
        <v>11148631</v>
      </c>
      <c r="R54" s="385">
        <f>(P54-Q54)/Q54</f>
        <v>7.525471064563892E-2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15917</v>
      </c>
      <c r="D55" s="452">
        <f>C55/$C$56</f>
        <v>0.48483094730429488</v>
      </c>
      <c r="E55" s="386">
        <f>+E52+E51+E50+E46+E23+E21+E19+E18+E4+E22+E12+E45+E20+E44+E41+E42+E43</f>
        <v>18160</v>
      </c>
      <c r="F55" s="388">
        <f>(C55-E55)/E55</f>
        <v>-0.12351321585903084</v>
      </c>
      <c r="G55" s="386">
        <f>+G52+G51+G50+G46+G23+G21+G19+G18+G4+G22+G12+G45+G20+G44+G41+G42+G43</f>
        <v>94462</v>
      </c>
      <c r="H55" s="386">
        <f>+H52+H51+H50+H46+H23+H21+H19+H18+H4+H22+H12+H45+H20+H44+H41+H42+H43</f>
        <v>100497</v>
      </c>
      <c r="I55" s="389">
        <f>(G55-H55)/H55</f>
        <v>-6.0051543827178921E-2</v>
      </c>
      <c r="K55" s="335" t="s">
        <v>150</v>
      </c>
      <c r="L55" s="386">
        <f>+L52+L51+L50+L46+L23+L21+L19+L18+L4+L22+L12+L45+L20+L44+L41+L42+L43</f>
        <v>835481</v>
      </c>
      <c r="M55" s="387">
        <f>+L55/L56</f>
        <v>0.26553181941264486</v>
      </c>
      <c r="N55" s="386">
        <f>+N52+N51+N50+N46+N23+N21+N19+N18+N4+N22+N12+N45+N20+N44+N41+N42+N43</f>
        <v>900907</v>
      </c>
      <c r="O55" s="388">
        <f>(L55-N55)/N55</f>
        <v>-7.2622368346566296E-2</v>
      </c>
      <c r="P55" s="386">
        <f>+P52+P51+P50+P46+P23+P21+P19+P18+P4+P22+P12+P45+P20+P44+P41+P42+P43</f>
        <v>4722899</v>
      </c>
      <c r="Q55" s="386">
        <f>+Q52+Q51+Q50+Q46+Q23+Q21+Q19+Q18+Q4+Q22+Q12+Q45+Q20+Q44+Q41+Q42+Q43</f>
        <v>4721738</v>
      </c>
      <c r="R55" s="389">
        <f>(P55-Q55)/Q55</f>
        <v>2.4588403676781729E-4</v>
      </c>
    </row>
    <row r="56" spans="1:21" ht="14.1" customHeight="1" x14ac:dyDescent="0.2">
      <c r="B56" s="335" t="s">
        <v>151</v>
      </c>
      <c r="C56" s="390">
        <f>+C48+C39+C37+C31+C29+C25+C16+C10+C8+C4+C27+C35+C6+C14</f>
        <v>32830</v>
      </c>
      <c r="D56" s="453">
        <f>+C56/C56</f>
        <v>1</v>
      </c>
      <c r="E56" s="390">
        <f>+E48+E39+E37+E31+E29+E25+E16+E10+E8+E4+E27+E35+E6+E14</f>
        <v>34986</v>
      </c>
      <c r="F56" s="392">
        <f>(C56-E56)/E56</f>
        <v>-6.1624649859943981E-2</v>
      </c>
      <c r="G56" s="390">
        <f>+G48+G39+G37+G31+G29+G25+G16+G10+G8+G4+G27+G35+G6+G14</f>
        <v>186831</v>
      </c>
      <c r="H56" s="390">
        <f>+H48+H39+H37+H31+H29+H25+H16+H10+H8+H4+H27+H35+H6+H14</f>
        <v>194336</v>
      </c>
      <c r="I56" s="393">
        <f>(G56-H56)/H56</f>
        <v>-3.8618681047258359E-2</v>
      </c>
      <c r="K56" s="335" t="s">
        <v>151</v>
      </c>
      <c r="L56" s="390">
        <f>+L48+L39+L37+L31+L29+L25+L16+L10+L8+L4+L27+L35+L6+L14</f>
        <v>3146444</v>
      </c>
      <c r="M56" s="391">
        <f>+L56/L56</f>
        <v>1</v>
      </c>
      <c r="N56" s="390">
        <f>+N48+N39+N37+N31+N29+N25+N16+N10+N8+N4+N27+N35+N6+N14</f>
        <v>3026785</v>
      </c>
      <c r="O56" s="392">
        <f>(L56-N56)/N56</f>
        <v>3.9533366261561356E-2</v>
      </c>
      <c r="P56" s="390">
        <f>+P48+P39+P37+P31+P29+P25+P16+P10+P8+P4+P27+P35+P6+P14</f>
        <v>16710517</v>
      </c>
      <c r="Q56" s="390">
        <f>+Q48+Q39+Q37+Q31+Q29+Q25+Q16+Q10+Q8+Q4+Q27+Q35+Q6+Q14</f>
        <v>15870369</v>
      </c>
      <c r="R56" s="393">
        <f>(P56-Q56)/Q56</f>
        <v>5.2938151595593022E-2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June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F28" sqref="F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41791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216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[3]American!$DO$22</f>
        <v>27643</v>
      </c>
      <c r="C4" s="22">
        <f>[3]Delta!$DO$22+[3]Delta!$DO$32</f>
        <v>842174</v>
      </c>
      <c r="D4" s="22">
        <f>[3]United!$DO$22</f>
        <v>10718</v>
      </c>
      <c r="E4" s="22">
        <f>'[3]US Airways'!$DO$22</f>
        <v>46789</v>
      </c>
      <c r="F4" s="22">
        <f>[3]Spirit!$DO$22</f>
        <v>40615</v>
      </c>
      <c r="G4" s="22">
        <f>[3]Condor!$DO$22+[3]Condor!$DO$32</f>
        <v>442</v>
      </c>
      <c r="H4" s="22">
        <f>'[3]Air France'!$DO$22+'[3]Air France'!$DO$32</f>
        <v>7177</v>
      </c>
      <c r="I4" s="22">
        <f>'Other Major Airline Stats'!I5</f>
        <v>189601</v>
      </c>
      <c r="J4" s="286">
        <f>SUM(B4:I4)</f>
        <v>1165159</v>
      </c>
    </row>
    <row r="5" spans="1:19" x14ac:dyDescent="0.2">
      <c r="A5" s="65" t="s">
        <v>34</v>
      </c>
      <c r="B5" s="14">
        <f>[3]American!$DO$23</f>
        <v>26655</v>
      </c>
      <c r="C5" s="14">
        <f>[3]Delta!$DO$23+[3]Delta!$DO$33</f>
        <v>832924</v>
      </c>
      <c r="D5" s="14">
        <f>[3]United!$DO$23</f>
        <v>10243</v>
      </c>
      <c r="E5" s="14">
        <f>'[3]US Airways'!$DO$23</f>
        <v>51140</v>
      </c>
      <c r="F5" s="14">
        <f>[3]Spirit!$DO$23</f>
        <v>38067</v>
      </c>
      <c r="G5" s="14">
        <f>[3]Condor!$DO$23+[3]Condor!$DO$33</f>
        <v>468</v>
      </c>
      <c r="H5" s="14">
        <f>'[3]Air France'!$DO$23+'[3]Air France'!$DO$33</f>
        <v>6962</v>
      </c>
      <c r="I5" s="14">
        <f>'Other Major Airline Stats'!I6</f>
        <v>179345</v>
      </c>
      <c r="J5" s="287">
        <f>SUM(B5:I5)</f>
        <v>1145804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54298</v>
      </c>
      <c r="C6" s="36">
        <f t="shared" si="0"/>
        <v>1675098</v>
      </c>
      <c r="D6" s="36">
        <f t="shared" si="0"/>
        <v>20961</v>
      </c>
      <c r="E6" s="36">
        <f t="shared" si="0"/>
        <v>97929</v>
      </c>
      <c r="F6" s="36">
        <f t="shared" si="0"/>
        <v>78682</v>
      </c>
      <c r="G6" s="36">
        <f t="shared" si="0"/>
        <v>910</v>
      </c>
      <c r="H6" s="36">
        <f t="shared" si="0"/>
        <v>14139</v>
      </c>
      <c r="I6" s="36">
        <f t="shared" si="0"/>
        <v>368946</v>
      </c>
      <c r="J6" s="288">
        <f>SUM(B6:I6)</f>
        <v>2310963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[3]American!$DO$27</f>
        <v>1120</v>
      </c>
      <c r="C9" s="22">
        <f>[3]Delta!$DO$27+[3]Delta!$DO$37</f>
        <v>28278</v>
      </c>
      <c r="D9" s="22">
        <f>[3]United!$DO$27</f>
        <v>399</v>
      </c>
      <c r="E9" s="22">
        <f>'[3]US Airways'!$DO$27</f>
        <v>1305</v>
      </c>
      <c r="F9" s="22">
        <f>[3]Spirit!$DO$27</f>
        <v>294</v>
      </c>
      <c r="G9" s="22">
        <f>[3]Condor!$DO$27+[3]Condor!$DO$37</f>
        <v>5</v>
      </c>
      <c r="H9" s="22">
        <f>'[3]Air France'!$DO$27+'[3]Air France'!$DO$37</f>
        <v>30</v>
      </c>
      <c r="I9" s="22">
        <f>'Other Major Airline Stats'!I10</f>
        <v>3765</v>
      </c>
      <c r="J9" s="286">
        <f>SUM(B9:I9)</f>
        <v>35196</v>
      </c>
    </row>
    <row r="10" spans="1:19" x14ac:dyDescent="0.2">
      <c r="A10" s="65" t="s">
        <v>36</v>
      </c>
      <c r="B10" s="14">
        <f>[3]American!$DO$28</f>
        <v>1205</v>
      </c>
      <c r="C10" s="14">
        <f>[3]Delta!$DO$28+[3]Delta!$DO$38</f>
        <v>27691</v>
      </c>
      <c r="D10" s="14">
        <f>[3]United!$DO$28</f>
        <v>480</v>
      </c>
      <c r="E10" s="14">
        <f>'[3]US Airways'!$DO$28</f>
        <v>1686</v>
      </c>
      <c r="F10" s="14">
        <f>[3]Spirit!$DO$28</f>
        <v>369</v>
      </c>
      <c r="G10" s="14">
        <f>[3]Condor!$DO$28+[3]Condor!$DO$38</f>
        <v>3</v>
      </c>
      <c r="H10" s="14">
        <f>'[3]Air France'!$DO$28+'[3]Air France'!$DO$38</f>
        <v>20</v>
      </c>
      <c r="I10" s="14">
        <f>'Other Major Airline Stats'!I11</f>
        <v>3772</v>
      </c>
      <c r="J10" s="287">
        <f>SUM(B10:I10)</f>
        <v>35226</v>
      </c>
    </row>
    <row r="11" spans="1:19" ht="15.75" thickBot="1" x14ac:dyDescent="0.3">
      <c r="A11" s="66" t="s">
        <v>37</v>
      </c>
      <c r="B11" s="289">
        <f t="shared" ref="B11:I11" si="1">SUM(B9:B10)</f>
        <v>2325</v>
      </c>
      <c r="C11" s="289">
        <f t="shared" si="1"/>
        <v>55969</v>
      </c>
      <c r="D11" s="289">
        <f t="shared" si="1"/>
        <v>879</v>
      </c>
      <c r="E11" s="289">
        <f t="shared" si="1"/>
        <v>2991</v>
      </c>
      <c r="F11" s="289">
        <f t="shared" si="1"/>
        <v>663</v>
      </c>
      <c r="G11" s="289">
        <f t="shared" si="1"/>
        <v>8</v>
      </c>
      <c r="H11" s="289">
        <f t="shared" si="1"/>
        <v>50</v>
      </c>
      <c r="I11" s="289">
        <f t="shared" si="1"/>
        <v>7537</v>
      </c>
      <c r="J11" s="290">
        <f>SUM(B11:I11)</f>
        <v>70422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[3]American!$DO$4</f>
        <v>213</v>
      </c>
      <c r="C15" s="22">
        <f>[3]Delta!$DO$4+[3]Delta!$DO$15</f>
        <v>5794</v>
      </c>
      <c r="D15" s="22">
        <f>[3]United!$DO$4</f>
        <v>103</v>
      </c>
      <c r="E15" s="22">
        <f>'[3]US Airways'!$DO$4</f>
        <v>356</v>
      </c>
      <c r="F15" s="22">
        <f>[3]Spirit!$DO$4</f>
        <v>294</v>
      </c>
      <c r="G15" s="22">
        <f>[3]Condor!$DO$4+[3]Condor!$DO$15</f>
        <v>2</v>
      </c>
      <c r="H15" s="22">
        <f>'[3]Air France'!$DO$4+'[3]Air France'!$DO$15</f>
        <v>29</v>
      </c>
      <c r="I15" s="22">
        <f>'Other Major Airline Stats'!I16</f>
        <v>1597</v>
      </c>
      <c r="J15" s="29">
        <f>SUM(B15:I15)</f>
        <v>8388</v>
      </c>
    </row>
    <row r="16" spans="1:19" x14ac:dyDescent="0.2">
      <c r="A16" s="65" t="s">
        <v>26</v>
      </c>
      <c r="B16" s="14">
        <f>[3]American!$DO$5</f>
        <v>213</v>
      </c>
      <c r="C16" s="14">
        <f>[3]Delta!$DO$5+[3]Delta!$DO$16</f>
        <v>5785</v>
      </c>
      <c r="D16" s="14">
        <f>[3]United!$DO$5</f>
        <v>103</v>
      </c>
      <c r="E16" s="14">
        <f>'[3]US Airways'!$DO$5</f>
        <v>350</v>
      </c>
      <c r="F16" s="14">
        <f>[3]Spirit!$DO$5</f>
        <v>294</v>
      </c>
      <c r="G16" s="14">
        <f>[3]Condor!$DO$5+[3]Condor!$DO$16</f>
        <v>2</v>
      </c>
      <c r="H16" s="14">
        <f>'[3]Air France'!$DO$5+'[3]Air France'!$DO$16</f>
        <v>29</v>
      </c>
      <c r="I16" s="14">
        <f>'Other Major Airline Stats'!I17</f>
        <v>1602</v>
      </c>
      <c r="J16" s="35">
        <f>SUM(B16:I16)</f>
        <v>8378</v>
      </c>
    </row>
    <row r="17" spans="1:10" x14ac:dyDescent="0.2">
      <c r="A17" s="65" t="s">
        <v>27</v>
      </c>
      <c r="B17" s="293">
        <f t="shared" ref="B17:I17" si="2">SUM(B15:B16)</f>
        <v>426</v>
      </c>
      <c r="C17" s="291">
        <f t="shared" si="2"/>
        <v>11579</v>
      </c>
      <c r="D17" s="291">
        <f t="shared" si="2"/>
        <v>206</v>
      </c>
      <c r="E17" s="291">
        <f t="shared" si="2"/>
        <v>706</v>
      </c>
      <c r="F17" s="291">
        <f t="shared" si="2"/>
        <v>588</v>
      </c>
      <c r="G17" s="291">
        <f t="shared" si="2"/>
        <v>4</v>
      </c>
      <c r="H17" s="291">
        <f t="shared" si="2"/>
        <v>58</v>
      </c>
      <c r="I17" s="291">
        <f t="shared" si="2"/>
        <v>3199</v>
      </c>
      <c r="J17" s="292">
        <f>SUM(B17:I17)</f>
        <v>16766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[3]American!$DO$8</f>
        <v>0</v>
      </c>
      <c r="C19" s="22">
        <f>[3]Delta!$DO$8</f>
        <v>6</v>
      </c>
      <c r="D19" s="22">
        <f>[3]United!$DO$8</f>
        <v>0</v>
      </c>
      <c r="E19" s="22">
        <f>'[3]US Airways'!$DO$8</f>
        <v>0</v>
      </c>
      <c r="F19" s="22">
        <f>[3]Spirit!$DO$8</f>
        <v>0</v>
      </c>
      <c r="G19" s="22">
        <f>[3]Condor!$DO$8</f>
        <v>0</v>
      </c>
      <c r="H19" s="22">
        <f>'[3]Air France'!$DO$8</f>
        <v>0</v>
      </c>
      <c r="I19" s="22">
        <f>'Other Major Airline Stats'!I20</f>
        <v>64</v>
      </c>
      <c r="J19" s="29">
        <f>SUM(B19:I19)</f>
        <v>70</v>
      </c>
    </row>
    <row r="20" spans="1:10" x14ac:dyDescent="0.2">
      <c r="A20" s="65" t="s">
        <v>29</v>
      </c>
      <c r="B20" s="14">
        <f>[3]American!$DO$9</f>
        <v>0</v>
      </c>
      <c r="C20" s="14">
        <f>[3]Delta!$DO$9</f>
        <v>12</v>
      </c>
      <c r="D20" s="14">
        <f>[3]United!$DO$9</f>
        <v>0</v>
      </c>
      <c r="E20" s="14">
        <f>'[3]US Airways'!$DO$9</f>
        <v>0</v>
      </c>
      <c r="F20" s="14">
        <f>[3]Spirit!$DO$9</f>
        <v>0</v>
      </c>
      <c r="G20" s="14">
        <f>[3]Condor!$DO$9</f>
        <v>0</v>
      </c>
      <c r="H20" s="14">
        <f>'[3]Air France'!$DO$9</f>
        <v>0</v>
      </c>
      <c r="I20" s="14">
        <f>'Other Major Airline Stats'!I21</f>
        <v>65</v>
      </c>
      <c r="J20" s="35">
        <f>SUM(B20:I20)</f>
        <v>77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18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129</v>
      </c>
      <c r="J21" s="180">
        <f>SUM(B21:I21)</f>
        <v>147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426</v>
      </c>
      <c r="C23" s="30">
        <f t="shared" si="4"/>
        <v>11597</v>
      </c>
      <c r="D23" s="30">
        <f t="shared" si="4"/>
        <v>206</v>
      </c>
      <c r="E23" s="30">
        <f t="shared" si="4"/>
        <v>706</v>
      </c>
      <c r="F23" s="30">
        <f>F17+F21</f>
        <v>588</v>
      </c>
      <c r="G23" s="30">
        <f>G17+G21</f>
        <v>4</v>
      </c>
      <c r="H23" s="30">
        <f>H17+H21</f>
        <v>58</v>
      </c>
      <c r="I23" s="30">
        <f t="shared" si="4"/>
        <v>3328</v>
      </c>
      <c r="J23" s="31">
        <f>SUM(B23:I23)</f>
        <v>16913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[3]American!$DO$47</f>
        <v>31931</v>
      </c>
      <c r="C28" s="22">
        <f>[3]Delta!$DO$47</f>
        <v>3911286</v>
      </c>
      <c r="D28" s="22">
        <f>[3]United!$DO$47</f>
        <v>52886</v>
      </c>
      <c r="E28" s="22">
        <f>'[3]US Airways'!$DO$47</f>
        <v>30366</v>
      </c>
      <c r="F28" s="22">
        <f>[3]Spirit!$DO$47</f>
        <v>0</v>
      </c>
      <c r="G28" s="22">
        <f>[3]Condor!$DO$47</f>
        <v>0</v>
      </c>
      <c r="H28" s="22">
        <f>'[3]Air France'!$DO$47</f>
        <v>84878</v>
      </c>
      <c r="I28" s="22">
        <f>'Other Major Airline Stats'!I28</f>
        <v>361826</v>
      </c>
      <c r="J28" s="29">
        <f>SUM(B28:I28)</f>
        <v>4473173</v>
      </c>
    </row>
    <row r="29" spans="1:10" x14ac:dyDescent="0.2">
      <c r="A29" s="65" t="s">
        <v>41</v>
      </c>
      <c r="B29" s="14">
        <f>[3]American!$DO$48</f>
        <v>0</v>
      </c>
      <c r="C29" s="14">
        <f>[3]Delta!$DO$48</f>
        <v>693354</v>
      </c>
      <c r="D29" s="14">
        <f>[3]United!$DO$48</f>
        <v>99358</v>
      </c>
      <c r="E29" s="14">
        <f>'[3]US Airways'!$DO$48</f>
        <v>19583</v>
      </c>
      <c r="F29" s="14">
        <f>[3]Spirit!$DO$48</f>
        <v>0</v>
      </c>
      <c r="G29" s="14">
        <f>[3]Condor!$DO$48</f>
        <v>0</v>
      </c>
      <c r="H29" s="14">
        <f>'[3]Air France'!$DO$48</f>
        <v>0</v>
      </c>
      <c r="I29" s="14">
        <f>'Other Major Airline Stats'!I29</f>
        <v>41570</v>
      </c>
      <c r="J29" s="35">
        <f>SUM(B29:I29)</f>
        <v>853865</v>
      </c>
    </row>
    <row r="30" spans="1:10" x14ac:dyDescent="0.2">
      <c r="A30" s="69" t="s">
        <v>42</v>
      </c>
      <c r="B30" s="293">
        <f t="shared" ref="B30:I30" si="5">SUM(B28:B29)</f>
        <v>31931</v>
      </c>
      <c r="C30" s="293">
        <f t="shared" si="5"/>
        <v>4604640</v>
      </c>
      <c r="D30" s="293">
        <f t="shared" si="5"/>
        <v>152244</v>
      </c>
      <c r="E30" s="293">
        <f t="shared" si="5"/>
        <v>49949</v>
      </c>
      <c r="F30" s="293">
        <f t="shared" si="5"/>
        <v>0</v>
      </c>
      <c r="G30" s="293">
        <f t="shared" si="5"/>
        <v>0</v>
      </c>
      <c r="H30" s="293">
        <f t="shared" si="5"/>
        <v>84878</v>
      </c>
      <c r="I30" s="293">
        <f t="shared" si="5"/>
        <v>403396</v>
      </c>
      <c r="J30" s="29">
        <f>SUM(B30:I30)</f>
        <v>5327038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[3]American!$DO$52</f>
        <v>14292</v>
      </c>
      <c r="C33" s="22">
        <f>[3]Delta!$DO$52</f>
        <v>3869444</v>
      </c>
      <c r="D33" s="22">
        <f>[3]United!$DO$52</f>
        <v>23607</v>
      </c>
      <c r="E33" s="22">
        <f>'[3]US Airways'!$DO$52</f>
        <v>12753</v>
      </c>
      <c r="F33" s="22">
        <f>[3]Spirit!$DO$52</f>
        <v>0</v>
      </c>
      <c r="G33" s="22">
        <f>[3]Condor!$DO$52</f>
        <v>0</v>
      </c>
      <c r="H33" s="22">
        <f>'[3]Air France'!$DO$52</f>
        <v>122738</v>
      </c>
      <c r="I33" s="22">
        <f>'Other Major Airline Stats'!I33</f>
        <v>96504</v>
      </c>
      <c r="J33" s="29">
        <f t="shared" si="6"/>
        <v>4139338</v>
      </c>
    </row>
    <row r="34" spans="1:10" x14ac:dyDescent="0.2">
      <c r="A34" s="65" t="s">
        <v>41</v>
      </c>
      <c r="B34" s="14">
        <f>[3]American!$DO$53</f>
        <v>0</v>
      </c>
      <c r="C34" s="14">
        <f>[3]Delta!$DO$53</f>
        <v>43484</v>
      </c>
      <c r="D34" s="14">
        <f>[3]United!$DO$53</f>
        <v>65892</v>
      </c>
      <c r="E34" s="14">
        <f>'[3]US Airways'!$DO$53</f>
        <v>38318</v>
      </c>
      <c r="F34" s="14">
        <f>[3]Spirit!$DO$53</f>
        <v>0</v>
      </c>
      <c r="G34" s="14">
        <f>[3]Condor!$DO$53</f>
        <v>0</v>
      </c>
      <c r="H34" s="14">
        <f>'[3]Air France'!$DO$53</f>
        <v>0</v>
      </c>
      <c r="I34" s="14">
        <f>'Other Major Airline Stats'!I34</f>
        <v>211562</v>
      </c>
      <c r="J34" s="35">
        <f t="shared" si="6"/>
        <v>359256</v>
      </c>
    </row>
    <row r="35" spans="1:10" x14ac:dyDescent="0.2">
      <c r="A35" s="69" t="s">
        <v>44</v>
      </c>
      <c r="B35" s="293">
        <f t="shared" ref="B35:I35" si="7">SUM(B33:B34)</f>
        <v>14292</v>
      </c>
      <c r="C35" s="293">
        <f t="shared" si="7"/>
        <v>3912928</v>
      </c>
      <c r="D35" s="293">
        <f t="shared" si="7"/>
        <v>89499</v>
      </c>
      <c r="E35" s="293">
        <f t="shared" si="7"/>
        <v>51071</v>
      </c>
      <c r="F35" s="293">
        <f t="shared" si="7"/>
        <v>0</v>
      </c>
      <c r="G35" s="293">
        <f t="shared" si="7"/>
        <v>0</v>
      </c>
      <c r="H35" s="293">
        <f t="shared" si="7"/>
        <v>122738</v>
      </c>
      <c r="I35" s="293">
        <f t="shared" si="7"/>
        <v>308066</v>
      </c>
      <c r="J35" s="29">
        <f t="shared" si="6"/>
        <v>4498594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[3]American!$DO$57</f>
        <v>0</v>
      </c>
      <c r="C38" s="22">
        <f>[3]Delta!$DO$57</f>
        <v>0</v>
      </c>
      <c r="D38" s="22">
        <f>[3]United!$DO$57</f>
        <v>0</v>
      </c>
      <c r="E38" s="22">
        <f>'[3]US Airways'!$DO$57</f>
        <v>0</v>
      </c>
      <c r="F38" s="22">
        <f>[3]Spirit!$DO$57</f>
        <v>0</v>
      </c>
      <c r="G38" s="22">
        <f>[3]Condor!$DO$57</f>
        <v>0</v>
      </c>
      <c r="H38" s="22">
        <f>'[3]Air France'!$DO$57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[3]American!$DO$58</f>
        <v>0</v>
      </c>
      <c r="C39" s="14">
        <f>[3]Delta!$DO$58</f>
        <v>0</v>
      </c>
      <c r="D39" s="14">
        <f>[3]United!$DO$58</f>
        <v>0</v>
      </c>
      <c r="E39" s="14">
        <f>'[3]US Airways'!$DO$58</f>
        <v>0</v>
      </c>
      <c r="F39" s="14">
        <f>[3]Spirit!$DO$58</f>
        <v>0</v>
      </c>
      <c r="G39" s="14">
        <f>[3]Condor!$DO$58</f>
        <v>0</v>
      </c>
      <c r="H39" s="14">
        <f>'[3]Air France'!$DO$58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46223</v>
      </c>
      <c r="C43" s="22">
        <f t="shared" si="9"/>
        <v>7780730</v>
      </c>
      <c r="D43" s="22">
        <f t="shared" si="9"/>
        <v>76493</v>
      </c>
      <c r="E43" s="22">
        <f t="shared" si="9"/>
        <v>43119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207616</v>
      </c>
      <c r="I43" s="22">
        <f t="shared" si="9"/>
        <v>458330</v>
      </c>
      <c r="J43" s="29">
        <f>SUM(B43:I43)</f>
        <v>8612511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736838</v>
      </c>
      <c r="D44" s="14">
        <f t="shared" si="9"/>
        <v>165250</v>
      </c>
      <c r="E44" s="14">
        <f t="shared" si="9"/>
        <v>57901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253132</v>
      </c>
      <c r="J44" s="29">
        <f>SUM(B44:I44)</f>
        <v>1213121</v>
      </c>
    </row>
    <row r="45" spans="1:10" ht="15.75" thickBot="1" x14ac:dyDescent="0.3">
      <c r="A45" s="66" t="s">
        <v>49</v>
      </c>
      <c r="B45" s="294">
        <f t="shared" ref="B45:I45" si="11">SUM(B43:B44)</f>
        <v>46223</v>
      </c>
      <c r="C45" s="294">
        <f t="shared" si="11"/>
        <v>8517568</v>
      </c>
      <c r="D45" s="294">
        <f t="shared" si="11"/>
        <v>241743</v>
      </c>
      <c r="E45" s="294">
        <f t="shared" si="11"/>
        <v>101020</v>
      </c>
      <c r="F45" s="294">
        <f t="shared" si="11"/>
        <v>0</v>
      </c>
      <c r="G45" s="294">
        <f t="shared" si="11"/>
        <v>0</v>
      </c>
      <c r="H45" s="294">
        <f t="shared" si="11"/>
        <v>207616</v>
      </c>
      <c r="I45" s="294">
        <f t="shared" si="11"/>
        <v>711462</v>
      </c>
      <c r="J45" s="295">
        <f>SUM(B45:I45)</f>
        <v>9825632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[3]Delta!$DO$70+[3]Delta!$DO$73</f>
        <v>343998</v>
      </c>
      <c r="D47" s="312"/>
      <c r="E47" s="312"/>
      <c r="F47" s="312"/>
      <c r="G47" s="312"/>
      <c r="H47" s="312"/>
      <c r="I47" s="312"/>
      <c r="J47" s="313">
        <f>SUM(B47:I47)</f>
        <v>343998</v>
      </c>
    </row>
    <row r="48" spans="1:10" hidden="1" x14ac:dyDescent="0.2">
      <c r="A48" s="395" t="s">
        <v>136</v>
      </c>
      <c r="C48" s="325">
        <f>[3]Delta!$DO$71+[3]Delta!$DO$74</f>
        <v>488926</v>
      </c>
      <c r="D48" s="312"/>
      <c r="E48" s="312"/>
      <c r="F48" s="312"/>
      <c r="G48" s="312"/>
      <c r="H48" s="312"/>
      <c r="I48" s="312"/>
      <c r="J48" s="313">
        <f>SUM(B48:I48)</f>
        <v>488926</v>
      </c>
    </row>
    <row r="49" spans="1:10" hidden="1" x14ac:dyDescent="0.2">
      <c r="A49" s="396" t="s">
        <v>137</v>
      </c>
      <c r="C49" s="326">
        <f>SUM(C47:C48)</f>
        <v>832924</v>
      </c>
      <c r="J49" s="313">
        <f>SUM(B49:I49)</f>
        <v>832924</v>
      </c>
    </row>
    <row r="50" spans="1:10" x14ac:dyDescent="0.2">
      <c r="A50" s="394" t="s">
        <v>135</v>
      </c>
      <c r="B50" s="408"/>
      <c r="C50" s="328">
        <f>[3]Delta!$DO$70+[3]Delta!$DO$73</f>
        <v>343998</v>
      </c>
      <c r="D50" s="408"/>
      <c r="E50" s="408"/>
      <c r="F50" s="408"/>
      <c r="G50" s="408"/>
      <c r="H50" s="408"/>
      <c r="I50" s="327">
        <f>'Other Major Airline Stats'!I48</f>
        <v>126957</v>
      </c>
      <c r="J50" s="316">
        <f>SUM(B50:I50)</f>
        <v>470955</v>
      </c>
    </row>
    <row r="51" spans="1:10" x14ac:dyDescent="0.2">
      <c r="A51" s="410" t="s">
        <v>136</v>
      </c>
      <c r="B51" s="408"/>
      <c r="C51" s="328">
        <f>[3]Delta!$DO$71+[3]Delta!$DO$74</f>
        <v>488926</v>
      </c>
      <c r="D51" s="408"/>
      <c r="E51" s="408"/>
      <c r="F51" s="408"/>
      <c r="G51" s="408"/>
      <c r="H51" s="408"/>
      <c r="I51" s="327">
        <f>+'Other Major Airline Stats'!I49</f>
        <v>7941</v>
      </c>
      <c r="J51" s="316">
        <f>SUM(B51:I51)</f>
        <v>496867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10" zoomScaleNormal="100" workbookViewId="0">
      <selection activeCell="D44" sqref="D44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41791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[3]AirTran!$DO$22</f>
        <v>10186</v>
      </c>
      <c r="C5" s="150">
        <f>[3]Frontier!$DO$22</f>
        <v>19802</v>
      </c>
      <c r="D5" s="150">
        <f>'[3]Great Lakes'!$DO$22</f>
        <v>405</v>
      </c>
      <c r="E5" s="150">
        <f>[3]Icelandair!$DO$32</f>
        <v>4569</v>
      </c>
      <c r="F5" s="122">
        <f>[3]Southwest!$DO$22</f>
        <v>78686</v>
      </c>
      <c r="G5" s="122">
        <f>'[3]Sun Country'!$DO$22+'[3]Sun Country'!$DO$32</f>
        <v>66747</v>
      </c>
      <c r="H5" s="122">
        <f>[3]Alaska!$DO$22</f>
        <v>9206</v>
      </c>
      <c r="I5" s="151">
        <f>SUM(B5:H5)</f>
        <v>189601</v>
      </c>
      <c r="L5" s="134"/>
    </row>
    <row r="6" spans="1:12" x14ac:dyDescent="0.2">
      <c r="A6" s="65" t="s">
        <v>34</v>
      </c>
      <c r="B6" s="297">
        <f>[3]AirTran!$DO$23</f>
        <v>10329</v>
      </c>
      <c r="C6" s="150">
        <f>[3]Frontier!$DO$23</f>
        <v>19556</v>
      </c>
      <c r="D6" s="150">
        <f>'[3]Great Lakes'!$DO$23</f>
        <v>422</v>
      </c>
      <c r="E6" s="150">
        <f>[3]Icelandair!$DO$33</f>
        <v>4774</v>
      </c>
      <c r="F6" s="122">
        <f>[3]Southwest!$DO$23</f>
        <v>76017</v>
      </c>
      <c r="G6" s="122">
        <f>'[3]Sun Country'!$DO$23+'[3]Sun Country'!$DO$33</f>
        <v>58881</v>
      </c>
      <c r="H6" s="122">
        <f>[3]Alaska!$DO$23</f>
        <v>9366</v>
      </c>
      <c r="I6" s="151">
        <f>SUM(B6:H6)</f>
        <v>179345</v>
      </c>
    </row>
    <row r="7" spans="1:12" ht="15" x14ac:dyDescent="0.25">
      <c r="A7" s="63" t="s">
        <v>7</v>
      </c>
      <c r="B7" s="159">
        <f t="shared" ref="B7:H7" si="0">SUM(B5:B6)</f>
        <v>20515</v>
      </c>
      <c r="C7" s="159">
        <f t="shared" si="0"/>
        <v>39358</v>
      </c>
      <c r="D7" s="159">
        <f t="shared" si="0"/>
        <v>827</v>
      </c>
      <c r="E7" s="159">
        <f t="shared" si="0"/>
        <v>9343</v>
      </c>
      <c r="F7" s="159">
        <f t="shared" si="0"/>
        <v>154703</v>
      </c>
      <c r="G7" s="159">
        <f>SUM(G5:G6)</f>
        <v>125628</v>
      </c>
      <c r="H7" s="159">
        <f t="shared" si="0"/>
        <v>18572</v>
      </c>
      <c r="I7" s="160">
        <f>SUM(B7:H7)</f>
        <v>368946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[3]AirTran!$DO$27</f>
        <v>139</v>
      </c>
      <c r="C10" s="158">
        <f>[3]Frontier!$DO$27</f>
        <v>294</v>
      </c>
      <c r="D10" s="158">
        <f>'[3]Great Lakes'!$DO$27</f>
        <v>21</v>
      </c>
      <c r="E10" s="158">
        <f>[3]Icelandair!$DO$37</f>
        <v>29</v>
      </c>
      <c r="F10" s="158">
        <f>[3]Southwest!$DO$27</f>
        <v>1262</v>
      </c>
      <c r="G10" s="158">
        <f>'[3]Sun Country'!$DO$27+'[3]Sun Country'!$DO$37</f>
        <v>1665</v>
      </c>
      <c r="H10" s="158">
        <f>[3]Alaska!$DO$27</f>
        <v>355</v>
      </c>
      <c r="I10" s="151">
        <f>SUM(B10:H10)</f>
        <v>3765</v>
      </c>
    </row>
    <row r="11" spans="1:12" x14ac:dyDescent="0.2">
      <c r="A11" s="65" t="s">
        <v>36</v>
      </c>
      <c r="B11" s="14">
        <f>[3]AirTran!$DO$28</f>
        <v>115</v>
      </c>
      <c r="C11" s="161">
        <f>[3]Frontier!$DO$28</f>
        <v>315</v>
      </c>
      <c r="D11" s="161">
        <f>'[3]Great Lakes'!$DO$28</f>
        <v>15</v>
      </c>
      <c r="E11" s="161">
        <f>[3]Icelandair!$DO$38</f>
        <v>35</v>
      </c>
      <c r="F11" s="161">
        <f>[3]Southwest!$DO$28</f>
        <v>1344</v>
      </c>
      <c r="G11" s="161">
        <f>'[3]Sun Country'!$DO$28+'[3]Sun Country'!$DO$38</f>
        <v>1547</v>
      </c>
      <c r="H11" s="161">
        <f>[3]Alaska!$DO$28</f>
        <v>401</v>
      </c>
      <c r="I11" s="151">
        <f>SUM(B11:H11)</f>
        <v>3772</v>
      </c>
    </row>
    <row r="12" spans="1:12" ht="15.75" thickBot="1" x14ac:dyDescent="0.3">
      <c r="A12" s="66" t="s">
        <v>37</v>
      </c>
      <c r="B12" s="154">
        <f t="shared" ref="B12:H12" si="1">SUM(B10:B11)</f>
        <v>254</v>
      </c>
      <c r="C12" s="154">
        <f t="shared" si="1"/>
        <v>609</v>
      </c>
      <c r="D12" s="154">
        <f t="shared" si="1"/>
        <v>36</v>
      </c>
      <c r="E12" s="154">
        <f t="shared" si="1"/>
        <v>64</v>
      </c>
      <c r="F12" s="154">
        <f t="shared" si="1"/>
        <v>2606</v>
      </c>
      <c r="G12" s="154">
        <f>SUM(G10:G11)</f>
        <v>3212</v>
      </c>
      <c r="H12" s="154">
        <f t="shared" si="1"/>
        <v>756</v>
      </c>
      <c r="I12" s="162">
        <f>SUM(B12:H12)</f>
        <v>7537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[3]AirTran!$DO$4</f>
        <v>95</v>
      </c>
      <c r="C16" s="150">
        <f>[3]Frontier!$DO$4</f>
        <v>134</v>
      </c>
      <c r="D16" s="150">
        <f>'[3]Great Lakes'!$DO$4</f>
        <v>61</v>
      </c>
      <c r="E16" s="150">
        <f>[3]Icelandair!$DO$15</f>
        <v>29</v>
      </c>
      <c r="F16" s="109">
        <f>[3]Southwest!$DO$4</f>
        <v>645</v>
      </c>
      <c r="G16" s="122">
        <f>'[3]Sun Country'!$DO$4+'[3]Sun Country'!$DO$15</f>
        <v>572</v>
      </c>
      <c r="H16" s="122">
        <f>[3]Alaska!$DO$4</f>
        <v>61</v>
      </c>
      <c r="I16" s="151">
        <f>SUM(B16:H16)</f>
        <v>1597</v>
      </c>
    </row>
    <row r="17" spans="1:256" x14ac:dyDescent="0.2">
      <c r="A17" s="65" t="s">
        <v>26</v>
      </c>
      <c r="B17" s="14">
        <f>[3]AirTran!$DO$5</f>
        <v>95</v>
      </c>
      <c r="C17" s="150">
        <f>[3]Frontier!$DO$5</f>
        <v>134</v>
      </c>
      <c r="D17" s="150">
        <f>'[3]Great Lakes'!$DO$5</f>
        <v>61</v>
      </c>
      <c r="E17" s="150">
        <f>[3]Icelandair!$DO$16</f>
        <v>29</v>
      </c>
      <c r="F17" s="109">
        <f>[3]Southwest!$DO$5</f>
        <v>647</v>
      </c>
      <c r="G17" s="122">
        <f>'[3]Sun Country'!$DO$5+'[3]Sun Country'!$DO$16</f>
        <v>575</v>
      </c>
      <c r="H17" s="122">
        <f>[3]Alaska!$DO$5</f>
        <v>61</v>
      </c>
      <c r="I17" s="151">
        <f>SUM(B17:H17)</f>
        <v>1602</v>
      </c>
    </row>
    <row r="18" spans="1:256" x14ac:dyDescent="0.2">
      <c r="A18" s="69" t="s">
        <v>27</v>
      </c>
      <c r="B18" s="152">
        <f t="shared" ref="B18:H18" si="2">SUM(B16:B17)</f>
        <v>190</v>
      </c>
      <c r="C18" s="152">
        <f t="shared" si="2"/>
        <v>268</v>
      </c>
      <c r="D18" s="152">
        <f t="shared" si="2"/>
        <v>122</v>
      </c>
      <c r="E18" s="152">
        <f t="shared" si="2"/>
        <v>58</v>
      </c>
      <c r="F18" s="152">
        <f t="shared" si="2"/>
        <v>1292</v>
      </c>
      <c r="G18" s="152">
        <f t="shared" si="2"/>
        <v>1147</v>
      </c>
      <c r="H18" s="152">
        <f t="shared" si="2"/>
        <v>122</v>
      </c>
      <c r="I18" s="153">
        <f>SUM(B18:H18)</f>
        <v>3199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[3]AirTran!$DO$8</f>
        <v>0</v>
      </c>
      <c r="C20" s="150">
        <f>[3]Frontier!$DO$8</f>
        <v>0</v>
      </c>
      <c r="D20" s="150">
        <f>'[3]Great Lakes'!$DO$8</f>
        <v>0</v>
      </c>
      <c r="E20" s="150">
        <f>[3]Icelandair!$DO$8</f>
        <v>0</v>
      </c>
      <c r="F20" s="122">
        <f>[3]Southwest!$DO$8</f>
        <v>1</v>
      </c>
      <c r="G20" s="122">
        <f>'[3]Sun Country'!$DO$8</f>
        <v>63</v>
      </c>
      <c r="H20" s="122">
        <f>[3]Alaska!$DO$8</f>
        <v>0</v>
      </c>
      <c r="I20" s="151">
        <f>SUM(B20:H20)</f>
        <v>64</v>
      </c>
    </row>
    <row r="21" spans="1:256" x14ac:dyDescent="0.2">
      <c r="A21" s="65" t="s">
        <v>29</v>
      </c>
      <c r="B21" s="14">
        <f>[3]AirTran!$DO$9</f>
        <v>0</v>
      </c>
      <c r="C21" s="150">
        <f>[3]Frontier!$DO$9</f>
        <v>0</v>
      </c>
      <c r="D21" s="150">
        <f>'[3]Great Lakes'!$DO$9</f>
        <v>0</v>
      </c>
      <c r="E21" s="150">
        <f>[3]Icelandair!$DO$9</f>
        <v>0</v>
      </c>
      <c r="F21" s="122">
        <f>[3]Southwest!$DO$9</f>
        <v>3</v>
      </c>
      <c r="G21" s="122">
        <f>'[3]Sun Country'!$DO$9</f>
        <v>62</v>
      </c>
      <c r="H21" s="122">
        <f>[3]Alaska!$DO$9</f>
        <v>0</v>
      </c>
      <c r="I21" s="151">
        <f>SUM(B21:H21)</f>
        <v>65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4</v>
      </c>
      <c r="G22" s="152">
        <f t="shared" si="3"/>
        <v>125</v>
      </c>
      <c r="H22" s="152">
        <f t="shared" si="3"/>
        <v>0</v>
      </c>
      <c r="I22" s="153">
        <f>SUM(B22:H22)</f>
        <v>129</v>
      </c>
    </row>
    <row r="23" spans="1:256" ht="15.75" thickBot="1" x14ac:dyDescent="0.3">
      <c r="A23" s="66" t="s">
        <v>31</v>
      </c>
      <c r="B23" s="154">
        <f t="shared" ref="B23:H23" si="4">B22+B18</f>
        <v>190</v>
      </c>
      <c r="C23" s="154">
        <f t="shared" si="4"/>
        <v>268</v>
      </c>
      <c r="D23" s="154">
        <f t="shared" si="4"/>
        <v>122</v>
      </c>
      <c r="E23" s="154">
        <f t="shared" si="4"/>
        <v>58</v>
      </c>
      <c r="F23" s="154">
        <f t="shared" si="4"/>
        <v>1296</v>
      </c>
      <c r="G23" s="154">
        <f t="shared" si="4"/>
        <v>1272</v>
      </c>
      <c r="H23" s="154">
        <f t="shared" si="4"/>
        <v>122</v>
      </c>
      <c r="I23" s="155">
        <f>SUM(B23:H23)</f>
        <v>3328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[3]AirTran!$DO$47</f>
        <v>0</v>
      </c>
      <c r="C28" s="150">
        <f>[3]Frontier!$DO$47</f>
        <v>0</v>
      </c>
      <c r="D28" s="150">
        <f>'[3]Great Lakes'!$DO$47</f>
        <v>58</v>
      </c>
      <c r="E28" s="150">
        <f>[3]Icelandair!$DO$47</f>
        <v>2596</v>
      </c>
      <c r="F28" s="122">
        <f>[3]Southwest!$DO$47</f>
        <v>201501</v>
      </c>
      <c r="G28" s="122">
        <f>'[3]Sun Country'!$DO$47</f>
        <v>106318</v>
      </c>
      <c r="H28" s="122">
        <f>[3]Alaska!$DO$47</f>
        <v>51353</v>
      </c>
      <c r="I28" s="151">
        <f>SUM(B28:H28)</f>
        <v>361826</v>
      </c>
    </row>
    <row r="29" spans="1:256" x14ac:dyDescent="0.2">
      <c r="A29" s="65" t="s">
        <v>41</v>
      </c>
      <c r="B29" s="14">
        <f>[3]AirTran!$DO$48</f>
        <v>0</v>
      </c>
      <c r="C29" s="150">
        <f>[3]Frontier!$DO$48</f>
        <v>0</v>
      </c>
      <c r="D29" s="150">
        <f>'[3]Great Lakes'!$DO$48</f>
        <v>0</v>
      </c>
      <c r="E29" s="150">
        <f>[3]Icelandair!$DO$48</f>
        <v>0</v>
      </c>
      <c r="F29" s="122">
        <f>[3]Southwest!$DO$48</f>
        <v>0</v>
      </c>
      <c r="G29" s="122">
        <f>'[3]Sun Country'!$DO$48</f>
        <v>41570</v>
      </c>
      <c r="H29" s="122">
        <f>[3]Alaska!$DO$48</f>
        <v>0</v>
      </c>
      <c r="I29" s="151">
        <f>SUM(B29:H29)</f>
        <v>41570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58</v>
      </c>
      <c r="E30" s="166">
        <f t="shared" si="5"/>
        <v>2596</v>
      </c>
      <c r="F30" s="166">
        <f t="shared" si="5"/>
        <v>201501</v>
      </c>
      <c r="G30" s="166">
        <f t="shared" si="5"/>
        <v>147888</v>
      </c>
      <c r="H30" s="166">
        <f t="shared" si="5"/>
        <v>51353</v>
      </c>
      <c r="I30" s="169">
        <f>SUM(B30:H30)</f>
        <v>403396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[3]AirTran!$DO$52</f>
        <v>0</v>
      </c>
      <c r="C33" s="150">
        <f>[3]Frontier!$DO$52</f>
        <v>0</v>
      </c>
      <c r="D33" s="150">
        <f>'[3]Great Lakes'!$DO$52</f>
        <v>0</v>
      </c>
      <c r="E33" s="150">
        <f>[3]Icelandair!$DO$52</f>
        <v>3025</v>
      </c>
      <c r="F33" s="122">
        <f>[3]Southwest!$DO$52</f>
        <v>76975</v>
      </c>
      <c r="G33" s="122">
        <f>'[3]Sun Country'!$DO$52</f>
        <v>7341</v>
      </c>
      <c r="H33" s="122">
        <f>[3]Alaska!$DO$52</f>
        <v>9163</v>
      </c>
      <c r="I33" s="151">
        <f>SUM(B33:H33)</f>
        <v>96504</v>
      </c>
    </row>
    <row r="34" spans="1:9" x14ac:dyDescent="0.2">
      <c r="A34" s="65" t="s">
        <v>41</v>
      </c>
      <c r="B34" s="14">
        <f>[3]AirTran!$DO$53</f>
        <v>0</v>
      </c>
      <c r="C34" s="150">
        <f>[3]Frontier!$DO$53</f>
        <v>0</v>
      </c>
      <c r="D34" s="150">
        <f>'[3]Great Lakes'!$DO$53</f>
        <v>0</v>
      </c>
      <c r="E34" s="150">
        <f>[3]Icelandair!$DO$53</f>
        <v>0</v>
      </c>
      <c r="F34" s="122">
        <f>[3]Southwest!$DO$53</f>
        <v>0</v>
      </c>
      <c r="G34" s="122">
        <f>'[3]Sun Country'!$DO$53</f>
        <v>211562</v>
      </c>
      <c r="H34" s="122">
        <f>[3]Alaska!$DO$53</f>
        <v>0</v>
      </c>
      <c r="I34" s="167">
        <f>SUM(B34:H34)</f>
        <v>211562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3025</v>
      </c>
      <c r="F35" s="168">
        <f t="shared" si="6"/>
        <v>76975</v>
      </c>
      <c r="G35" s="168">
        <f t="shared" si="6"/>
        <v>218903</v>
      </c>
      <c r="H35" s="168">
        <f t="shared" si="6"/>
        <v>9163</v>
      </c>
      <c r="I35" s="169">
        <f>SUM(B35:H35)</f>
        <v>308066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[3]AirTran!$DO$57</f>
        <v>0</v>
      </c>
      <c r="C38" s="158">
        <f>[3]Frontier!$DO$57</f>
        <v>0</v>
      </c>
      <c r="D38" s="158">
        <f>'[3]Great Lakes'!$DO$57</f>
        <v>0</v>
      </c>
      <c r="E38" s="158">
        <f>[3]Icelandair!$DO$57</f>
        <v>0</v>
      </c>
      <c r="F38" s="158">
        <f>[3]Southwest!$DO$57</f>
        <v>0</v>
      </c>
      <c r="G38" s="158">
        <f>'[3]Sun Country'!$DO$57</f>
        <v>0</v>
      </c>
      <c r="H38" s="158">
        <f>[3]Alaska!$DO$57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[3]AirTran!$DO$58</f>
        <v>0</v>
      </c>
      <c r="C39" s="161">
        <f>[3]Frontier!$DO$58</f>
        <v>0</v>
      </c>
      <c r="D39" s="161">
        <f>'[3]Great Lakes'!$DO$58</f>
        <v>0</v>
      </c>
      <c r="E39" s="161">
        <f>[3]Icelandair!$DO$58</f>
        <v>0</v>
      </c>
      <c r="F39" s="161">
        <f>[3]Southwest!$DO$58</f>
        <v>0</v>
      </c>
      <c r="G39" s="161">
        <f>'[3]Sun Country'!$DO$58</f>
        <v>0</v>
      </c>
      <c r="H39" s="161">
        <f>[3]Alaska!$DO$58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58</v>
      </c>
      <c r="E43" s="158">
        <f t="shared" si="8"/>
        <v>5621</v>
      </c>
      <c r="F43" s="158">
        <f t="shared" si="8"/>
        <v>278476</v>
      </c>
      <c r="G43" s="158">
        <f t="shared" si="8"/>
        <v>113659</v>
      </c>
      <c r="H43" s="158">
        <f t="shared" si="8"/>
        <v>60516</v>
      </c>
      <c r="I43" s="151">
        <f>SUM(B43:H43)</f>
        <v>458330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253132</v>
      </c>
      <c r="H44" s="161">
        <f t="shared" si="9"/>
        <v>0</v>
      </c>
      <c r="I44" s="151">
        <f>SUM(B44:H44)</f>
        <v>253132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58</v>
      </c>
      <c r="E45" s="171">
        <f t="shared" si="10"/>
        <v>5621</v>
      </c>
      <c r="F45" s="171">
        <f t="shared" si="10"/>
        <v>278476</v>
      </c>
      <c r="G45" s="171">
        <f t="shared" si="10"/>
        <v>366791</v>
      </c>
      <c r="H45" s="171">
        <f t="shared" si="10"/>
        <v>60516</v>
      </c>
      <c r="I45" s="172">
        <f>SUM(B45:H45)</f>
        <v>711462</v>
      </c>
    </row>
    <row r="48" spans="1:9" x14ac:dyDescent="0.2">
      <c r="A48" s="394" t="s">
        <v>135</v>
      </c>
      <c r="B48" s="408"/>
      <c r="C48" s="408"/>
      <c r="D48" s="408"/>
      <c r="F48" s="328">
        <f>[3]Southwest!$DO$70+[3]Southwest!$DO$73</f>
        <v>74497</v>
      </c>
      <c r="G48" s="328">
        <f>'[3]Sun Country'!$DO$70+'[3]Sun Country'!$DO$73</f>
        <v>52460</v>
      </c>
      <c r="H48" s="408"/>
      <c r="I48" s="316">
        <f>SUM(B48:H48)</f>
        <v>126957</v>
      </c>
    </row>
    <row r="49" spans="1:9" x14ac:dyDescent="0.2">
      <c r="A49" s="410" t="s">
        <v>136</v>
      </c>
      <c r="B49" s="408"/>
      <c r="C49" s="408"/>
      <c r="D49" s="408"/>
      <c r="F49" s="328">
        <f>[3]Southwest!$DO$71+[3]Southwest!$DO$74</f>
        <v>1520</v>
      </c>
      <c r="G49" s="328">
        <f>'[3]Sun Country'!$DO$71+'[3]Sun Country'!$DO$74</f>
        <v>6421</v>
      </c>
      <c r="H49" s="408"/>
      <c r="I49" s="316">
        <f>SUM(B49:H49)</f>
        <v>7941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June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6" workbookViewId="0">
      <pane xSplit="1" topLeftCell="B1" activePane="topRight" state="frozen"/>
      <selection activeCell="H17" sqref="H17"/>
      <selection pane="topRight" activeCell="K47" sqref="K4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41791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[3]Pinnacle!$DO$22+[3]Pinnacle!$DO$32</f>
        <v>160775</v>
      </c>
      <c r="C5" s="136">
        <f>[3]Chautaqua_AA!$DO$22</f>
        <v>0</v>
      </c>
      <c r="D5" s="136">
        <f>[3]Chautaqua_Continental!$DO$22</f>
        <v>0</v>
      </c>
      <c r="E5" s="134">
        <f>[3]MESA_UA!$DO$22+[3]MESA_UA!$DO$32</f>
        <v>0</v>
      </c>
      <c r="F5" s="134">
        <f>'[3]Sky West'!$DO$22+'[3]Sky West'!$DO$32</f>
        <v>76000</v>
      </c>
      <c r="G5" s="134">
        <f>'[3]Sky West_UA'!$DO$22</f>
        <v>17427</v>
      </c>
      <c r="H5" s="134">
        <f>[3]Comair!$DO$22+[3]Comair!$DO$32</f>
        <v>0</v>
      </c>
      <c r="I5" s="134">
        <f>[3]Republic!$DO$22</f>
        <v>5966</v>
      </c>
      <c r="J5" s="134">
        <f>'[3]American Eagle'!$DO$22</f>
        <v>14461</v>
      </c>
      <c r="K5" s="134">
        <f>'Other Regional'!L5</f>
        <v>144544</v>
      </c>
      <c r="L5" s="113">
        <f>SUM(B5:K5)</f>
        <v>419173</v>
      </c>
    </row>
    <row r="6" spans="1:12" s="10" customFormat="1" x14ac:dyDescent="0.2">
      <c r="A6" s="65" t="s">
        <v>34</v>
      </c>
      <c r="B6" s="135">
        <f>[3]Pinnacle!$DO$23+[3]Pinnacle!$DO$33</f>
        <v>159211</v>
      </c>
      <c r="C6" s="136">
        <f>[3]Chautaqua_AA!$DO$23</f>
        <v>0</v>
      </c>
      <c r="D6" s="136">
        <f>[3]Chautaqua_Continental!$DO$23</f>
        <v>0</v>
      </c>
      <c r="E6" s="134">
        <f>[3]MESA_UA!$DO$23+[3]MESA_UA!$DO$33</f>
        <v>0</v>
      </c>
      <c r="F6" s="134">
        <f>'[3]Sky West'!$DO$23+'[3]Sky West'!$DO$33</f>
        <v>78625</v>
      </c>
      <c r="G6" s="134">
        <f>'[3]Sky West_UA'!$DO$23</f>
        <v>15928</v>
      </c>
      <c r="H6" s="134">
        <f>[3]Comair!$DO$23+[3]Comair!$DO$33</f>
        <v>0</v>
      </c>
      <c r="I6" s="134">
        <f>[3]Republic!$DO$23</f>
        <v>5797</v>
      </c>
      <c r="J6" s="134">
        <f>'[3]American Eagle'!$DO$23</f>
        <v>14206</v>
      </c>
      <c r="K6" s="134">
        <f>'Other Regional'!L6</f>
        <v>142541</v>
      </c>
      <c r="L6" s="119">
        <f>SUM(B6:K6)</f>
        <v>416308</v>
      </c>
    </row>
    <row r="7" spans="1:12" ht="15" thickBot="1" x14ac:dyDescent="0.25">
      <c r="A7" s="76" t="s">
        <v>7</v>
      </c>
      <c r="B7" s="137">
        <f>SUM(B5:B6)</f>
        <v>319986</v>
      </c>
      <c r="C7" s="137">
        <f t="shared" ref="C7:K7" si="0">SUM(C5:C6)</f>
        <v>0</v>
      </c>
      <c r="D7" s="137">
        <f t="shared" si="0"/>
        <v>0</v>
      </c>
      <c r="E7" s="137">
        <f t="shared" si="0"/>
        <v>0</v>
      </c>
      <c r="F7" s="137">
        <f t="shared" si="0"/>
        <v>154625</v>
      </c>
      <c r="G7" s="137">
        <f t="shared" si="0"/>
        <v>33355</v>
      </c>
      <c r="H7" s="137">
        <f t="shared" si="0"/>
        <v>0</v>
      </c>
      <c r="I7" s="137">
        <f t="shared" si="0"/>
        <v>11763</v>
      </c>
      <c r="J7" s="137">
        <f t="shared" si="0"/>
        <v>28667</v>
      </c>
      <c r="K7" s="137">
        <f t="shared" si="0"/>
        <v>287085</v>
      </c>
      <c r="L7" s="138">
        <f>SUM(B7:K7)</f>
        <v>835481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[3]Pinnacle!$DO$27+[3]Pinnacle!$DO$37</f>
        <v>4733</v>
      </c>
      <c r="C10" s="136">
        <f>[3]Chautaqua_AA!$DO$27</f>
        <v>0</v>
      </c>
      <c r="D10" s="136">
        <f>[3]Chautaqua_Continental!$DO$27</f>
        <v>0</v>
      </c>
      <c r="E10" s="134">
        <f>[3]MESA_UA!$DO$27+[3]MESA_UA!$DO$37</f>
        <v>0</v>
      </c>
      <c r="F10" s="134">
        <f>'[3]Sky West'!$DO$27+'[3]Sky West'!$DO$37</f>
        <v>2784</v>
      </c>
      <c r="G10" s="134">
        <f>'[3]Sky West_UA'!$DO$27</f>
        <v>633</v>
      </c>
      <c r="H10" s="134">
        <f>[3]Comair!$DO$27+[3]Comair!$DO$37</f>
        <v>0</v>
      </c>
      <c r="I10" s="134">
        <f>[3]Republic!$DO$27</f>
        <v>0</v>
      </c>
      <c r="J10" s="134">
        <f>'[3]American Eagle'!$DO$27</f>
        <v>100</v>
      </c>
      <c r="K10" s="134">
        <f>'Other Regional'!L10</f>
        <v>3972</v>
      </c>
      <c r="L10" s="113">
        <f>SUM(B10:K10)</f>
        <v>12222</v>
      </c>
    </row>
    <row r="11" spans="1:12" x14ac:dyDescent="0.2">
      <c r="A11" s="65" t="s">
        <v>36</v>
      </c>
      <c r="B11" s="135">
        <f>[3]Pinnacle!$DO$28+[3]Pinnacle!$DO$38</f>
        <v>4794</v>
      </c>
      <c r="C11" s="136">
        <f>[3]Chautaqua_AA!$DO$28</f>
        <v>0</v>
      </c>
      <c r="D11" s="136">
        <f>[3]Chautaqua_Continental!$DO$28</f>
        <v>0</v>
      </c>
      <c r="E11" s="134">
        <f>[3]MESA_UA!$DO$28+[3]MESA_UA!$DO$38</f>
        <v>0</v>
      </c>
      <c r="F11" s="134">
        <f>'[3]Sky West'!$DO$28+'[3]Sky West'!$DO$38</f>
        <v>2832</v>
      </c>
      <c r="G11" s="134">
        <f>'[3]Sky West_UA'!$DO$28</f>
        <v>665</v>
      </c>
      <c r="H11" s="134">
        <f>[3]Comair!$DO$28+[3]Comair!$DO$38</f>
        <v>0</v>
      </c>
      <c r="I11" s="134">
        <f>[3]Republic!$DO$28</f>
        <v>0</v>
      </c>
      <c r="J11" s="134">
        <f>'[3]American Eagle'!$DO$28</f>
        <v>54</v>
      </c>
      <c r="K11" s="134">
        <f>'Other Regional'!L11</f>
        <v>3817</v>
      </c>
      <c r="L11" s="119">
        <f>SUM(B11:K11)</f>
        <v>12162</v>
      </c>
    </row>
    <row r="12" spans="1:12" ht="15" thickBot="1" x14ac:dyDescent="0.25">
      <c r="A12" s="77" t="s">
        <v>37</v>
      </c>
      <c r="B12" s="140">
        <f>SUM(B10:B11)</f>
        <v>9527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0</v>
      </c>
      <c r="F12" s="140">
        <f t="shared" si="1"/>
        <v>5616</v>
      </c>
      <c r="G12" s="140">
        <f t="shared" si="1"/>
        <v>1298</v>
      </c>
      <c r="H12" s="140">
        <f t="shared" si="1"/>
        <v>0</v>
      </c>
      <c r="I12" s="140">
        <f t="shared" si="1"/>
        <v>0</v>
      </c>
      <c r="J12" s="140">
        <f t="shared" si="1"/>
        <v>154</v>
      </c>
      <c r="K12" s="140">
        <f>SUM(K10:K11)</f>
        <v>7789</v>
      </c>
      <c r="L12" s="141">
        <f>SUM(B12:K12)</f>
        <v>24384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[3]Pinnacle!$DO$4+[3]Pinnacle!$DO$15</f>
        <v>3189</v>
      </c>
      <c r="C15" s="111">
        <f>[3]Chautaqua_AA!$DO$4</f>
        <v>0</v>
      </c>
      <c r="D15" s="111">
        <f>[3]Chautaqua_Continental!$DO$4</f>
        <v>0</v>
      </c>
      <c r="E15" s="109">
        <f>[3]MESA_UA!$DO$4+[3]MESA_UA!$DO$15</f>
        <v>0</v>
      </c>
      <c r="F15" s="109">
        <f>'[3]Sky West'!$DO$4+'[3]Sky West'!$DO$15</f>
        <v>1839</v>
      </c>
      <c r="G15" s="109">
        <f>'[3]Sky West_UA'!$DO$4</f>
        <v>270</v>
      </c>
      <c r="H15" s="109">
        <f>[3]Comair!$DO$4+[3]Comair!$DO$15</f>
        <v>0</v>
      </c>
      <c r="I15" s="112">
        <f>[3]Republic!$DO$4</f>
        <v>87</v>
      </c>
      <c r="J15" s="112">
        <f>'[3]American Eagle'!$DO$4</f>
        <v>214</v>
      </c>
      <c r="K15" s="110">
        <f>'Other Regional'!L15</f>
        <v>2354</v>
      </c>
      <c r="L15" s="113">
        <f t="shared" si="2"/>
        <v>7953</v>
      </c>
    </row>
    <row r="16" spans="1:12" x14ac:dyDescent="0.2">
      <c r="A16" s="65" t="s">
        <v>59</v>
      </c>
      <c r="B16" s="14">
        <f>[3]Pinnacle!$DO$5+[3]Pinnacle!$DO$16</f>
        <v>3182</v>
      </c>
      <c r="C16" s="116">
        <f>[3]Chautaqua_AA!$DO$5</f>
        <v>0</v>
      </c>
      <c r="D16" s="116">
        <f>[3]Chautaqua_Continental!$DO$5</f>
        <v>0</v>
      </c>
      <c r="E16" s="114">
        <f>[3]MESA_UA!$DO$5+[3]MESA_UA!$DO$16</f>
        <v>0</v>
      </c>
      <c r="F16" s="114">
        <f>'[3]Sky West'!$DO$5+'[3]Sky West'!$DO$16</f>
        <v>1835</v>
      </c>
      <c r="G16" s="114">
        <f>'[3]Sky West_UA'!$DO$5</f>
        <v>270</v>
      </c>
      <c r="H16" s="114">
        <f>[3]Comair!$DO$5+[3]Comair!$DO$16</f>
        <v>0</v>
      </c>
      <c r="I16" s="117">
        <f>[3]Republic!$DO$5</f>
        <v>86</v>
      </c>
      <c r="J16" s="117">
        <f>'[3]American Eagle'!$DO$5</f>
        <v>214</v>
      </c>
      <c r="K16" s="115">
        <f>'Other Regional'!L16</f>
        <v>2352</v>
      </c>
      <c r="L16" s="119">
        <f t="shared" si="2"/>
        <v>7939</v>
      </c>
    </row>
    <row r="17" spans="1:12" x14ac:dyDescent="0.2">
      <c r="A17" s="74" t="s">
        <v>60</v>
      </c>
      <c r="B17" s="120">
        <f t="shared" ref="B17:J17" si="3">SUM(B15:B16)</f>
        <v>6371</v>
      </c>
      <c r="C17" s="120">
        <f t="shared" si="3"/>
        <v>0</v>
      </c>
      <c r="D17" s="120">
        <f t="shared" si="3"/>
        <v>0</v>
      </c>
      <c r="E17" s="120">
        <f t="shared" si="3"/>
        <v>0</v>
      </c>
      <c r="F17" s="120">
        <f t="shared" si="3"/>
        <v>3674</v>
      </c>
      <c r="G17" s="120">
        <f t="shared" si="3"/>
        <v>540</v>
      </c>
      <c r="H17" s="120">
        <f t="shared" si="3"/>
        <v>0</v>
      </c>
      <c r="I17" s="120">
        <f t="shared" si="3"/>
        <v>173</v>
      </c>
      <c r="J17" s="120">
        <f t="shared" si="3"/>
        <v>428</v>
      </c>
      <c r="K17" s="120">
        <f>SUM(K15:K16)</f>
        <v>4706</v>
      </c>
      <c r="L17" s="121">
        <f t="shared" si="2"/>
        <v>15892</v>
      </c>
    </row>
    <row r="18" spans="1:12" x14ac:dyDescent="0.2">
      <c r="A18" s="65" t="s">
        <v>61</v>
      </c>
      <c r="B18" s="122">
        <f>[3]Pinnacle!$DO$8</f>
        <v>1</v>
      </c>
      <c r="C18" s="123">
        <f>[3]Chautaqua_AA!$DO$8</f>
        <v>0</v>
      </c>
      <c r="D18" s="123">
        <f>[3]Chautaqua_Continental!$DO$8</f>
        <v>0</v>
      </c>
      <c r="E18" s="122">
        <f>[3]MESA_UA!$DO$8</f>
        <v>0</v>
      </c>
      <c r="F18" s="122">
        <f>'[3]Sky West'!$DO$8</f>
        <v>2</v>
      </c>
      <c r="G18" s="122">
        <f>'[3]Sky West_UA'!$DO$8</f>
        <v>0</v>
      </c>
      <c r="H18" s="122">
        <f>[3]Comair!$DO$8</f>
        <v>0</v>
      </c>
      <c r="I18" s="122">
        <f>[3]Republic!$DO$8</f>
        <v>0</v>
      </c>
      <c r="J18" s="122">
        <f>'[3]American Eagle'!$DO$8</f>
        <v>0</v>
      </c>
      <c r="K18" s="122">
        <f>'Other Regional'!L18</f>
        <v>1</v>
      </c>
      <c r="L18" s="113">
        <f t="shared" si="2"/>
        <v>4</v>
      </c>
    </row>
    <row r="19" spans="1:12" x14ac:dyDescent="0.2">
      <c r="A19" s="65" t="s">
        <v>62</v>
      </c>
      <c r="B19" s="124">
        <f>[3]Pinnacle!$DO$9</f>
        <v>9</v>
      </c>
      <c r="C19" s="125">
        <f>[3]Chautaqua_AA!$DO$9</f>
        <v>0</v>
      </c>
      <c r="D19" s="125">
        <f>[3]Chautaqua_Continental!$DO$9</f>
        <v>0</v>
      </c>
      <c r="E19" s="124">
        <f>[3]MESA_UA!$DO$9</f>
        <v>0</v>
      </c>
      <c r="F19" s="124">
        <f>'[3]Sky West'!$DO$9</f>
        <v>7</v>
      </c>
      <c r="G19" s="124">
        <f>'[3]Sky West_UA'!$DO$9</f>
        <v>0</v>
      </c>
      <c r="H19" s="124">
        <f>[3]Comair!$DO$9</f>
        <v>0</v>
      </c>
      <c r="I19" s="124">
        <f>[3]Republic!$DO$9</f>
        <v>0</v>
      </c>
      <c r="J19" s="124">
        <f>'[3]American Eagle'!$DO$9</f>
        <v>0</v>
      </c>
      <c r="K19" s="124">
        <f>'Other Regional'!L19</f>
        <v>5</v>
      </c>
      <c r="L19" s="119">
        <f t="shared" si="2"/>
        <v>21</v>
      </c>
    </row>
    <row r="20" spans="1:12" x14ac:dyDescent="0.2">
      <c r="A20" s="74" t="s">
        <v>63</v>
      </c>
      <c r="B20" s="120">
        <f t="shared" ref="B20:K20" si="4">SUM(B18:B19)</f>
        <v>10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9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6</v>
      </c>
      <c r="L20" s="121">
        <f t="shared" si="2"/>
        <v>25</v>
      </c>
    </row>
    <row r="21" spans="1:12" ht="15.75" thickBot="1" x14ac:dyDescent="0.3">
      <c r="A21" s="75" t="s">
        <v>31</v>
      </c>
      <c r="B21" s="126">
        <f t="shared" ref="B21:J21" si="5">SUM(B20,B17)</f>
        <v>6381</v>
      </c>
      <c r="C21" s="126">
        <f t="shared" si="5"/>
        <v>0</v>
      </c>
      <c r="D21" s="126">
        <f t="shared" si="5"/>
        <v>0</v>
      </c>
      <c r="E21" s="126">
        <f t="shared" si="5"/>
        <v>0</v>
      </c>
      <c r="F21" s="126">
        <f t="shared" si="5"/>
        <v>3683</v>
      </c>
      <c r="G21" s="126">
        <f t="shared" si="5"/>
        <v>540</v>
      </c>
      <c r="H21" s="126">
        <f t="shared" si="5"/>
        <v>0</v>
      </c>
      <c r="I21" s="126">
        <f t="shared" si="5"/>
        <v>173</v>
      </c>
      <c r="J21" s="126">
        <f t="shared" si="5"/>
        <v>428</v>
      </c>
      <c r="K21" s="126">
        <f>SUM(K20,K17)</f>
        <v>4712</v>
      </c>
      <c r="L21" s="127">
        <f t="shared" si="2"/>
        <v>15917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[3]Pinnacle!$DO$47</f>
        <v>0</v>
      </c>
      <c r="C25" s="136">
        <f>[3]Chautaqua_AA!$DO$47</f>
        <v>0</v>
      </c>
      <c r="D25" s="136">
        <f>[3]Chautaqua_Continental!$DO$47</f>
        <v>0</v>
      </c>
      <c r="E25" s="134">
        <f>[3]MESA_UA!$DO$47</f>
        <v>0</v>
      </c>
      <c r="F25" s="134">
        <f>'[3]Sky West'!$DO$47</f>
        <v>0</v>
      </c>
      <c r="G25" s="134">
        <f>'[3]Sky West_UA'!$DO$47</f>
        <v>0</v>
      </c>
      <c r="H25" s="134">
        <f>[3]Comair!$DO$47</f>
        <v>0</v>
      </c>
      <c r="I25" s="134">
        <f>[3]Republic!$DO$47</f>
        <v>0</v>
      </c>
      <c r="J25" s="134">
        <f>'[3]American Eagle'!$DO$47</f>
        <v>0</v>
      </c>
      <c r="K25" s="134">
        <f>'Other Regional'!L25</f>
        <v>2</v>
      </c>
      <c r="L25" s="113">
        <f>SUM(B25:K25)</f>
        <v>2</v>
      </c>
    </row>
    <row r="26" spans="1:12" x14ac:dyDescent="0.2">
      <c r="A26" s="78" t="s">
        <v>41</v>
      </c>
      <c r="B26" s="134">
        <f>[3]Pinnacle!$DO$48</f>
        <v>0</v>
      </c>
      <c r="C26" s="136">
        <f>[3]Chautaqua_AA!$DO$48</f>
        <v>0</v>
      </c>
      <c r="D26" s="136">
        <f>[3]Chautaqua_Continental!$DO$48</f>
        <v>0</v>
      </c>
      <c r="E26" s="134">
        <f>[3]MESA_UA!$DO$48</f>
        <v>0</v>
      </c>
      <c r="F26" s="134">
        <f>'[3]Sky West'!$DO$48</f>
        <v>0</v>
      </c>
      <c r="G26" s="134">
        <f>'[3]Sky West_UA'!$DO$48</f>
        <v>0</v>
      </c>
      <c r="H26" s="134">
        <f>[3]Comair!$DO$48</f>
        <v>0</v>
      </c>
      <c r="I26" s="134">
        <f>[3]Republic!$DO$48</f>
        <v>0</v>
      </c>
      <c r="J26" s="134">
        <f>'[3]American Eagle'!$DO$48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2</v>
      </c>
      <c r="L27" s="138">
        <f>SUM(B27:K27)</f>
        <v>2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[3]Pinnacle!$DO$52</f>
        <v>0</v>
      </c>
      <c r="C30" s="136">
        <f>[3]Chautaqua_AA!$DO$52</f>
        <v>0</v>
      </c>
      <c r="D30" s="136">
        <f>[3]Chautaqua_Continental!$DO$52</f>
        <v>0</v>
      </c>
      <c r="E30" s="134">
        <f>[3]MESA_UA!$DO$52</f>
        <v>0</v>
      </c>
      <c r="F30" s="134">
        <f>'[3]Sky West'!$DO$52</f>
        <v>0</v>
      </c>
      <c r="G30" s="134">
        <f>'[3]Sky West_UA'!$DO$52</f>
        <v>0</v>
      </c>
      <c r="H30" s="134">
        <f>[3]Comair!$DO$52</f>
        <v>0</v>
      </c>
      <c r="I30" s="134">
        <f>[3]Republic!$DO$52</f>
        <v>0</v>
      </c>
      <c r="J30" s="134">
        <f>'[3]American Eagle'!$DO$52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[3]Pinnacle!$DO$53</f>
        <v>0</v>
      </c>
      <c r="C31" s="136">
        <f>[3]Chautaqua_AA!$DO$53</f>
        <v>0</v>
      </c>
      <c r="D31" s="136">
        <f>[3]Chautaqua_Continental!$DO$53</f>
        <v>0</v>
      </c>
      <c r="E31" s="134">
        <f>[3]MESA_UA!$DO$53</f>
        <v>0</v>
      </c>
      <c r="F31" s="134">
        <f>'[3]Sky West'!$DO$53</f>
        <v>0</v>
      </c>
      <c r="G31" s="134">
        <f>'[3]Sky West_UA'!$DO$53</f>
        <v>0</v>
      </c>
      <c r="H31" s="134">
        <f>[3]Comair!$DO$53</f>
        <v>0</v>
      </c>
      <c r="I31" s="134">
        <f>[3]Republic!$DO$53</f>
        <v>0</v>
      </c>
      <c r="J31" s="134">
        <f>'[3]American Eagle'!$DO$53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[3]Pinnacle!$DO$57</f>
        <v>0</v>
      </c>
      <c r="C35" s="136">
        <f>[3]Chautaqua_AA!$DO$57</f>
        <v>0</v>
      </c>
      <c r="D35" s="136">
        <f>[3]Chautaqua_Continental!$DO$57</f>
        <v>0</v>
      </c>
      <c r="E35" s="134">
        <f>[3]MESA_UA!$DO$57</f>
        <v>0</v>
      </c>
      <c r="F35" s="134">
        <f>'[3]Sky West'!$DO$57</f>
        <v>0</v>
      </c>
      <c r="G35" s="134">
        <f>'[3]Sky West_UA'!$DO$57</f>
        <v>0</v>
      </c>
      <c r="H35" s="134">
        <f>[3]Comair!$DO$57</f>
        <v>0</v>
      </c>
      <c r="I35" s="134">
        <f>[3]Republic!$DO$57</f>
        <v>0</v>
      </c>
      <c r="J35" s="134">
        <f>'[3]American Eagle'!$DO$57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[3]Pinnacle!$DO$58</f>
        <v>0</v>
      </c>
      <c r="C36" s="136">
        <f>[3]Chautaqua_AA!$DO$58</f>
        <v>0</v>
      </c>
      <c r="D36" s="136">
        <f>[3]Chautaqua_Continental!$DO$58</f>
        <v>0</v>
      </c>
      <c r="E36" s="134">
        <f>[3]MESA_UA!$DO$58</f>
        <v>0</v>
      </c>
      <c r="F36" s="134">
        <f>'[3]Sky West'!$DO$58</f>
        <v>0</v>
      </c>
      <c r="G36" s="134">
        <f>'[3]Sky West_UA'!$DO$58</f>
        <v>0</v>
      </c>
      <c r="H36" s="134">
        <f>[3]Comair!$DO$58</f>
        <v>0</v>
      </c>
      <c r="I36" s="134">
        <f>[3]Republic!$DO$58</f>
        <v>0</v>
      </c>
      <c r="J36" s="134">
        <f>'[3]American Eagle'!$DO$58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0</v>
      </c>
      <c r="K40" s="134">
        <f>K35+K30+K25</f>
        <v>2</v>
      </c>
      <c r="L40" s="113">
        <f>SUM(B40:K40)</f>
        <v>2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0</v>
      </c>
      <c r="K42" s="140">
        <f>SUM(K37,K32,K27)</f>
        <v>2</v>
      </c>
      <c r="L42" s="141">
        <f>SUM(B42:K42)</f>
        <v>2</v>
      </c>
    </row>
    <row r="44" spans="1:12" x14ac:dyDescent="0.2">
      <c r="A44" s="394" t="s">
        <v>135</v>
      </c>
      <c r="B44" s="327">
        <f>[3]Pinnacle!$DO$70+[3]Pinnacle!$DO$73</f>
        <v>46527</v>
      </c>
      <c r="F44" s="328">
        <f>'[3]Sky West'!$DO$70+'[3]Sky West'!$DO$73</f>
        <v>16983</v>
      </c>
      <c r="H44" s="328">
        <f>[3]Comair!$DO$70+[3]Comair!$DO$73</f>
        <v>0</v>
      </c>
      <c r="K44" s="5">
        <f>+'Other Regional'!L46</f>
        <v>39350</v>
      </c>
      <c r="L44" s="316">
        <f>SUM(B44:K44)</f>
        <v>102860</v>
      </c>
    </row>
    <row r="45" spans="1:12" x14ac:dyDescent="0.2">
      <c r="A45" s="410" t="s">
        <v>136</v>
      </c>
      <c r="B45" s="327">
        <f>[3]Pinnacle!$DO$71+[3]Pinnacle!$DO$74</f>
        <v>112684</v>
      </c>
      <c r="F45" s="328">
        <f>'[3]Sky West'!$DO$71+'[3]Sky West'!$DO$74</f>
        <v>61642</v>
      </c>
      <c r="H45" s="328">
        <f>[3]Comair!$DO$71+[3]Comair!$DO$74</f>
        <v>0</v>
      </c>
      <c r="K45" s="5">
        <f>+'Other Regional'!L47</f>
        <v>65918</v>
      </c>
      <c r="L45" s="316">
        <f>SUM(B45:K45)</f>
        <v>240244</v>
      </c>
    </row>
    <row r="46" spans="1:12" x14ac:dyDescent="0.2">
      <c r="A46" s="318" t="s">
        <v>137</v>
      </c>
      <c r="B46" s="319">
        <f>SUM(B44:B45)</f>
        <v>159211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June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C5" sqref="C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41791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America'!$DO$22</f>
        <v>12584</v>
      </c>
      <c r="C5" s="135">
        <f>'[3]Shuttle America_Delta'!$DO$22</f>
        <v>10472</v>
      </c>
      <c r="D5" s="135">
        <f>[3]AirCanada!$DO$32</f>
        <v>4647</v>
      </c>
      <c r="E5" s="22">
        <f>[3]Compass!$DO$22+[3]Compass!$DO$32</f>
        <v>63615</v>
      </c>
      <c r="F5" s="135">
        <f>'[3]Atlantic Southeast'!$DO$22+'[3]Atlantic Southeast'!$DO$32</f>
        <v>32271</v>
      </c>
      <c r="G5" s="135">
        <f>'[3]Continental Express'!$DO$22</f>
        <v>8860</v>
      </c>
      <c r="H5" s="134">
        <f>'[3]Go Jet_UA'!$DO$22</f>
        <v>7598</v>
      </c>
      <c r="I5" s="134">
        <f>'[3]Go Jet'!$DO$22</f>
        <v>0</v>
      </c>
      <c r="J5" s="136">
        <f>'[3]Air Wisconsin'!$DO$22</f>
        <v>446</v>
      </c>
      <c r="K5" s="134">
        <f>[3]MESA!$DO$22</f>
        <v>4051</v>
      </c>
      <c r="L5" s="113">
        <f>SUM(B5:K5)</f>
        <v>144544</v>
      </c>
    </row>
    <row r="6" spans="1:12" s="10" customFormat="1" x14ac:dyDescent="0.2">
      <c r="A6" s="65" t="s">
        <v>34</v>
      </c>
      <c r="B6" s="135">
        <f>'[3]Shuttle America'!$DO$23</f>
        <v>12829</v>
      </c>
      <c r="C6" s="135">
        <f>'[3]Shuttle America_Delta'!$DO$23</f>
        <v>9904</v>
      </c>
      <c r="D6" s="135">
        <f>[3]AirCanada!$DO$33</f>
        <v>4656</v>
      </c>
      <c r="E6" s="14">
        <f>[3]Compass!$DO$23+[3]Compass!$DO$33</f>
        <v>63611</v>
      </c>
      <c r="F6" s="135">
        <f>'[3]Atlantic Southeast'!$DO$23+'[3]Atlantic Southeast'!$DO$33</f>
        <v>31753</v>
      </c>
      <c r="G6" s="135">
        <f>'[3]Continental Express'!$DO$23</f>
        <v>8081</v>
      </c>
      <c r="H6" s="134">
        <f>'[3]Go Jet_UA'!$DO$23</f>
        <v>7008</v>
      </c>
      <c r="I6" s="134">
        <f>'[3]Go Jet'!$DO$23</f>
        <v>0</v>
      </c>
      <c r="J6" s="136">
        <f>'[3]Air Wisconsin'!$DO$23</f>
        <v>356</v>
      </c>
      <c r="K6" s="134">
        <f>[3]MESA!$DO$23</f>
        <v>4343</v>
      </c>
      <c r="L6" s="119">
        <f>SUM(B6:K6)</f>
        <v>142541</v>
      </c>
    </row>
    <row r="7" spans="1:12" ht="15" thickBot="1" x14ac:dyDescent="0.25">
      <c r="A7" s="76" t="s">
        <v>7</v>
      </c>
      <c r="B7" s="137">
        <f t="shared" ref="B7:K7" si="0">SUM(B5:B6)</f>
        <v>25413</v>
      </c>
      <c r="C7" s="137">
        <f t="shared" si="0"/>
        <v>20376</v>
      </c>
      <c r="D7" s="137">
        <f t="shared" si="0"/>
        <v>9303</v>
      </c>
      <c r="E7" s="137">
        <f>SUM(E5:E6)</f>
        <v>127226</v>
      </c>
      <c r="F7" s="137">
        <f t="shared" si="0"/>
        <v>64024</v>
      </c>
      <c r="G7" s="137">
        <f t="shared" si="0"/>
        <v>16941</v>
      </c>
      <c r="H7" s="137">
        <f t="shared" si="0"/>
        <v>14606</v>
      </c>
      <c r="I7" s="137">
        <f t="shared" si="0"/>
        <v>0</v>
      </c>
      <c r="J7" s="137">
        <f t="shared" si="0"/>
        <v>802</v>
      </c>
      <c r="K7" s="137">
        <f t="shared" si="0"/>
        <v>8394</v>
      </c>
      <c r="L7" s="138">
        <f>SUM(L5:L6)</f>
        <v>287085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America'!$DO$27</f>
        <v>0</v>
      </c>
      <c r="C10" s="135">
        <f>'[3]Shuttle America_Delta'!$DO$27</f>
        <v>349</v>
      </c>
      <c r="D10" s="135">
        <f>[3]AirCanada!$DO$37</f>
        <v>42</v>
      </c>
      <c r="E10" s="22">
        <f>[3]Compass!$DO$27+[3]Compass!$DO$37</f>
        <v>2009</v>
      </c>
      <c r="F10" s="22">
        <f>'[3]Atlantic Southeast'!$DO$27+'[3]Atlantic Southeast'!$DO$37</f>
        <v>826</v>
      </c>
      <c r="G10" s="135">
        <f>'[3]Continental Express'!$DO$27</f>
        <v>295</v>
      </c>
      <c r="H10" s="134">
        <f>'[3]Go Jet_UA'!$DO$27</f>
        <v>232</v>
      </c>
      <c r="I10" s="134">
        <f>'[3]Go Jet'!$DO$27</f>
        <v>0</v>
      </c>
      <c r="J10" s="136">
        <f>'[3]Air Wisconsin'!$DO$27</f>
        <v>23</v>
      </c>
      <c r="K10" s="134">
        <f>[3]MESA!$DO$27</f>
        <v>196</v>
      </c>
      <c r="L10" s="113">
        <f>SUM(B10:K10)</f>
        <v>3972</v>
      </c>
    </row>
    <row r="11" spans="1:12" x14ac:dyDescent="0.2">
      <c r="A11" s="65" t="s">
        <v>36</v>
      </c>
      <c r="B11" s="135">
        <f>'[3]Shuttle America'!$DO$28</f>
        <v>0</v>
      </c>
      <c r="C11" s="135">
        <f>'[3]Shuttle America_Delta'!$DO$28</f>
        <v>361</v>
      </c>
      <c r="D11" s="135">
        <f>[3]AirCanada!$DO$38</f>
        <v>48</v>
      </c>
      <c r="E11" s="14">
        <f>[3]Compass!$DO$28+[3]Compass!$DO$38</f>
        <v>1913</v>
      </c>
      <c r="F11" s="14">
        <f>'[3]Atlantic Southeast'!$DO$28+'[3]Atlantic Southeast'!$DO$38</f>
        <v>905</v>
      </c>
      <c r="G11" s="135">
        <f>'[3]Continental Express'!$DO$28</f>
        <v>296</v>
      </c>
      <c r="H11" s="134">
        <f>'[3]Go Jet_UA'!$DO$28</f>
        <v>229</v>
      </c>
      <c r="I11" s="134">
        <f>'[3]Go Jet'!$DO$28</f>
        <v>0</v>
      </c>
      <c r="J11" s="136">
        <f>'[3]Air Wisconsin'!$DO$28</f>
        <v>13</v>
      </c>
      <c r="K11" s="134">
        <f>[3]MESA!$DO$28</f>
        <v>52</v>
      </c>
      <c r="L11" s="119">
        <f>SUM(B11:K11)</f>
        <v>3817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710</v>
      </c>
      <c r="D12" s="140">
        <f t="shared" ref="D12:K12" si="1">SUM(D10:D11)</f>
        <v>90</v>
      </c>
      <c r="E12" s="140">
        <f t="shared" si="1"/>
        <v>3922</v>
      </c>
      <c r="F12" s="140">
        <f t="shared" si="1"/>
        <v>1731</v>
      </c>
      <c r="G12" s="140">
        <f t="shared" si="1"/>
        <v>591</v>
      </c>
      <c r="H12" s="140">
        <f t="shared" si="1"/>
        <v>461</v>
      </c>
      <c r="I12" s="140">
        <f t="shared" si="1"/>
        <v>0</v>
      </c>
      <c r="J12" s="140">
        <f t="shared" si="1"/>
        <v>36</v>
      </c>
      <c r="K12" s="140">
        <f t="shared" si="1"/>
        <v>248</v>
      </c>
      <c r="L12" s="141">
        <f>SUM(B12:K12)</f>
        <v>7789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America'!$DO$4</f>
        <v>199</v>
      </c>
      <c r="C15" s="109">
        <f>'[3]Shuttle America_Delta'!$DO$4</f>
        <v>160</v>
      </c>
      <c r="D15" s="110">
        <f>[3]AirCanada!$DO$15</f>
        <v>89</v>
      </c>
      <c r="E15" s="22">
        <f>[3]Compass!$DO$4+[3]Compass!$DO$15</f>
        <v>993</v>
      </c>
      <c r="F15" s="110">
        <f>'[3]Atlantic Southeast'!$DO$4+'[3]Atlantic Southeast'!$DO$15</f>
        <v>526</v>
      </c>
      <c r="G15" s="110">
        <f>'[3]Continental Express'!$DO$4</f>
        <v>196</v>
      </c>
      <c r="H15" s="109">
        <f>'[3]Go Jet_UA'!$DO$4</f>
        <v>117</v>
      </c>
      <c r="I15" s="109">
        <f>'[3]Go Jet'!$DO$4</f>
        <v>0</v>
      </c>
      <c r="J15" s="111">
        <f>'[3]Air Wisconsin'!$DO$4</f>
        <v>10</v>
      </c>
      <c r="K15" s="109">
        <f>[3]MESA!$DO$4</f>
        <v>64</v>
      </c>
      <c r="L15" s="113">
        <f t="shared" ref="L15:L21" si="2">SUM(B15:K15)</f>
        <v>2354</v>
      </c>
    </row>
    <row r="16" spans="1:12" x14ac:dyDescent="0.2">
      <c r="A16" s="65" t="s">
        <v>59</v>
      </c>
      <c r="B16" s="114">
        <f>'[3]Shuttle America'!$DO$5</f>
        <v>199</v>
      </c>
      <c r="C16" s="114">
        <f>'[3]Shuttle America_Delta'!$DO$5</f>
        <v>160</v>
      </c>
      <c r="D16" s="115">
        <f>[3]AirCanada!$DO$16</f>
        <v>89</v>
      </c>
      <c r="E16" s="14">
        <f>[3]Compass!$DO$5+[3]Compass!$DO$16</f>
        <v>991</v>
      </c>
      <c r="F16" s="115">
        <f>'[3]Atlantic Southeast'!$DO$5+'[3]Atlantic Southeast'!$DO$16</f>
        <v>528</v>
      </c>
      <c r="G16" s="115">
        <f>'[3]Continental Express'!$DO$5</f>
        <v>196</v>
      </c>
      <c r="H16" s="114">
        <f>'[3]Go Jet_UA'!$DO$5</f>
        <v>117</v>
      </c>
      <c r="I16" s="114">
        <f>'[3]Go Jet'!$DO$5</f>
        <v>0</v>
      </c>
      <c r="J16" s="116">
        <f>'[3]Air Wisconsin'!$DO$5</f>
        <v>8</v>
      </c>
      <c r="K16" s="114">
        <f>[3]MESA!$DO$5</f>
        <v>64</v>
      </c>
      <c r="L16" s="119">
        <f t="shared" si="2"/>
        <v>2352</v>
      </c>
    </row>
    <row r="17" spans="1:12" x14ac:dyDescent="0.2">
      <c r="A17" s="74" t="s">
        <v>60</v>
      </c>
      <c r="B17" s="120">
        <f>SUM(B15:B16)</f>
        <v>398</v>
      </c>
      <c r="C17" s="120">
        <f>SUM(C15:C16)</f>
        <v>320</v>
      </c>
      <c r="D17" s="120">
        <f t="shared" ref="D17:K17" si="3">SUM(D15:D16)</f>
        <v>178</v>
      </c>
      <c r="E17" s="291">
        <f>SUM(E15:E16)</f>
        <v>1984</v>
      </c>
      <c r="F17" s="120">
        <f t="shared" si="3"/>
        <v>1054</v>
      </c>
      <c r="G17" s="120">
        <f t="shared" si="3"/>
        <v>392</v>
      </c>
      <c r="H17" s="120">
        <f t="shared" si="3"/>
        <v>234</v>
      </c>
      <c r="I17" s="120">
        <f t="shared" si="3"/>
        <v>0</v>
      </c>
      <c r="J17" s="120">
        <f t="shared" si="3"/>
        <v>18</v>
      </c>
      <c r="K17" s="120">
        <f t="shared" si="3"/>
        <v>128</v>
      </c>
      <c r="L17" s="121">
        <f t="shared" si="2"/>
        <v>4706</v>
      </c>
    </row>
    <row r="18" spans="1:12" x14ac:dyDescent="0.2">
      <c r="A18" s="65" t="s">
        <v>61</v>
      </c>
      <c r="B18" s="122">
        <f>'[3]Shuttle America'!$DO$8</f>
        <v>0</v>
      </c>
      <c r="C18" s="122">
        <f>'[3]Shuttle America_Delta'!$DO$8</f>
        <v>0</v>
      </c>
      <c r="D18" s="122">
        <f>[3]AirCanada!$DO$8</f>
        <v>0</v>
      </c>
      <c r="E18" s="22">
        <f>[3]Compass!$DO$8</f>
        <v>0</v>
      </c>
      <c r="F18" s="112">
        <f>'[3]Atlantic Southeast'!$DO$8</f>
        <v>1</v>
      </c>
      <c r="G18" s="112">
        <f>'[3]Continental Express'!$DO$8</f>
        <v>0</v>
      </c>
      <c r="H18" s="122">
        <f>'[3]Go Jet_UA'!$DO$8</f>
        <v>0</v>
      </c>
      <c r="I18" s="122">
        <f>'[3]Go Jet'!$DO$8</f>
        <v>0</v>
      </c>
      <c r="J18" s="123">
        <f>'[3]Air Wisconsin'!$DO$8</f>
        <v>0</v>
      </c>
      <c r="K18" s="122">
        <f>[3]MESA!$DO$8</f>
        <v>0</v>
      </c>
      <c r="L18" s="113">
        <f t="shared" si="2"/>
        <v>1</v>
      </c>
    </row>
    <row r="19" spans="1:12" x14ac:dyDescent="0.2">
      <c r="A19" s="65" t="s">
        <v>62</v>
      </c>
      <c r="B19" s="124">
        <f>'[3]Shuttle America'!$DO$9</f>
        <v>0</v>
      </c>
      <c r="C19" s="124">
        <f>'[3]Shuttle America_Delta'!$DO$9</f>
        <v>0</v>
      </c>
      <c r="D19" s="124">
        <f>[3]AirCanada!$DO$9</f>
        <v>0</v>
      </c>
      <c r="E19" s="14">
        <f>[3]Compass!$DO$9</f>
        <v>3</v>
      </c>
      <c r="F19" s="117">
        <f>'[3]Atlantic Southeast'!$DO$9</f>
        <v>0</v>
      </c>
      <c r="G19" s="117">
        <f>'[3]Continental Express'!$DO$9</f>
        <v>0</v>
      </c>
      <c r="H19" s="124">
        <f>'[3]Go Jet_UA'!$DO$9</f>
        <v>0</v>
      </c>
      <c r="I19" s="124">
        <f>'[3]Go Jet'!$DO$9</f>
        <v>0</v>
      </c>
      <c r="J19" s="125">
        <f>'[3]Air Wisconsin'!$DO$9</f>
        <v>2</v>
      </c>
      <c r="K19" s="124">
        <f>[3]MESA!$DO$9</f>
        <v>0</v>
      </c>
      <c r="L19" s="119">
        <f t="shared" si="2"/>
        <v>5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3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2</v>
      </c>
      <c r="K20" s="120">
        <f t="shared" si="4"/>
        <v>0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>SUM(B20,B17)</f>
        <v>398</v>
      </c>
      <c r="C21" s="126">
        <f>SUM(C20,C17)</f>
        <v>320</v>
      </c>
      <c r="D21" s="126">
        <f t="shared" ref="D21:K21" si="5">SUM(D20,D17)</f>
        <v>178</v>
      </c>
      <c r="E21" s="126">
        <f t="shared" si="5"/>
        <v>1987</v>
      </c>
      <c r="F21" s="126">
        <f t="shared" si="5"/>
        <v>1055</v>
      </c>
      <c r="G21" s="126">
        <f t="shared" si="5"/>
        <v>392</v>
      </c>
      <c r="H21" s="126">
        <f t="shared" si="5"/>
        <v>234</v>
      </c>
      <c r="I21" s="126">
        <f t="shared" si="5"/>
        <v>0</v>
      </c>
      <c r="J21" s="126">
        <f t="shared" si="5"/>
        <v>20</v>
      </c>
      <c r="K21" s="126">
        <f t="shared" si="5"/>
        <v>128</v>
      </c>
      <c r="L21" s="127">
        <f t="shared" si="2"/>
        <v>4712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America'!$DO$47</f>
        <v>0</v>
      </c>
      <c r="C25" s="134">
        <f>'[3]Shuttle America_Delta'!$DO$47</f>
        <v>0</v>
      </c>
      <c r="D25" s="134">
        <f>[3]AirCanada!$DO$47</f>
        <v>0</v>
      </c>
      <c r="E25" s="134">
        <f>[3]Compass!$DO$47</f>
        <v>0</v>
      </c>
      <c r="F25" s="135">
        <f>'[3]Atlantic Southeast'!$DO$47</f>
        <v>0</v>
      </c>
      <c r="G25" s="135">
        <f>'[3]Continental Express'!$DO$47</f>
        <v>0</v>
      </c>
      <c r="H25" s="134">
        <f>'[3]Go Jet_UA'!$DO$47</f>
        <v>0</v>
      </c>
      <c r="I25" s="134">
        <f>'[3]Go Jet'!$DO$47</f>
        <v>0</v>
      </c>
      <c r="J25" s="136">
        <f>'[3]Air Wisconsin'!$DO$47</f>
        <v>2</v>
      </c>
      <c r="K25" s="134">
        <f>[3]MESA!$DO$47</f>
        <v>0</v>
      </c>
      <c r="L25" s="113">
        <f>SUM(B25:K25)</f>
        <v>2</v>
      </c>
    </row>
    <row r="26" spans="1:12" x14ac:dyDescent="0.2">
      <c r="A26" s="78" t="s">
        <v>41</v>
      </c>
      <c r="B26" s="134">
        <f>'[3]Shuttle America'!$DO$48</f>
        <v>0</v>
      </c>
      <c r="C26" s="134">
        <f>'[3]Shuttle America_Delta'!$DO$48</f>
        <v>0</v>
      </c>
      <c r="D26" s="134">
        <f>[3]AirCanada!$DO$48</f>
        <v>0</v>
      </c>
      <c r="E26" s="134">
        <f>[3]Compass!$DO$48</f>
        <v>0</v>
      </c>
      <c r="F26" s="135">
        <f>'[3]Atlantic Southeast'!$DO$48</f>
        <v>0</v>
      </c>
      <c r="G26" s="135">
        <f>'[3]Continental Express'!$DO$48</f>
        <v>0</v>
      </c>
      <c r="H26" s="134">
        <f>'[3]Go Jet_UA'!$DO$48</f>
        <v>0</v>
      </c>
      <c r="I26" s="134">
        <f>'[3]Go Jet'!$DO$48</f>
        <v>0</v>
      </c>
      <c r="J26" s="136">
        <f>'[3]Air Wisconsin'!$DO$48</f>
        <v>0</v>
      </c>
      <c r="K26" s="134">
        <f>[3]MESA!$DO$48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2</v>
      </c>
      <c r="K27" s="137">
        <f t="shared" si="6"/>
        <v>0</v>
      </c>
      <c r="L27" s="138">
        <f>SUM(B27:K27)</f>
        <v>2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America'!$DO$52</f>
        <v>0</v>
      </c>
      <c r="C30" s="134">
        <f>'[3]Shuttle America_Delta'!$DO$52</f>
        <v>0</v>
      </c>
      <c r="D30" s="134">
        <f>[3]AirCanada!$DO$52</f>
        <v>0</v>
      </c>
      <c r="E30" s="134">
        <f>[3]Compass!$DO$52</f>
        <v>0</v>
      </c>
      <c r="F30" s="135">
        <f>'[3]Atlantic Southeast'!$DO$52</f>
        <v>0</v>
      </c>
      <c r="G30" s="135">
        <f>'[3]Continental Express'!$DO$52</f>
        <v>0</v>
      </c>
      <c r="H30" s="134">
        <f>'[3]Go Jet_UA'!$DO$52</f>
        <v>0</v>
      </c>
      <c r="I30" s="134">
        <f>'[3]Go Jet'!$DO$52</f>
        <v>0</v>
      </c>
      <c r="J30" s="136">
        <f>'[3]Air Wisconsin'!BH$52</f>
        <v>0</v>
      </c>
      <c r="K30" s="134">
        <f>[3]MESA!$DO$52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America'!$DO$53</f>
        <v>0</v>
      </c>
      <c r="C31" s="134">
        <f>'[3]Shuttle America_Delta'!$DO$53</f>
        <v>0</v>
      </c>
      <c r="D31" s="134">
        <f>[3]AirCanada!$DO$53</f>
        <v>0</v>
      </c>
      <c r="E31" s="134">
        <f>[3]Compass!$DO$53</f>
        <v>0</v>
      </c>
      <c r="F31" s="135">
        <f>'[3]Atlantic Southeast'!$DO$53</f>
        <v>0</v>
      </c>
      <c r="G31" s="135">
        <f>'[3]Continental Express'!$DO$53</f>
        <v>0</v>
      </c>
      <c r="H31" s="134">
        <f>'[3]Go Jet_UA'!$DO$53</f>
        <v>0</v>
      </c>
      <c r="I31" s="134">
        <f>'[3]Go Jet'!$DO$53</f>
        <v>0</v>
      </c>
      <c r="J31" s="136">
        <f>'[3]Air Wisconsin'!$DO$53</f>
        <v>0</v>
      </c>
      <c r="K31" s="134">
        <f>[3]MESA!$DO$53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America'!$DO$57</f>
        <v>0</v>
      </c>
      <c r="C35" s="134">
        <f>'[3]Shuttle America_Delta'!$DO$57</f>
        <v>0</v>
      </c>
      <c r="D35" s="134">
        <f>[3]AirCanada!$DO$57</f>
        <v>0</v>
      </c>
      <c r="E35" s="134">
        <f>[3]Compass!$DO$57</f>
        <v>0</v>
      </c>
      <c r="F35" s="135">
        <f>'[3]Atlantic Southeast'!$DO$57</f>
        <v>0</v>
      </c>
      <c r="G35" s="135">
        <f>'[3]Continental Express'!$DO$57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2</v>
      </c>
      <c r="K40" s="134">
        <f t="shared" si="9"/>
        <v>0</v>
      </c>
      <c r="L40" s="113">
        <f>SUM(B40:K40)</f>
        <v>2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2</v>
      </c>
      <c r="K42" s="140">
        <f t="shared" si="11"/>
        <v>0</v>
      </c>
      <c r="L42" s="141">
        <f>SUM(B42:K42)</f>
        <v>2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America_Delta'!$DO$70+'[3]Shuttle America_Delta'!$DO$73</f>
        <v>3397</v>
      </c>
      <c r="E46" s="328">
        <f>[3]Compass!$DO$70+[3]Compass!$DO$73</f>
        <v>24363</v>
      </c>
      <c r="F46" s="328">
        <f>'[3]Atlantic Southeast'!$DO$70+'[3]Atlantic Southeast'!$DO$73</f>
        <v>11590</v>
      </c>
      <c r="L46" s="409">
        <f>SUM(B46:K46)</f>
        <v>39350</v>
      </c>
    </row>
    <row r="47" spans="1:12" x14ac:dyDescent="0.2">
      <c r="A47" s="410" t="s">
        <v>136</v>
      </c>
      <c r="C47" s="328">
        <f>'[3]Shuttle America_Delta'!$DO$71+'[3]Shuttle America_Delta'!$DO$74</f>
        <v>6507</v>
      </c>
      <c r="E47" s="328">
        <f>[3]Compass!$DO$71+[3]Compass!$DO$74</f>
        <v>39248</v>
      </c>
      <c r="F47" s="328">
        <f>'[3]Atlantic Southeast'!$DO$71+'[3]Atlantic Southeast'!$DO$74</f>
        <v>20163</v>
      </c>
      <c r="L47" s="409">
        <f>SUM(B47:K47)</f>
        <v>65918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June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workbookViewId="0">
      <selection activeCell="G36" sqref="G3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41791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Misc'!$DO$22</f>
        <v>53</v>
      </c>
      <c r="C5" s="188">
        <f>[3]Ryan!$DO$22</f>
        <v>0</v>
      </c>
      <c r="D5" s="188">
        <f>'[3]Charter Misc'!$DO$32</f>
        <v>0</v>
      </c>
      <c r="E5" s="188">
        <f>[3]Omni!$DO$32</f>
        <v>0</v>
      </c>
      <c r="F5" s="188">
        <f>[3]Xtra!$DO$32+[3]Xtra!$DO$22</f>
        <v>0</v>
      </c>
      <c r="G5" s="340">
        <f>SUM(B5:F5)</f>
        <v>53</v>
      </c>
    </row>
    <row r="6" spans="1:17" x14ac:dyDescent="0.2">
      <c r="A6" s="65" t="s">
        <v>34</v>
      </c>
      <c r="B6" s="446">
        <f>'[3]Charter Misc'!$DO$23</f>
        <v>50</v>
      </c>
      <c r="C6" s="191">
        <f>[3]Ryan!$DO$23</f>
        <v>0</v>
      </c>
      <c r="D6" s="191">
        <f>'[3]Charter Misc'!$DO$33</f>
        <v>0</v>
      </c>
      <c r="E6" s="191">
        <f>[3]Omni!$DO$33</f>
        <v>0</v>
      </c>
      <c r="F6" s="191">
        <f>[3]Xtra!$DO$33+[3]Xtra!$DO$23</f>
        <v>0</v>
      </c>
      <c r="G6" s="339">
        <f>SUM(B6:F6)</f>
        <v>50</v>
      </c>
    </row>
    <row r="7" spans="1:17" ht="15.75" thickBot="1" x14ac:dyDescent="0.3">
      <c r="A7" s="187" t="s">
        <v>7</v>
      </c>
      <c r="B7" s="447">
        <f>SUM(B5:B6)</f>
        <v>103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103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Misc'!$DO$4</f>
        <v>2</v>
      </c>
      <c r="C10" s="188">
        <f>[3]Ryan!$DO$4</f>
        <v>0</v>
      </c>
      <c r="D10" s="188">
        <f>'[3]Charter Misc'!$DO$15</f>
        <v>0</v>
      </c>
      <c r="E10" s="188">
        <f>[3]Omni!$DO$15</f>
        <v>0</v>
      </c>
      <c r="F10" s="188">
        <f>[3]Xtra!$DO$15+[3]Xtra!$DO$4</f>
        <v>0</v>
      </c>
      <c r="G10" s="339">
        <f>SUM(B10:F10)</f>
        <v>2</v>
      </c>
    </row>
    <row r="11" spans="1:17" x14ac:dyDescent="0.2">
      <c r="A11" s="186" t="s">
        <v>86</v>
      </c>
      <c r="B11" s="445">
        <f>'[3]Charter Misc'!$DO$5</f>
        <v>2</v>
      </c>
      <c r="C11" s="188">
        <f>[3]Ryan!$DO$5</f>
        <v>0</v>
      </c>
      <c r="D11" s="188">
        <f>'[3]Charter Misc'!$DO$16</f>
        <v>0</v>
      </c>
      <c r="E11" s="188">
        <f>[3]Omni!$DO$16</f>
        <v>0</v>
      </c>
      <c r="F11" s="188">
        <f>[3]Xtra!$DO$16+[3]Xtra!$DO$5</f>
        <v>0</v>
      </c>
      <c r="G11" s="339">
        <f>SUM(B11:F11)</f>
        <v>2</v>
      </c>
    </row>
    <row r="12" spans="1:17" ht="15.75" thickBot="1" x14ac:dyDescent="0.3">
      <c r="A12" s="282" t="s">
        <v>31</v>
      </c>
      <c r="B12" s="449">
        <f>SUM(B10:B11)</f>
        <v>4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4</v>
      </c>
      <c r="Q12" s="134"/>
    </row>
    <row r="17" spans="1:16" x14ac:dyDescent="0.2">
      <c r="B17" s="485" t="s">
        <v>175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8" t="s">
        <v>132</v>
      </c>
      <c r="C19" s="489"/>
      <c r="D19" s="489"/>
      <c r="E19" s="490"/>
      <c r="G19" s="488" t="s">
        <v>133</v>
      </c>
      <c r="H19" s="491"/>
      <c r="I19" s="491"/>
      <c r="J19" s="492"/>
      <c r="L19" s="493" t="s">
        <v>134</v>
      </c>
      <c r="M19" s="494"/>
      <c r="N19" s="494"/>
      <c r="O19" s="495"/>
    </row>
    <row r="20" spans="1:16" ht="13.5" thickBot="1" x14ac:dyDescent="0.25">
      <c r="A20" s="241" t="s">
        <v>111</v>
      </c>
      <c r="B20" s="464" t="s">
        <v>112</v>
      </c>
      <c r="C20" s="8" t="s">
        <v>113</v>
      </c>
      <c r="D20" s="8" t="s">
        <v>196</v>
      </c>
      <c r="E20" s="8" t="s">
        <v>189</v>
      </c>
      <c r="F20" s="475" t="s">
        <v>107</v>
      </c>
      <c r="G20" s="464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4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thickBot="1" x14ac:dyDescent="0.25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4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26" si="2">SUM(G21:H21)</f>
        <v>2341884</v>
      </c>
      <c r="J21" s="462">
        <f>[5]Charter!$I21</f>
        <v>2215560</v>
      </c>
      <c r="K21" s="469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2">
        <f>[5]Charter!$N$21</f>
        <v>2404429</v>
      </c>
      <c r="P21" s="247">
        <f>(N21-O21)/O21</f>
        <v>6.4016030417200928E-2</v>
      </c>
    </row>
    <row r="22" spans="1:16" ht="14.1" customHeight="1" thickBot="1" x14ac:dyDescent="0.25">
      <c r="A22" s="248" t="s">
        <v>115</v>
      </c>
      <c r="B22" s="461">
        <f>[6]Charter!B22</f>
        <v>109972</v>
      </c>
      <c r="C22" s="460">
        <f>[6]Charter!C22</f>
        <v>111618</v>
      </c>
      <c r="D22" s="460">
        <f>SUM(B22:C22)</f>
        <v>221590</v>
      </c>
      <c r="E22" s="463">
        <f>[7]Charter!$D22</f>
        <v>206738</v>
      </c>
      <c r="F22" s="465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62">
        <f>[7]Charter!$I22</f>
        <v>2137287</v>
      </c>
      <c r="K22" s="470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3">
        <f>[7]Charter!$N22</f>
        <v>2344025</v>
      </c>
      <c r="P22" s="249">
        <f t="shared" ref="P22:P32" si="5">(N22-O22)/O22</f>
        <v>4.6018707138362432E-2</v>
      </c>
    </row>
    <row r="23" spans="1:16" ht="14.1" customHeight="1" thickBot="1" x14ac:dyDescent="0.25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3">
        <f>[9]Charter!$D23</f>
        <v>270939</v>
      </c>
      <c r="F23" s="466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62">
        <f>[9]Charter!$I23</f>
        <v>2750397</v>
      </c>
      <c r="K23" s="470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3">
        <f>[9]Charter!$N23</f>
        <v>3021336</v>
      </c>
      <c r="P23" s="249">
        <f t="shared" si="5"/>
        <v>6.6219712074393575E-2</v>
      </c>
    </row>
    <row r="24" spans="1:16" ht="14.1" customHeight="1" thickBot="1" x14ac:dyDescent="0.25">
      <c r="A24" s="248" t="s">
        <v>117</v>
      </c>
      <c r="B24" s="461">
        <f>[10]Charter!B24</f>
        <v>96003</v>
      </c>
      <c r="C24" s="460">
        <f>[10]Charter!C24</f>
        <v>84563</v>
      </c>
      <c r="D24" s="460">
        <f>SUM(B24:C24)</f>
        <v>180566</v>
      </c>
      <c r="E24" s="463">
        <f>[11]Charter!$D24</f>
        <v>163833</v>
      </c>
      <c r="F24" s="466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62">
        <f>[11]Charter!$I24</f>
        <v>2509733</v>
      </c>
      <c r="K24" s="470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3">
        <f>[11]Charter!$N24</f>
        <v>2673566</v>
      </c>
      <c r="P24" s="249">
        <f t="shared" si="5"/>
        <v>5.3322042545424352E-2</v>
      </c>
    </row>
    <row r="25" spans="1:16" ht="14.1" customHeight="1" thickBot="1" x14ac:dyDescent="0.25">
      <c r="A25" s="239" t="s">
        <v>81</v>
      </c>
      <c r="B25" s="461">
        <f>[2]Charter!B25</f>
        <v>85920</v>
      </c>
      <c r="C25" s="460">
        <f>[2]Charter!C25</f>
        <v>92667</v>
      </c>
      <c r="D25" s="460">
        <f>SUM(B25:C25)</f>
        <v>178587</v>
      </c>
      <c r="E25" s="463">
        <f>[12]Charter!$D25</f>
        <v>177686</v>
      </c>
      <c r="F25" s="467">
        <f t="shared" si="1"/>
        <v>5.0707427709555056E-3</v>
      </c>
      <c r="G25" s="461">
        <f>L25-B25</f>
        <v>1403714</v>
      </c>
      <c r="H25" s="460">
        <f>M25-C25</f>
        <v>1368650</v>
      </c>
      <c r="I25" s="460">
        <f t="shared" si="2"/>
        <v>2772364</v>
      </c>
      <c r="J25" s="462">
        <f>[12]Charter!$I25</f>
        <v>2673501</v>
      </c>
      <c r="K25" s="471">
        <f t="shared" si="3"/>
        <v>3.697885282257235E-2</v>
      </c>
      <c r="L25" s="461">
        <f>[2]Charter!$L25</f>
        <v>1489634</v>
      </c>
      <c r="M25" s="460">
        <f>[2]Charter!$M25</f>
        <v>1461317</v>
      </c>
      <c r="N25" s="460">
        <f t="shared" si="4"/>
        <v>2950951</v>
      </c>
      <c r="O25" s="473">
        <f>[12]Charter!$N25</f>
        <v>2851187</v>
      </c>
      <c r="P25" s="242">
        <f t="shared" si="5"/>
        <v>3.499033911139466E-2</v>
      </c>
    </row>
    <row r="26" spans="1:16" ht="14.1" customHeight="1" x14ac:dyDescent="0.2">
      <c r="A26" s="248" t="s">
        <v>118</v>
      </c>
      <c r="B26" s="461">
        <f>'Intl Detail'!$N$4+'Intl Detail'!$N$9</f>
        <v>105898</v>
      </c>
      <c r="C26" s="460">
        <f>'Intl Detail'!$N$5+'Intl Detail'!$N$10</f>
        <v>106467</v>
      </c>
      <c r="D26" s="460">
        <f>SUM(B26:C26)</f>
        <v>212365</v>
      </c>
      <c r="E26" s="463">
        <f>[1]Charter!$D26</f>
        <v>206661</v>
      </c>
      <c r="F26" s="466">
        <f t="shared" si="1"/>
        <v>2.7600756794944378E-2</v>
      </c>
      <c r="G26" s="461">
        <f>L26-B26</f>
        <v>1525905</v>
      </c>
      <c r="H26" s="460">
        <f>M26-C26</f>
        <v>1503083</v>
      </c>
      <c r="I26" s="460">
        <f t="shared" si="2"/>
        <v>3028988</v>
      </c>
      <c r="J26" s="462">
        <f>[1]Charter!$I26</f>
        <v>2922734</v>
      </c>
      <c r="K26" s="470">
        <f t="shared" si="3"/>
        <v>3.6354317567045102E-2</v>
      </c>
      <c r="L26" s="461">
        <f>'Monthly Summary'!$B$11</f>
        <v>1631803</v>
      </c>
      <c r="M26" s="460">
        <f>+'Monthly Summary'!$C$11</f>
        <v>1609550</v>
      </c>
      <c r="N26" s="460">
        <f t="shared" si="4"/>
        <v>3241353</v>
      </c>
      <c r="O26" s="473">
        <f>[1]Charter!$N26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/>
      <c r="C27" s="460"/>
      <c r="D27" s="460">
        <f t="shared" si="0"/>
        <v>0</v>
      </c>
      <c r="E27" s="463"/>
      <c r="F27" s="467" t="e">
        <f t="shared" si="1"/>
        <v>#DIV/0!</v>
      </c>
      <c r="G27" s="461"/>
      <c r="H27" s="460"/>
      <c r="I27" s="460">
        <f t="shared" ref="I27:I32" si="6">SUM(G27:H27)</f>
        <v>0</v>
      </c>
      <c r="J27" s="463"/>
      <c r="K27" s="471" t="e">
        <f t="shared" si="3"/>
        <v>#DIV/0!</v>
      </c>
      <c r="L27" s="461"/>
      <c r="M27" s="460"/>
      <c r="N27" s="460">
        <f t="shared" si="4"/>
        <v>0</v>
      </c>
      <c r="O27" s="463"/>
      <c r="P27" s="242" t="e">
        <f t="shared" si="5"/>
        <v>#DIV/0!</v>
      </c>
    </row>
    <row r="28" spans="1:16" ht="14.1" customHeight="1" x14ac:dyDescent="0.2">
      <c r="A28" s="248" t="s">
        <v>120</v>
      </c>
      <c r="B28" s="461"/>
      <c r="C28" s="460"/>
      <c r="D28" s="460">
        <f t="shared" si="0"/>
        <v>0</v>
      </c>
      <c r="E28" s="463"/>
      <c r="F28" s="466" t="e">
        <f t="shared" si="1"/>
        <v>#DIV/0!</v>
      </c>
      <c r="G28" s="461"/>
      <c r="H28" s="460"/>
      <c r="I28" s="460">
        <f t="shared" si="6"/>
        <v>0</v>
      </c>
      <c r="J28" s="463"/>
      <c r="K28" s="470" t="e">
        <f t="shared" si="3"/>
        <v>#DIV/0!</v>
      </c>
      <c r="L28" s="461"/>
      <c r="M28" s="460"/>
      <c r="N28" s="460">
        <f t="shared" si="4"/>
        <v>0</v>
      </c>
      <c r="O28" s="463"/>
      <c r="P28" s="249" t="e">
        <f t="shared" si="5"/>
        <v>#DIV/0!</v>
      </c>
    </row>
    <row r="29" spans="1:16" ht="14.1" customHeight="1" x14ac:dyDescent="0.2">
      <c r="A29" s="239" t="s">
        <v>121</v>
      </c>
      <c r="B29" s="461"/>
      <c r="C29" s="460"/>
      <c r="D29" s="460">
        <f t="shared" si="0"/>
        <v>0</v>
      </c>
      <c r="E29" s="463"/>
      <c r="F29" s="467" t="e">
        <f t="shared" si="1"/>
        <v>#DIV/0!</v>
      </c>
      <c r="G29" s="461"/>
      <c r="H29" s="460"/>
      <c r="I29" s="460">
        <f t="shared" si="6"/>
        <v>0</v>
      </c>
      <c r="J29" s="463"/>
      <c r="K29" s="471" t="e">
        <f t="shared" si="3"/>
        <v>#DIV/0!</v>
      </c>
      <c r="L29" s="461"/>
      <c r="M29" s="460"/>
      <c r="N29" s="460">
        <f t="shared" si="4"/>
        <v>0</v>
      </c>
      <c r="O29" s="463"/>
      <c r="P29" s="242" t="e">
        <f t="shared" si="5"/>
        <v>#DIV/0!</v>
      </c>
    </row>
    <row r="30" spans="1:16" ht="14.1" customHeight="1" x14ac:dyDescent="0.2">
      <c r="A30" s="248" t="s">
        <v>122</v>
      </c>
      <c r="B30" s="461"/>
      <c r="C30" s="460"/>
      <c r="D30" s="460">
        <f>SUM(B30:C30)</f>
        <v>0</v>
      </c>
      <c r="E30" s="463"/>
      <c r="F30" s="466" t="e">
        <f t="shared" si="1"/>
        <v>#DIV/0!</v>
      </c>
      <c r="G30" s="461"/>
      <c r="H30" s="460"/>
      <c r="I30" s="460">
        <f>SUM(G30:H30)</f>
        <v>0</v>
      </c>
      <c r="J30" s="463"/>
      <c r="K30" s="470" t="e">
        <f t="shared" si="3"/>
        <v>#DIV/0!</v>
      </c>
      <c r="L30" s="461"/>
      <c r="M30" s="460"/>
      <c r="N30" s="460">
        <f t="shared" si="4"/>
        <v>0</v>
      </c>
      <c r="O30" s="463"/>
      <c r="P30" s="249" t="e">
        <f t="shared" si="5"/>
        <v>#DIV/0!</v>
      </c>
    </row>
    <row r="31" spans="1:16" ht="14.1" customHeight="1" x14ac:dyDescent="0.2">
      <c r="A31" s="239" t="s">
        <v>123</v>
      </c>
      <c r="B31" s="461"/>
      <c r="C31" s="460"/>
      <c r="D31" s="460">
        <f>SUM(B31:C31)</f>
        <v>0</v>
      </c>
      <c r="E31" s="463"/>
      <c r="F31" s="467" t="e">
        <f t="shared" si="1"/>
        <v>#DIV/0!</v>
      </c>
      <c r="G31" s="461"/>
      <c r="H31" s="460"/>
      <c r="I31" s="460">
        <f t="shared" si="6"/>
        <v>0</v>
      </c>
      <c r="J31" s="463"/>
      <c r="K31" s="471" t="e">
        <f t="shared" si="3"/>
        <v>#DIV/0!</v>
      </c>
      <c r="L31" s="461"/>
      <c r="M31" s="460"/>
      <c r="N31" s="460">
        <f t="shared" si="4"/>
        <v>0</v>
      </c>
      <c r="O31" s="463"/>
      <c r="P31" s="242" t="e">
        <f t="shared" si="5"/>
        <v>#DIV/0!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3"/>
      <c r="F32" s="468" t="e">
        <f t="shared" si="1"/>
        <v>#DIV/0!</v>
      </c>
      <c r="G32" s="461"/>
      <c r="H32" s="460"/>
      <c r="I32" s="460">
        <f t="shared" si="6"/>
        <v>0</v>
      </c>
      <c r="J32" s="463"/>
      <c r="K32" s="468" t="e">
        <f t="shared" si="3"/>
        <v>#DIV/0!</v>
      </c>
      <c r="L32" s="461"/>
      <c r="M32" s="460"/>
      <c r="N32" s="460">
        <f t="shared" si="4"/>
        <v>0</v>
      </c>
      <c r="O32" s="463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654945</v>
      </c>
      <c r="C33" s="255">
        <f>SUM(C21:C32)</f>
        <v>647019</v>
      </c>
      <c r="D33" s="255">
        <f>SUM(D21:D32)</f>
        <v>1301964</v>
      </c>
      <c r="E33" s="256">
        <f>SUM(E21:E32)</f>
        <v>1214726</v>
      </c>
      <c r="F33" s="476">
        <f>(D33-E33)/E33</f>
        <v>7.1817018817412329E-2</v>
      </c>
      <c r="G33" s="257">
        <f>SUM(G21:G32)</f>
        <v>8008542</v>
      </c>
      <c r="H33" s="255">
        <f>SUM(H21:H32)</f>
        <v>7929577</v>
      </c>
      <c r="I33" s="255">
        <f>SUM(I21:I32)</f>
        <v>15938119</v>
      </c>
      <c r="J33" s="258">
        <f>SUM(J21:J32)</f>
        <v>15209212</v>
      </c>
      <c r="K33" s="477">
        <f>(I33-J33)/J33</f>
        <v>4.7925362602612154E-2</v>
      </c>
      <c r="L33" s="257">
        <f>SUM(L21:L32)</f>
        <v>8663487</v>
      </c>
      <c r="M33" s="255">
        <f>SUM(M21:M32)</f>
        <v>8576596</v>
      </c>
      <c r="N33" s="255">
        <f>SUM(N21:N32)</f>
        <v>17240083</v>
      </c>
      <c r="O33" s="256">
        <f>SUM(O21:O32)</f>
        <v>16423938</v>
      </c>
      <c r="P33" s="243">
        <f>(N33-O33)/O33</f>
        <v>4.9692406291353512E-2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H4" sqref="H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9" t="s">
        <v>102</v>
      </c>
      <c r="C1" s="500"/>
      <c r="D1" s="500"/>
      <c r="E1" s="500"/>
      <c r="F1" s="264"/>
      <c r="G1" s="499" t="s">
        <v>101</v>
      </c>
      <c r="H1" s="501"/>
      <c r="I1" s="501"/>
      <c r="J1" s="501"/>
      <c r="K1" s="501"/>
      <c r="L1" s="502"/>
    </row>
    <row r="2" spans="1:20" s="195" customFormat="1" ht="30.75" customHeight="1" thickBot="1" x14ac:dyDescent="0.25">
      <c r="A2" s="399">
        <v>41791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[3]Airborne!$DO$4</f>
        <v>0</v>
      </c>
      <c r="C4" s="165">
        <f>[3]DHL!$DO$4</f>
        <v>21</v>
      </c>
      <c r="D4" s="165">
        <f>[3]FedEx!$DO$4+[3]FedEx!$DO$15</f>
        <v>88</v>
      </c>
      <c r="E4" s="165">
        <f>[3]UPS!$DO$4</f>
        <v>90</v>
      </c>
      <c r="F4" s="196"/>
      <c r="G4" s="122">
        <f>[3]ATI_BAX!$DO$4</f>
        <v>0</v>
      </c>
      <c r="H4" s="122">
        <f>'[3]Suburban Air Freight'!$DO$15</f>
        <v>20</v>
      </c>
      <c r="I4" s="122">
        <f>[3]Bemidji!$DO$4</f>
        <v>222</v>
      </c>
      <c r="J4" s="122">
        <f>'[3]CSA Air'!$DO$4</f>
        <v>0</v>
      </c>
      <c r="K4" s="122">
        <f>'[3]Mountain Cargo'!$DO$4</f>
        <v>20</v>
      </c>
      <c r="L4" s="122">
        <f>'[3]Misc Cargo'!$DO$4</f>
        <v>26</v>
      </c>
      <c r="M4" s="208">
        <f>SUM(B4:L4)</f>
        <v>487</v>
      </c>
    </row>
    <row r="5" spans="1:20" x14ac:dyDescent="0.2">
      <c r="A5" s="55" t="s">
        <v>59</v>
      </c>
      <c r="B5" s="426">
        <f>[3]Airborne!$DO$5</f>
        <v>0</v>
      </c>
      <c r="C5" s="202">
        <f>[3]DHL!$DO$5</f>
        <v>21</v>
      </c>
      <c r="D5" s="202">
        <f>[3]FedEx!$DO$5</f>
        <v>88</v>
      </c>
      <c r="E5" s="202">
        <f>[3]UPS!$DO$5</f>
        <v>90</v>
      </c>
      <c r="F5" s="196"/>
      <c r="G5" s="124">
        <f>[3]ATI_BAX!$DO$5</f>
        <v>0</v>
      </c>
      <c r="H5" s="124">
        <f>'[3]Suburban Air Freight'!$DO$16</f>
        <v>20</v>
      </c>
      <c r="I5" s="124">
        <f>[3]Bemidji!$DO$5</f>
        <v>222</v>
      </c>
      <c r="J5" s="124">
        <f>'[3]CSA Air'!$DO$5</f>
        <v>0</v>
      </c>
      <c r="K5" s="124">
        <f>'[3]Mountain Cargo'!$DO$5</f>
        <v>20</v>
      </c>
      <c r="L5" s="124">
        <f>'[3]Misc Cargo'!$DO$5</f>
        <v>26</v>
      </c>
      <c r="M5" s="212">
        <f>SUM(B5:L5)</f>
        <v>487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42</v>
      </c>
      <c r="D6" s="210">
        <f>SUM(D4:D5)</f>
        <v>176</v>
      </c>
      <c r="E6" s="210">
        <f>SUM(E4:E5)</f>
        <v>180</v>
      </c>
      <c r="F6" s="197"/>
      <c r="G6" s="192">
        <f t="shared" ref="G6:L6" si="0">SUM(G4:G5)</f>
        <v>0</v>
      </c>
      <c r="H6" s="192">
        <f t="shared" si="0"/>
        <v>40</v>
      </c>
      <c r="I6" s="192">
        <f t="shared" si="0"/>
        <v>444</v>
      </c>
      <c r="J6" s="192">
        <f t="shared" si="0"/>
        <v>0</v>
      </c>
      <c r="K6" s="192">
        <f t="shared" si="0"/>
        <v>40</v>
      </c>
      <c r="L6" s="192">
        <f t="shared" si="0"/>
        <v>52</v>
      </c>
      <c r="M6" s="211">
        <f>SUM(B6:L6)</f>
        <v>974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[3]Airborne!$DO$8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Cargo'!$DO$8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[3]Airborne!$DO$9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Cargo'!$DO$9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42</v>
      </c>
      <c r="D12" s="214">
        <f>D6+D10</f>
        <v>176</v>
      </c>
      <c r="E12" s="214">
        <f>E6+E10</f>
        <v>180</v>
      </c>
      <c r="F12" s="215"/>
      <c r="G12" s="216">
        <f t="shared" ref="G12:L12" si="2">G6+G10</f>
        <v>0</v>
      </c>
      <c r="H12" s="216">
        <f t="shared" si="2"/>
        <v>40</v>
      </c>
      <c r="I12" s="216">
        <f t="shared" si="2"/>
        <v>444</v>
      </c>
      <c r="J12" s="216">
        <f t="shared" si="2"/>
        <v>0</v>
      </c>
      <c r="K12" s="216">
        <f t="shared" si="2"/>
        <v>40</v>
      </c>
      <c r="L12" s="216">
        <f t="shared" si="2"/>
        <v>52</v>
      </c>
      <c r="M12" s="217">
        <f>SUM(B12:L12)</f>
        <v>974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[3]Airborne!$DO$47</f>
        <v>0</v>
      </c>
      <c r="C16" s="165">
        <f>[3]DHL!$DO$47</f>
        <v>684037</v>
      </c>
      <c r="D16" s="165">
        <f>[3]FedEx!$DO$47</f>
        <v>5622288</v>
      </c>
      <c r="E16" s="165">
        <f>[3]UPS!$DO$47</f>
        <v>4423383</v>
      </c>
      <c r="F16" s="196"/>
      <c r="G16" s="122">
        <f>[3]ATI_BAX!$DO$47</f>
        <v>0</v>
      </c>
      <c r="H16" s="122">
        <f>'[3]Suburban Air Freight'!$DO$47</f>
        <v>13063</v>
      </c>
      <c r="I16" s="496" t="s">
        <v>95</v>
      </c>
      <c r="J16" s="122">
        <f>'[3]CSA Air'!$DO$47</f>
        <v>0</v>
      </c>
      <c r="K16" s="122">
        <f>'[3]Mountain Cargo'!$DO$47</f>
        <v>135239</v>
      </c>
      <c r="L16" s="122">
        <f>'[3]Misc Cargo'!$DO$47</f>
        <v>35619</v>
      </c>
      <c r="M16" s="208">
        <f>SUM(B16:H16)+SUM(J16:L16)</f>
        <v>10913629</v>
      </c>
    </row>
    <row r="17" spans="1:14" x14ac:dyDescent="0.2">
      <c r="A17" s="55" t="s">
        <v>41</v>
      </c>
      <c r="B17" s="252">
        <f>[3]Airborne!$DO$48</f>
        <v>0</v>
      </c>
      <c r="C17" s="165">
        <f>[3]DHL!$DO$48</f>
        <v>0</v>
      </c>
      <c r="D17" s="165">
        <f>[3]FedEx!$DO$48</f>
        <v>0</v>
      </c>
      <c r="E17" s="165">
        <f>[3]UPS!$DO$48</f>
        <v>7453</v>
      </c>
      <c r="F17" s="196"/>
      <c r="G17" s="122">
        <f>[3]ATI_BAX!$DO$48</f>
        <v>0</v>
      </c>
      <c r="H17" s="122">
        <f>'[3]Suburban Air Freight'!$DO$48</f>
        <v>0</v>
      </c>
      <c r="I17" s="497"/>
      <c r="J17" s="122">
        <f>'[3]CSA Air'!$DO$48</f>
        <v>0</v>
      </c>
      <c r="K17" s="122">
        <f>'[3]Mountain Cargo'!$DO$48</f>
        <v>0</v>
      </c>
      <c r="L17" s="122">
        <f>'[3]Misc Cargo'!$DO$48</f>
        <v>0</v>
      </c>
      <c r="M17" s="208">
        <f>SUM(B17:H17)+SUM(J17:L17)</f>
        <v>7453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684037</v>
      </c>
      <c r="D18" s="308">
        <f>SUM(D16:D17)</f>
        <v>5622288</v>
      </c>
      <c r="E18" s="308">
        <f>SUM(E16:E17)</f>
        <v>4430836</v>
      </c>
      <c r="F18" s="201"/>
      <c r="G18" s="309">
        <f>SUM(G16:G17)</f>
        <v>0</v>
      </c>
      <c r="H18" s="309">
        <f>SUM(H16:H17)</f>
        <v>13063</v>
      </c>
      <c r="I18" s="497"/>
      <c r="J18" s="309">
        <f>SUM(J16:J17)</f>
        <v>0</v>
      </c>
      <c r="K18" s="309">
        <f>SUM(K16:K17)</f>
        <v>135239</v>
      </c>
      <c r="L18" s="309">
        <f>SUM(L16:L17)</f>
        <v>35619</v>
      </c>
      <c r="M18" s="224">
        <f>SUM(B18:H18)+SUM(J18:L18)</f>
        <v>10921082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7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7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[3]Airborne!$DO$52</f>
        <v>0</v>
      </c>
      <c r="C21" s="165">
        <f>[3]DHL!$DO$52</f>
        <v>455131</v>
      </c>
      <c r="D21" s="165">
        <f>[3]FedEx!$DO$52</f>
        <v>8154459</v>
      </c>
      <c r="E21" s="165">
        <f>[3]UPS!$DO$52</f>
        <v>4133825</v>
      </c>
      <c r="F21" s="196"/>
      <c r="G21" s="122">
        <f>[3]ATI_BAX!$DO$52</f>
        <v>0</v>
      </c>
      <c r="H21" s="122">
        <f>'[3]Suburban Air Freight'!$DO$52</f>
        <v>56759</v>
      </c>
      <c r="I21" s="497"/>
      <c r="J21" s="122">
        <f>'[3]CSA Air'!$DO$52</f>
        <v>0</v>
      </c>
      <c r="K21" s="122">
        <f>'[3]Mountain Cargo'!$DO$52</f>
        <v>40369</v>
      </c>
      <c r="L21" s="122">
        <f>'[3]Misc Cargo'!$DO$52</f>
        <v>42771</v>
      </c>
      <c r="M21" s="208">
        <f t="shared" ref="M21:M23" si="3">SUM(B21:H21)+SUM(J21:L21)</f>
        <v>12883314</v>
      </c>
    </row>
    <row r="22" spans="1:14" x14ac:dyDescent="0.2">
      <c r="A22" s="55" t="s">
        <v>65</v>
      </c>
      <c r="B22" s="252">
        <f>[3]Airborne!$DO$53</f>
        <v>0</v>
      </c>
      <c r="C22" s="165">
        <f>[3]DHL!$DO$53</f>
        <v>0</v>
      </c>
      <c r="D22" s="165">
        <f>[3]FedEx!$DO$53</f>
        <v>0</v>
      </c>
      <c r="E22" s="165">
        <f>[3]UPS!$DO$53</f>
        <v>168353</v>
      </c>
      <c r="F22" s="196"/>
      <c r="G22" s="122">
        <f>[3]ATI_BAX!$DO$53</f>
        <v>0</v>
      </c>
      <c r="H22" s="122">
        <f>'[3]Suburban Air Freight'!$DO$53</f>
        <v>0</v>
      </c>
      <c r="I22" s="497"/>
      <c r="J22" s="122">
        <f>'[3]CSA Air'!$DO$53</f>
        <v>0</v>
      </c>
      <c r="K22" s="122">
        <f>'[3]Mountain Cargo'!$DO$53</f>
        <v>0</v>
      </c>
      <c r="L22" s="122">
        <f>'[3]Misc Cargo'!$DO$53</f>
        <v>0</v>
      </c>
      <c r="M22" s="208">
        <f t="shared" si="3"/>
        <v>168353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455131</v>
      </c>
      <c r="D23" s="308">
        <f>SUM(D21:D22)</f>
        <v>8154459</v>
      </c>
      <c r="E23" s="308">
        <f>SUM(E21:E22)</f>
        <v>4302178</v>
      </c>
      <c r="F23" s="201"/>
      <c r="G23" s="309">
        <f>SUM(G21:G22)</f>
        <v>0</v>
      </c>
      <c r="H23" s="309">
        <f>SUM(H21:H22)</f>
        <v>56759</v>
      </c>
      <c r="I23" s="497"/>
      <c r="J23" s="309">
        <f>SUM(J21:J22)</f>
        <v>0</v>
      </c>
      <c r="K23" s="309">
        <f>SUM(K21:K22)</f>
        <v>40369</v>
      </c>
      <c r="L23" s="309">
        <f>SUM(L21:L22)</f>
        <v>42771</v>
      </c>
      <c r="M23" s="224">
        <f t="shared" si="3"/>
        <v>13051667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7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7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[3]Airborne!$DO$57</f>
        <v>0</v>
      </c>
      <c r="C26" s="165">
        <f>[3]DHL!$DO$57</f>
        <v>0</v>
      </c>
      <c r="D26" s="165">
        <f>[3]FedEx!$DO$57</f>
        <v>0</v>
      </c>
      <c r="E26" s="165">
        <f>[3]UPS!$DO$57</f>
        <v>0</v>
      </c>
      <c r="F26" s="196"/>
      <c r="G26" s="122">
        <f>[3]ATI_BAX!$DO$57</f>
        <v>0</v>
      </c>
      <c r="H26" s="122">
        <f>'[3]Suburban Air Freight'!$DO$57</f>
        <v>0</v>
      </c>
      <c r="I26" s="497"/>
      <c r="J26" s="122">
        <f>'[3]CSA Air'!$DO$57</f>
        <v>0</v>
      </c>
      <c r="K26" s="122">
        <f>'[3]Mountain Cargo'!$DO$57</f>
        <v>0</v>
      </c>
      <c r="L26" s="122">
        <f>'[3]Misc Cargo'!$DO$57</f>
        <v>0</v>
      </c>
      <c r="M26" s="208">
        <f t="shared" ref="M26:M28" si="4">SUM(B26:H26)+SUM(J26:L26)</f>
        <v>0</v>
      </c>
    </row>
    <row r="27" spans="1:14" x14ac:dyDescent="0.2">
      <c r="A27" s="55" t="s">
        <v>65</v>
      </c>
      <c r="B27" s="252">
        <f>[3]Airborne!$DO$58</f>
        <v>0</v>
      </c>
      <c r="C27" s="165">
        <f>[3]DHL!$DO$58</f>
        <v>0</v>
      </c>
      <c r="D27" s="165">
        <f>[3]FedEx!$DO$58</f>
        <v>0</v>
      </c>
      <c r="E27" s="165">
        <f>[3]UPS!$DO$58</f>
        <v>0</v>
      </c>
      <c r="F27" s="196"/>
      <c r="G27" s="122">
        <f>[3]ATI_BAX!$DO$58</f>
        <v>0</v>
      </c>
      <c r="H27" s="122">
        <f>'[3]Suburban Air Freight'!$DO$58</f>
        <v>0</v>
      </c>
      <c r="I27" s="497"/>
      <c r="J27" s="122">
        <f>'[3]CSA Air'!$DO$58</f>
        <v>0</v>
      </c>
      <c r="K27" s="122">
        <f>'[3]Mountain Cargo'!$DO$58</f>
        <v>0</v>
      </c>
      <c r="L27" s="122">
        <f>'[3]Misc Cargo'!$DO$58</f>
        <v>0</v>
      </c>
      <c r="M27" s="208">
        <f t="shared" si="4"/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7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4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7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7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5">B26+B21+B16</f>
        <v>0</v>
      </c>
      <c r="C31" s="165">
        <f t="shared" si="5"/>
        <v>1139168</v>
      </c>
      <c r="D31" s="165">
        <f t="shared" si="5"/>
        <v>13776747</v>
      </c>
      <c r="E31" s="165">
        <f t="shared" si="5"/>
        <v>8557208</v>
      </c>
      <c r="F31" s="196"/>
      <c r="G31" s="122">
        <f t="shared" ref="G31:H33" si="6">G26+G21+G16</f>
        <v>0</v>
      </c>
      <c r="H31" s="122">
        <f t="shared" si="6"/>
        <v>69822</v>
      </c>
      <c r="I31" s="497"/>
      <c r="J31" s="122">
        <f t="shared" ref="J31:L33" si="7">J26+J21+J16</f>
        <v>0</v>
      </c>
      <c r="K31" s="122">
        <f t="shared" si="7"/>
        <v>175608</v>
      </c>
      <c r="L31" s="122">
        <f>L26+L21+L16</f>
        <v>78390</v>
      </c>
      <c r="M31" s="208">
        <f t="shared" ref="M31:M33" si="8">SUM(B31:H31)+SUM(J31:L31)</f>
        <v>23796943</v>
      </c>
    </row>
    <row r="32" spans="1:14" x14ac:dyDescent="0.2">
      <c r="A32" s="55" t="s">
        <v>65</v>
      </c>
      <c r="B32" s="252">
        <f t="shared" si="5"/>
        <v>0</v>
      </c>
      <c r="C32" s="165">
        <f t="shared" si="5"/>
        <v>0</v>
      </c>
      <c r="D32" s="165">
        <f t="shared" si="5"/>
        <v>0</v>
      </c>
      <c r="E32" s="165">
        <f t="shared" si="5"/>
        <v>175806</v>
      </c>
      <c r="F32" s="196"/>
      <c r="G32" s="122">
        <f t="shared" si="6"/>
        <v>0</v>
      </c>
      <c r="H32" s="122">
        <f t="shared" si="6"/>
        <v>0</v>
      </c>
      <c r="I32" s="498"/>
      <c r="J32" s="122">
        <f t="shared" si="7"/>
        <v>0</v>
      </c>
      <c r="K32" s="122">
        <f t="shared" si="7"/>
        <v>0</v>
      </c>
      <c r="L32" s="122">
        <f>L27+L22+L17</f>
        <v>0</v>
      </c>
      <c r="M32" s="212">
        <f t="shared" si="8"/>
        <v>175806</v>
      </c>
    </row>
    <row r="33" spans="1:13" ht="18" customHeight="1" thickBot="1" x14ac:dyDescent="0.25">
      <c r="A33" s="213" t="s">
        <v>49</v>
      </c>
      <c r="B33" s="428">
        <f t="shared" si="5"/>
        <v>0</v>
      </c>
      <c r="C33" s="214">
        <f t="shared" si="5"/>
        <v>1139168</v>
      </c>
      <c r="D33" s="214">
        <f t="shared" si="5"/>
        <v>13776747</v>
      </c>
      <c r="E33" s="214">
        <f t="shared" si="5"/>
        <v>8733014</v>
      </c>
      <c r="F33" s="227"/>
      <c r="G33" s="216">
        <f t="shared" si="6"/>
        <v>0</v>
      </c>
      <c r="H33" s="216">
        <f t="shared" si="6"/>
        <v>69822</v>
      </c>
      <c r="I33" s="310">
        <f>I28+I23+I18</f>
        <v>0</v>
      </c>
      <c r="J33" s="216">
        <f t="shared" si="7"/>
        <v>0</v>
      </c>
      <c r="K33" s="216">
        <f t="shared" si="7"/>
        <v>175608</v>
      </c>
      <c r="L33" s="216">
        <f t="shared" si="7"/>
        <v>78390</v>
      </c>
      <c r="M33" s="217">
        <f t="shared" si="8"/>
        <v>23972749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June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D5" sqref="D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41791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4473173</v>
      </c>
      <c r="C5" s="122">
        <f>'Regional Major'!L25</f>
        <v>2</v>
      </c>
      <c r="D5" s="122">
        <f>Cargo!M16</f>
        <v>10913629</v>
      </c>
      <c r="E5" s="122">
        <f>SUM(B5:D5)</f>
        <v>15386804</v>
      </c>
      <c r="F5" s="122">
        <f>E5*0.00045359237</f>
        <v>6979.3368930854795</v>
      </c>
      <c r="G5" s="150">
        <f>'[1]Cargo Summary'!F5</f>
        <v>7291.1929872697301</v>
      </c>
      <c r="H5" s="101">
        <f>(F5-G5)/G5</f>
        <v>-4.2771614292578024E-2</v>
      </c>
      <c r="I5" s="150">
        <f>+F5+'[2]Cargo Summary'!I5</f>
        <v>42631.004539536487</v>
      </c>
      <c r="J5" s="150">
        <f>'[1]Cargo Summary'!I5</f>
        <v>45466.823213463191</v>
      </c>
      <c r="K5" s="88">
        <f>(I5-J5)/J5</f>
        <v>-6.2371163707936141E-2</v>
      </c>
      <c r="M5" s="37"/>
    </row>
    <row r="6" spans="1:18" x14ac:dyDescent="0.2">
      <c r="A6" s="65" t="s">
        <v>18</v>
      </c>
      <c r="B6" s="173">
        <f>'Major Airline Stats'!J29</f>
        <v>853865</v>
      </c>
      <c r="C6" s="122">
        <f>'Regional Major'!L26</f>
        <v>0</v>
      </c>
      <c r="D6" s="122">
        <f>Cargo!M17</f>
        <v>7453</v>
      </c>
      <c r="E6" s="122">
        <f>SUM(B6:D6)</f>
        <v>861318</v>
      </c>
      <c r="F6" s="122">
        <f>E6*0.00045359237</f>
        <v>390.68727294365999</v>
      </c>
      <c r="G6" s="150">
        <f>'[1]Cargo Summary'!F6</f>
        <v>351.76587245106998</v>
      </c>
      <c r="H6" s="39">
        <f>(F6-G6)/G6</f>
        <v>0.11064575486356741</v>
      </c>
      <c r="I6" s="150">
        <f>+F6+'[2]Cargo Summary'!I6</f>
        <v>3406.7785232565698</v>
      </c>
      <c r="J6" s="150">
        <f>'[1]Cargo Summary'!I6</f>
        <v>2662.0383651323</v>
      </c>
      <c r="K6" s="88">
        <f>(I6-J6)/J6</f>
        <v>0.27976311982538132</v>
      </c>
      <c r="M6" s="37"/>
    </row>
    <row r="7" spans="1:18" ht="18" customHeight="1" thickBot="1" x14ac:dyDescent="0.25">
      <c r="A7" s="76" t="s">
        <v>77</v>
      </c>
      <c r="B7" s="175">
        <f>SUM(B5:B6)</f>
        <v>5327038</v>
      </c>
      <c r="C7" s="137">
        <f t="shared" ref="C7:J7" si="0">SUM(C5:C6)</f>
        <v>2</v>
      </c>
      <c r="D7" s="137">
        <f t="shared" si="0"/>
        <v>10921082</v>
      </c>
      <c r="E7" s="137">
        <f t="shared" si="0"/>
        <v>16248122</v>
      </c>
      <c r="F7" s="137">
        <f t="shared" si="0"/>
        <v>7370.0241660291395</v>
      </c>
      <c r="G7" s="137">
        <f t="shared" si="0"/>
        <v>7642.9588597208003</v>
      </c>
      <c r="H7" s="46">
        <f>(F7-G7)/G7</f>
        <v>-3.5710606154123831E-2</v>
      </c>
      <c r="I7" s="137">
        <f t="shared" si="0"/>
        <v>46037.78306279306</v>
      </c>
      <c r="J7" s="137">
        <f t="shared" si="0"/>
        <v>48128.86157859549</v>
      </c>
      <c r="K7" s="324">
        <f>(I7-J7)/J7</f>
        <v>-4.3447495893657338E-2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4139338</v>
      </c>
      <c r="C10" s="122">
        <f>'Regional Major'!L30</f>
        <v>0</v>
      </c>
      <c r="D10" s="122">
        <f>Cargo!M21</f>
        <v>12883314</v>
      </c>
      <c r="E10" s="122">
        <f>SUM(B10:D10)</f>
        <v>17022652</v>
      </c>
      <c r="F10" s="122">
        <f>E10*0.00045359237</f>
        <v>7721.3450643652395</v>
      </c>
      <c r="G10" s="150">
        <f>'[1]Cargo Summary'!F10</f>
        <v>7455.71502220006</v>
      </c>
      <c r="H10" s="39">
        <f>(F10-G10)/G10</f>
        <v>3.5627708593239174E-2</v>
      </c>
      <c r="I10" s="150">
        <f>+F10+'[2]Cargo Summary'!I10</f>
        <v>47982.161641474828</v>
      </c>
      <c r="J10" s="150">
        <f>'[1]Cargo Summary'!I10</f>
        <v>45316.743559593669</v>
      </c>
      <c r="K10" s="88">
        <f>(I10-J10)/J10</f>
        <v>5.8817511421049198E-2</v>
      </c>
      <c r="M10" s="37"/>
    </row>
    <row r="11" spans="1:18" x14ac:dyDescent="0.2">
      <c r="A11" s="65" t="s">
        <v>18</v>
      </c>
      <c r="B11" s="173">
        <f>'Major Airline Stats'!J34</f>
        <v>359256</v>
      </c>
      <c r="C11" s="122">
        <f>'Regional Major'!L31</f>
        <v>0</v>
      </c>
      <c r="D11" s="122">
        <f>Cargo!M22</f>
        <v>168353</v>
      </c>
      <c r="E11" s="122">
        <f>SUM(B11:D11)</f>
        <v>527609</v>
      </c>
      <c r="F11" s="122">
        <f>E11*0.00045359237</f>
        <v>239.31941674332998</v>
      </c>
      <c r="G11" s="150">
        <f>'[1]Cargo Summary'!F11</f>
        <v>551.16371752596001</v>
      </c>
      <c r="H11" s="37">
        <f>(F11-G11)/G11</f>
        <v>-0.56579250568673745</v>
      </c>
      <c r="I11" s="150">
        <f>+F11+'[2]Cargo Summary'!I11</f>
        <v>4469.9722765867409</v>
      </c>
      <c r="J11" s="150">
        <f>'[1]Cargo Summary'!I11</f>
        <v>4673.7345874457706</v>
      </c>
      <c r="K11" s="88">
        <f>(I11-J11)/J11</f>
        <v>-4.3597321809064726E-2</v>
      </c>
      <c r="M11" s="37"/>
    </row>
    <row r="12" spans="1:18" ht="18" customHeight="1" thickBot="1" x14ac:dyDescent="0.25">
      <c r="A12" s="76" t="s">
        <v>78</v>
      </c>
      <c r="B12" s="175">
        <f>SUM(B10:B11)</f>
        <v>4498594</v>
      </c>
      <c r="C12" s="137">
        <f t="shared" ref="C12:J12" si="1">SUM(C10:C11)</f>
        <v>0</v>
      </c>
      <c r="D12" s="137">
        <f t="shared" si="1"/>
        <v>13051667</v>
      </c>
      <c r="E12" s="137">
        <f t="shared" si="1"/>
        <v>17550261</v>
      </c>
      <c r="F12" s="137">
        <f t="shared" si="1"/>
        <v>7960.6644811085698</v>
      </c>
      <c r="G12" s="137">
        <f t="shared" si="1"/>
        <v>8006.8787397260203</v>
      </c>
      <c r="H12" s="46">
        <f>(F12-G12)/G12</f>
        <v>-5.7718194716948881E-3</v>
      </c>
      <c r="I12" s="137">
        <f t="shared" si="1"/>
        <v>52452.133918061569</v>
      </c>
      <c r="J12" s="137">
        <f t="shared" si="1"/>
        <v>49990.478147039437</v>
      </c>
      <c r="K12" s="324">
        <f>(I12-J12)/J12</f>
        <v>4.9242493016000824E-2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8612511</v>
      </c>
      <c r="C20" s="122">
        <f t="shared" si="3"/>
        <v>2</v>
      </c>
      <c r="D20" s="122">
        <f t="shared" si="3"/>
        <v>23796943</v>
      </c>
      <c r="E20" s="122">
        <f>SUM(B20:D20)</f>
        <v>32409456</v>
      </c>
      <c r="F20" s="122">
        <f>E20*0.00045359237</f>
        <v>14700.681957450719</v>
      </c>
      <c r="G20" s="150">
        <f>'[1]Cargo Summary'!F20</f>
        <v>14746.908009469789</v>
      </c>
      <c r="H20" s="39">
        <f>(F20-G20)/G20</f>
        <v>-3.1346267291683118E-3</v>
      </c>
      <c r="I20" s="150">
        <f>+I5+I10+I15</f>
        <v>90613.166181011315</v>
      </c>
      <c r="J20" s="150">
        <f>+J5+J10+J15</f>
        <v>90783.566773056868</v>
      </c>
      <c r="K20" s="88">
        <f>(I20-J20)/J20</f>
        <v>-1.8769982068618737E-3</v>
      </c>
      <c r="M20" s="37"/>
    </row>
    <row r="21" spans="1:13" x14ac:dyDescent="0.2">
      <c r="A21" s="65" t="s">
        <v>18</v>
      </c>
      <c r="B21" s="173">
        <f t="shared" si="3"/>
        <v>1213121</v>
      </c>
      <c r="C21" s="124">
        <f t="shared" si="3"/>
        <v>0</v>
      </c>
      <c r="D21" s="124">
        <f t="shared" si="3"/>
        <v>175806</v>
      </c>
      <c r="E21" s="122">
        <f>SUM(B21:D21)</f>
        <v>1388927</v>
      </c>
      <c r="F21" s="122">
        <f>E21*0.00045359237</f>
        <v>630.00668968698994</v>
      </c>
      <c r="G21" s="150">
        <f>'[1]Cargo Summary'!F21</f>
        <v>902.92958997702999</v>
      </c>
      <c r="H21" s="39">
        <f>(F21-G21)/G21</f>
        <v>-0.30226376820476453</v>
      </c>
      <c r="I21" s="150">
        <f>+I6+I11+I16</f>
        <v>7876.7507998433102</v>
      </c>
      <c r="J21" s="150">
        <f>+J6+J11+J16</f>
        <v>7335.7729525780705</v>
      </c>
      <c r="K21" s="88">
        <f>(I21-J21)/J21</f>
        <v>7.3745173243825582E-2</v>
      </c>
      <c r="M21" s="37"/>
    </row>
    <row r="22" spans="1:13" ht="18" customHeight="1" thickBot="1" x14ac:dyDescent="0.25">
      <c r="A22" s="91" t="s">
        <v>67</v>
      </c>
      <c r="B22" s="176">
        <f>SUM(B20:B21)</f>
        <v>9825632</v>
      </c>
      <c r="C22" s="177">
        <f t="shared" ref="C22:J22" si="4">SUM(C20:C21)</f>
        <v>2</v>
      </c>
      <c r="D22" s="177">
        <f t="shared" si="4"/>
        <v>23972749</v>
      </c>
      <c r="E22" s="177">
        <f t="shared" si="4"/>
        <v>33798383</v>
      </c>
      <c r="F22" s="177">
        <f t="shared" si="4"/>
        <v>15330.688647137709</v>
      </c>
      <c r="G22" s="177">
        <f t="shared" si="4"/>
        <v>15649.837599446819</v>
      </c>
      <c r="H22" s="330">
        <f>(F22-G22)/G22</f>
        <v>-2.0393115920921162E-2</v>
      </c>
      <c r="I22" s="177">
        <f t="shared" si="4"/>
        <v>98489.916980854628</v>
      </c>
      <c r="J22" s="177">
        <f t="shared" si="4"/>
        <v>98119.339725634942</v>
      </c>
      <c r="K22" s="331">
        <f>(I22-J22)/J22</f>
        <v>3.7768013549205398E-3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N23" activeCellId="1" sqref="N18 N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41791</v>
      </c>
      <c r="B1" s="458" t="s">
        <v>20</v>
      </c>
      <c r="C1" s="457" t="s">
        <v>209</v>
      </c>
      <c r="D1" s="19" t="s">
        <v>203</v>
      </c>
      <c r="E1" s="19" t="s">
        <v>212</v>
      </c>
      <c r="F1" s="478" t="s">
        <v>210</v>
      </c>
      <c r="G1" s="458" t="s">
        <v>53</v>
      </c>
      <c r="H1" s="458" t="s">
        <v>125</v>
      </c>
      <c r="I1" s="458" t="s">
        <v>110</v>
      </c>
      <c r="J1" s="458" t="s">
        <v>216</v>
      </c>
      <c r="K1" s="458" t="s">
        <v>198</v>
      </c>
      <c r="L1" s="478" t="s">
        <v>211</v>
      </c>
      <c r="M1" s="458" t="s">
        <v>158</v>
      </c>
      <c r="N1" s="277" t="s">
        <v>24</v>
      </c>
    </row>
    <row r="2" spans="1:14" ht="15" x14ac:dyDescent="0.25">
      <c r="A2" s="503" t="s">
        <v>159</v>
      </c>
      <c r="B2" s="504"/>
      <c r="C2" s="504"/>
      <c r="D2" s="505"/>
      <c r="E2" s="504"/>
      <c r="F2" s="504"/>
      <c r="G2" s="504"/>
      <c r="H2" s="504"/>
      <c r="I2" s="504"/>
      <c r="J2" s="504"/>
      <c r="K2" s="504"/>
      <c r="L2" s="504"/>
      <c r="M2" s="504"/>
      <c r="N2" s="506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[3]Delta!$DO$32</f>
        <v>62049</v>
      </c>
      <c r="C4" s="22">
        <f>'[3]Atlantic Southeast'!$DO$32</f>
        <v>0</v>
      </c>
      <c r="D4" s="22">
        <f>[3]Pinnacle!$DO$32</f>
        <v>13835</v>
      </c>
      <c r="E4" s="22">
        <f>[3]Compass!$DO$32</f>
        <v>6279</v>
      </c>
      <c r="F4" s="22">
        <f>'[3]Sky West'!$DO$32</f>
        <v>3385</v>
      </c>
      <c r="G4" s="22">
        <f>'[3]Sun Country'!$DO$32</f>
        <v>1732</v>
      </c>
      <c r="H4" s="22">
        <f>[3]Icelandair!$DO$32</f>
        <v>4569</v>
      </c>
      <c r="I4" s="22">
        <f>[3]AirCanada!$DO$32</f>
        <v>4647</v>
      </c>
      <c r="J4" s="22">
        <f>[3]Condor!$DO$32</f>
        <v>442</v>
      </c>
      <c r="K4" s="22">
        <f>'[3]Air France'!$DO$32</f>
        <v>7177</v>
      </c>
      <c r="L4" s="22">
        <f>[3]Comair!$DO$32</f>
        <v>0</v>
      </c>
      <c r="M4" s="22">
        <f>'[3]Charter Misc'!$DO$32+[3]Ryan!$DO$32+[3]Omni!$DO$32</f>
        <v>0</v>
      </c>
      <c r="N4" s="286">
        <f>SUM(B4:M4)</f>
        <v>104115</v>
      </c>
    </row>
    <row r="5" spans="1:14" x14ac:dyDescent="0.2">
      <c r="A5" s="65" t="s">
        <v>34</v>
      </c>
      <c r="B5" s="14">
        <f>[3]Delta!$DO$33</f>
        <v>61682</v>
      </c>
      <c r="C5" s="14">
        <f>'[3]Atlantic Southeast'!$DO$33</f>
        <v>0</v>
      </c>
      <c r="D5" s="14">
        <f>[3]Pinnacle!$DO$33</f>
        <v>14417</v>
      </c>
      <c r="E5" s="14">
        <f>[3]Compass!$DO$33</f>
        <v>6412</v>
      </c>
      <c r="F5" s="14">
        <f>'[3]Sky West'!$DO$33</f>
        <v>3531</v>
      </c>
      <c r="G5" s="14">
        <f>'[3]Sun Country'!$DO$33</f>
        <v>1779</v>
      </c>
      <c r="H5" s="14">
        <f>[3]Icelandair!$DO$33</f>
        <v>4774</v>
      </c>
      <c r="I5" s="14">
        <f>[3]AirCanada!$DO$33</f>
        <v>4656</v>
      </c>
      <c r="J5" s="14">
        <f>[3]Condor!$DO$33</f>
        <v>468</v>
      </c>
      <c r="K5" s="14">
        <f>'[3]Air France'!$DO$33</f>
        <v>6962</v>
      </c>
      <c r="L5" s="14">
        <f>[3]Comair!$DO$33</f>
        <v>0</v>
      </c>
      <c r="M5" s="14">
        <f>'[3]Charter Misc'!$DO$33++[3]Ryan!$DO$33+[3]Omni!$DO$33</f>
        <v>0</v>
      </c>
      <c r="N5" s="287">
        <f>SUM(B5:M5)</f>
        <v>104681</v>
      </c>
    </row>
    <row r="6" spans="1:14" ht="15" x14ac:dyDescent="0.25">
      <c r="A6" s="63" t="s">
        <v>7</v>
      </c>
      <c r="B6" s="36">
        <f t="shared" ref="B6:M6" si="0">SUM(B4:B5)</f>
        <v>123731</v>
      </c>
      <c r="C6" s="36">
        <f t="shared" si="0"/>
        <v>0</v>
      </c>
      <c r="D6" s="36">
        <f t="shared" si="0"/>
        <v>28252</v>
      </c>
      <c r="E6" s="36">
        <f t="shared" si="0"/>
        <v>12691</v>
      </c>
      <c r="F6" s="36">
        <f t="shared" si="0"/>
        <v>6916</v>
      </c>
      <c r="G6" s="36">
        <f t="shared" si="0"/>
        <v>3511</v>
      </c>
      <c r="H6" s="36">
        <f t="shared" si="0"/>
        <v>9343</v>
      </c>
      <c r="I6" s="36">
        <f t="shared" si="0"/>
        <v>9303</v>
      </c>
      <c r="J6" s="36">
        <f t="shared" si="0"/>
        <v>910</v>
      </c>
      <c r="K6" s="36">
        <f t="shared" si="0"/>
        <v>14139</v>
      </c>
      <c r="L6" s="36">
        <f t="shared" si="0"/>
        <v>0</v>
      </c>
      <c r="M6" s="36">
        <f t="shared" si="0"/>
        <v>0</v>
      </c>
      <c r="N6" s="288">
        <f>SUM(B6:M6)</f>
        <v>208796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[3]Delta!$DO$37</f>
        <v>1310</v>
      </c>
      <c r="C9" s="22">
        <f>'[3]Atlantic Southeast'!$DO$37</f>
        <v>0</v>
      </c>
      <c r="D9" s="22">
        <f>[3]Pinnacle!$DO$37</f>
        <v>244</v>
      </c>
      <c r="E9" s="22">
        <f>[3]Compass!$DO$37</f>
        <v>79</v>
      </c>
      <c r="F9" s="22">
        <f>'[3]Sky West'!$DO$37</f>
        <v>26</v>
      </c>
      <c r="G9" s="22">
        <f>'[3]Sun Country'!$DO$37</f>
        <v>18</v>
      </c>
      <c r="H9" s="22">
        <f>[3]Icelandair!$DO$37</f>
        <v>29</v>
      </c>
      <c r="I9" s="22">
        <f>[3]AirCanada!$DO$37</f>
        <v>42</v>
      </c>
      <c r="J9" s="22">
        <f>[3]Condor!$DO$37</f>
        <v>5</v>
      </c>
      <c r="K9" s="22">
        <f>'[3]Air France'!$DO$37</f>
        <v>30</v>
      </c>
      <c r="L9" s="22">
        <f>[3]Comair!$DO$37</f>
        <v>0</v>
      </c>
      <c r="M9" s="22">
        <f>'[3]Charter Misc'!$DO$37+[3]Ryan!$DO$37+[3]Omni!$DO$37</f>
        <v>0</v>
      </c>
      <c r="N9" s="286">
        <f>SUM(B9:M9)</f>
        <v>1783</v>
      </c>
    </row>
    <row r="10" spans="1:14" x14ac:dyDescent="0.2">
      <c r="A10" s="65" t="s">
        <v>36</v>
      </c>
      <c r="B10" s="14">
        <f>[3]Delta!$DO$38</f>
        <v>1289</v>
      </c>
      <c r="C10" s="14">
        <f>'[3]Atlantic Southeast'!$DO$38</f>
        <v>0</v>
      </c>
      <c r="D10" s="14">
        <f>[3]Pinnacle!$DO$38</f>
        <v>280</v>
      </c>
      <c r="E10" s="14">
        <f>[3]Compass!$DO$38</f>
        <v>65</v>
      </c>
      <c r="F10" s="14">
        <f>'[3]Sky West'!$DO$38</f>
        <v>28</v>
      </c>
      <c r="G10" s="14">
        <f>'[3]Sun Country'!$DO$38</f>
        <v>18</v>
      </c>
      <c r="H10" s="14">
        <f>[3]Icelandair!$DO$38</f>
        <v>35</v>
      </c>
      <c r="I10" s="14">
        <f>[3]AirCanada!$DO$38</f>
        <v>48</v>
      </c>
      <c r="J10" s="14">
        <f>[3]Condor!$DO$38</f>
        <v>3</v>
      </c>
      <c r="K10" s="14">
        <f>'[3]Air France'!$DO$38</f>
        <v>20</v>
      </c>
      <c r="L10" s="14">
        <f>[3]Comair!$DO$38</f>
        <v>0</v>
      </c>
      <c r="M10" s="14">
        <f>'[3]Charter Misc'!$DO$38+[3]Ryan!$DO$38+[3]Omni!$DO$38</f>
        <v>0</v>
      </c>
      <c r="N10" s="287">
        <f>SUM(B10:M10)</f>
        <v>1786</v>
      </c>
    </row>
    <row r="11" spans="1:14" ht="15.75" thickBot="1" x14ac:dyDescent="0.3">
      <c r="A11" s="66" t="s">
        <v>37</v>
      </c>
      <c r="B11" s="289">
        <f t="shared" ref="B11:G11" si="1">SUM(B9:B10)</f>
        <v>2599</v>
      </c>
      <c r="C11" s="289">
        <f t="shared" si="1"/>
        <v>0</v>
      </c>
      <c r="D11" s="289">
        <f t="shared" si="1"/>
        <v>524</v>
      </c>
      <c r="E11" s="289">
        <f t="shared" si="1"/>
        <v>144</v>
      </c>
      <c r="F11" s="289">
        <f t="shared" si="1"/>
        <v>54</v>
      </c>
      <c r="G11" s="289">
        <f t="shared" si="1"/>
        <v>36</v>
      </c>
      <c r="H11" s="289">
        <f t="shared" ref="H11:M11" si="2">SUM(H9:H10)</f>
        <v>64</v>
      </c>
      <c r="I11" s="289">
        <f t="shared" si="2"/>
        <v>90</v>
      </c>
      <c r="J11" s="289">
        <f t="shared" si="2"/>
        <v>8</v>
      </c>
      <c r="K11" s="289">
        <f t="shared" si="2"/>
        <v>50</v>
      </c>
      <c r="L11" s="289">
        <f t="shared" si="2"/>
        <v>0</v>
      </c>
      <c r="M11" s="289">
        <f t="shared" si="2"/>
        <v>0</v>
      </c>
      <c r="N11" s="290">
        <f>SUM(B11:M11)</f>
        <v>3569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8" t="s">
        <v>210</v>
      </c>
      <c r="G13" s="458" t="s">
        <v>157</v>
      </c>
      <c r="H13" s="458" t="s">
        <v>125</v>
      </c>
      <c r="I13" s="458" t="s">
        <v>110</v>
      </c>
      <c r="J13" s="458" t="s">
        <v>216</v>
      </c>
      <c r="K13" s="458" t="s">
        <v>198</v>
      </c>
      <c r="L13" s="478" t="s">
        <v>211</v>
      </c>
      <c r="M13" s="458" t="s">
        <v>158</v>
      </c>
      <c r="N13" s="277" t="s">
        <v>160</v>
      </c>
    </row>
    <row r="14" spans="1:14" ht="15" x14ac:dyDescent="0.25">
      <c r="A14" s="507" t="s">
        <v>161</v>
      </c>
      <c r="B14" s="508"/>
      <c r="C14" s="508"/>
      <c r="D14" s="509"/>
      <c r="E14" s="508"/>
      <c r="F14" s="508"/>
      <c r="G14" s="508"/>
      <c r="H14" s="508"/>
      <c r="I14" s="508"/>
      <c r="J14" s="508"/>
      <c r="K14" s="508"/>
      <c r="L14" s="508"/>
      <c r="M14" s="508"/>
      <c r="N14" s="510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SUM([3]Delta!$DJ$32:$DO$32)</f>
        <v>356564</v>
      </c>
      <c r="C16" s="22">
        <f>SUM('[3]Atlantic Southeast'!$DJ$32:$DO$32)</f>
        <v>0</v>
      </c>
      <c r="D16" s="22">
        <f>SUM([3]Pinnacle!$DJ$32:$DO$32)</f>
        <v>63890</v>
      </c>
      <c r="E16" s="22">
        <f>SUM([3]Compass!$DJ$32:$DO$32)</f>
        <v>79116</v>
      </c>
      <c r="F16" s="22">
        <f>SUM('[3]Sky West'!$DJ$32:$DO$32)</f>
        <v>24197</v>
      </c>
      <c r="G16" s="22">
        <f>SUM('[3]Sun Country'!$DJ$32:$DO$32)</f>
        <v>87562</v>
      </c>
      <c r="H16" s="22">
        <f>SUM([3]Icelandair!$DJ$32:$DO$32)</f>
        <v>5922</v>
      </c>
      <c r="I16" s="22">
        <f>SUM([3]AirCanada!$DJ$32:$DO$32)</f>
        <v>17746</v>
      </c>
      <c r="J16" s="22">
        <f>SUM([3]Condor!$DJ$32:$DO$32)</f>
        <v>442</v>
      </c>
      <c r="K16" s="22">
        <f>SUM('[3]Air France'!$DJ$32:$DO$32)</f>
        <v>7177</v>
      </c>
      <c r="L16" s="22">
        <f>SUM([3]Comair!$DJ$32:$DO$32)</f>
        <v>0</v>
      </c>
      <c r="M16" s="22">
        <f>SUM('[3]Charter Misc'!$DJ$32:$DO$32)+SUM([3]Ryan!$DJ$32:$DO$32)+SUM([3]Omni!$DJ$32:$DO$32)</f>
        <v>0</v>
      </c>
      <c r="N16" s="286">
        <f>SUM(B16:M16)</f>
        <v>642616</v>
      </c>
    </row>
    <row r="17" spans="1:14" x14ac:dyDescent="0.2">
      <c r="A17" s="65" t="s">
        <v>34</v>
      </c>
      <c r="B17" s="14">
        <f>SUM([3]Delta!$DJ$33:$DO$33)</f>
        <v>349333</v>
      </c>
      <c r="C17" s="14">
        <f>SUM('[3]Atlantic Southeast'!$DJ$33:$DO$33)</f>
        <v>96</v>
      </c>
      <c r="D17" s="14">
        <f>SUM([3]Pinnacle!$DJ$33:$DO$33)</f>
        <v>64594</v>
      </c>
      <c r="E17" s="14">
        <f>SUM([3]Compass!$DJ$33:$DO$33)</f>
        <v>80248</v>
      </c>
      <c r="F17" s="14">
        <f>SUM('[3]Sky West'!$DJ$33:$DO$33)</f>
        <v>25120</v>
      </c>
      <c r="G17" s="14">
        <f>SUM('[3]Sun Country'!$DJ$33:$DO$33)</f>
        <v>83811</v>
      </c>
      <c r="H17" s="14">
        <f>SUM([3]Icelandair!$DJ$33:$DO$33)</f>
        <v>6983</v>
      </c>
      <c r="I17" s="14">
        <f>SUM([3]AirCanada!$DJ$33:$DO$33)</f>
        <v>17274</v>
      </c>
      <c r="J17" s="14">
        <f>SUM([3]Condor!$DJ$33:$DO$33)</f>
        <v>468</v>
      </c>
      <c r="K17" s="14">
        <f>SUM('[3]Air France'!$DJ$33:$DO$33)</f>
        <v>6962</v>
      </c>
      <c r="L17" s="14">
        <f>SUM([3]Comair!$DJ$33:$DO$33)</f>
        <v>0</v>
      </c>
      <c r="M17" s="14">
        <f>SUM('[3]Charter Misc'!$DJ$33:$DO$33)++SUM([3]Ryan!$DJ$33:$DO$33)+SUM([3]Omni!$DJ$33:$DO$33)</f>
        <v>0</v>
      </c>
      <c r="N17" s="287">
        <f>SUM(B17:M17)</f>
        <v>634889</v>
      </c>
    </row>
    <row r="18" spans="1:14" ht="15" x14ac:dyDescent="0.25">
      <c r="A18" s="63" t="s">
        <v>7</v>
      </c>
      <c r="B18" s="36">
        <f t="shared" ref="B18:M18" si="3">SUM(B16:B17)</f>
        <v>705897</v>
      </c>
      <c r="C18" s="36">
        <f t="shared" si="3"/>
        <v>96</v>
      </c>
      <c r="D18" s="36">
        <f t="shared" si="3"/>
        <v>128484</v>
      </c>
      <c r="E18" s="36">
        <f t="shared" si="3"/>
        <v>159364</v>
      </c>
      <c r="F18" s="36">
        <f t="shared" si="3"/>
        <v>49317</v>
      </c>
      <c r="G18" s="36">
        <f t="shared" si="3"/>
        <v>171373</v>
      </c>
      <c r="H18" s="36">
        <f t="shared" si="3"/>
        <v>12905</v>
      </c>
      <c r="I18" s="36">
        <f t="shared" si="3"/>
        <v>35020</v>
      </c>
      <c r="J18" s="36">
        <f t="shared" si="3"/>
        <v>910</v>
      </c>
      <c r="K18" s="36">
        <f t="shared" si="3"/>
        <v>14139</v>
      </c>
      <c r="L18" s="36">
        <f t="shared" si="3"/>
        <v>0</v>
      </c>
      <c r="M18" s="36">
        <f t="shared" si="3"/>
        <v>0</v>
      </c>
      <c r="N18" s="288">
        <f>SUM(B18:M18)</f>
        <v>1277505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SUM([3]Delta!$DJ$37:$DO$37)</f>
        <v>9010</v>
      </c>
      <c r="C21" s="22">
        <f>SUM('[3]Atlantic Southeast'!$DJ$37:$DO$37)</f>
        <v>0</v>
      </c>
      <c r="D21" s="22">
        <f>SUM([3]Pinnacle!$DJ$37:$DO$37)</f>
        <v>1127</v>
      </c>
      <c r="E21" s="22">
        <f>SUM([3]Compass!$DJ$37:$DO$37)</f>
        <v>1070</v>
      </c>
      <c r="F21" s="22">
        <f>SUM('[3]Sky West'!$DJ$37:$DO$37)</f>
        <v>200</v>
      </c>
      <c r="G21" s="22">
        <f>SUM('[3]Sun Country'!$DJ$37:$DO$37)</f>
        <v>589</v>
      </c>
      <c r="H21" s="22">
        <f>SUM([3]Icelandair!$DJ$37:$DO$37)</f>
        <v>77</v>
      </c>
      <c r="I21" s="22">
        <f>SUM([3]AirCanada!$DJ$37:$DO$37)</f>
        <v>221</v>
      </c>
      <c r="J21" s="22">
        <f>SUM([3]Condor!$DJ$37:$DO$37)</f>
        <v>5</v>
      </c>
      <c r="K21" s="22">
        <f>SUM('[3]Air France'!$DJ$37:$DO$37)</f>
        <v>30</v>
      </c>
      <c r="L21" s="22">
        <f>SUM([3]Comair!$DJ$37:$DO$37)</f>
        <v>0</v>
      </c>
      <c r="M21" s="22">
        <f>SUM('[3]Charter Misc'!$DJ$37:$DO$37)++SUM([3]Ryan!$DJ$37:$DO$37)+SUM([3]Omni!$DJ$37:$DO$37)</f>
        <v>0</v>
      </c>
      <c r="N21" s="286">
        <f>SUM(B21:M21)</f>
        <v>12329</v>
      </c>
    </row>
    <row r="22" spans="1:14" x14ac:dyDescent="0.2">
      <c r="A22" s="65" t="s">
        <v>36</v>
      </c>
      <c r="B22" s="14">
        <f>SUM([3]Delta!$DJ$38:$DO$38)</f>
        <v>8740</v>
      </c>
      <c r="C22" s="14">
        <f>SUM('[3]Atlantic Southeast'!$DJ$38:$DO$38)</f>
        <v>4</v>
      </c>
      <c r="D22" s="14">
        <f>SUM([3]Pinnacle!$DJ$38:$DO$38)</f>
        <v>1153</v>
      </c>
      <c r="E22" s="14">
        <f>SUM([3]Compass!$DJ$38:$DO$38)</f>
        <v>991</v>
      </c>
      <c r="F22" s="14">
        <f>SUM('[3]Sky West'!$DJ$38:$DO$38)</f>
        <v>235</v>
      </c>
      <c r="G22" s="14">
        <f>SUM('[3]Sun Country'!$DJ$38:$DO$38)</f>
        <v>699</v>
      </c>
      <c r="H22" s="14">
        <f>SUM([3]Icelandair!$DJ$38:$DO$38)</f>
        <v>77</v>
      </c>
      <c r="I22" s="14">
        <f>SUM([3]AirCanada!$DJ$38:$DO$38)</f>
        <v>208</v>
      </c>
      <c r="J22" s="14">
        <f>SUM([3]Condor!$DJ$38:$DO$38)</f>
        <v>3</v>
      </c>
      <c r="K22" s="14">
        <f>SUM('[3]Air France'!$DJ$38:$DO$38)</f>
        <v>20</v>
      </c>
      <c r="L22" s="14">
        <f>SUM([3]Comair!$DJ$38:$DO$38)</f>
        <v>0</v>
      </c>
      <c r="M22" s="14">
        <f>SUM('[3]Charter Misc'!$DJ$38:$DO$38)++SUM([3]Ryan!$DJ$38:$DO$38)+SUM([3]Omni!$DJ$38:$DO$38)</f>
        <v>0</v>
      </c>
      <c r="N22" s="287">
        <f>SUM(B22:M22)</f>
        <v>12130</v>
      </c>
    </row>
    <row r="23" spans="1:14" ht="15.75" thickBot="1" x14ac:dyDescent="0.3">
      <c r="A23" s="66" t="s">
        <v>37</v>
      </c>
      <c r="B23" s="289">
        <f t="shared" ref="B23:M23" si="4">SUM(B21:B22)</f>
        <v>17750</v>
      </c>
      <c r="C23" s="289">
        <f t="shared" si="4"/>
        <v>4</v>
      </c>
      <c r="D23" s="289">
        <f t="shared" si="4"/>
        <v>2280</v>
      </c>
      <c r="E23" s="289">
        <f t="shared" si="4"/>
        <v>2061</v>
      </c>
      <c r="F23" s="289">
        <f t="shared" si="4"/>
        <v>435</v>
      </c>
      <c r="G23" s="289">
        <f t="shared" si="4"/>
        <v>1288</v>
      </c>
      <c r="H23" s="289">
        <f t="shared" si="4"/>
        <v>154</v>
      </c>
      <c r="I23" s="289">
        <f t="shared" si="4"/>
        <v>429</v>
      </c>
      <c r="J23" s="289">
        <f t="shared" si="4"/>
        <v>8</v>
      </c>
      <c r="K23" s="289">
        <f t="shared" si="4"/>
        <v>50</v>
      </c>
      <c r="L23" s="289">
        <f t="shared" si="4"/>
        <v>0</v>
      </c>
      <c r="M23" s="289">
        <f t="shared" si="4"/>
        <v>0</v>
      </c>
      <c r="N23" s="290">
        <f>SUM(B23:M23)</f>
        <v>24459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8" t="s">
        <v>210</v>
      </c>
      <c r="G25" s="458" t="s">
        <v>157</v>
      </c>
      <c r="H25" s="458" t="s">
        <v>125</v>
      </c>
      <c r="I25" s="458" t="s">
        <v>110</v>
      </c>
      <c r="J25" s="458" t="s">
        <v>216</v>
      </c>
      <c r="K25" s="458" t="s">
        <v>198</v>
      </c>
      <c r="L25" s="478" t="s">
        <v>211</v>
      </c>
      <c r="M25" s="458" t="s">
        <v>158</v>
      </c>
      <c r="N25" s="277" t="s">
        <v>24</v>
      </c>
    </row>
    <row r="26" spans="1:14" ht="15" x14ac:dyDescent="0.25">
      <c r="A26" s="511" t="s">
        <v>162</v>
      </c>
      <c r="B26" s="512"/>
      <c r="C26" s="512"/>
      <c r="D26" s="513"/>
      <c r="E26" s="512"/>
      <c r="F26" s="512"/>
      <c r="G26" s="512"/>
      <c r="H26" s="512"/>
      <c r="I26" s="512"/>
      <c r="J26" s="512"/>
      <c r="K26" s="512"/>
      <c r="L26" s="512"/>
      <c r="M26" s="512"/>
      <c r="N26" s="514"/>
    </row>
    <row r="27" spans="1:14" x14ac:dyDescent="0.2">
      <c r="A27" s="65" t="s">
        <v>25</v>
      </c>
      <c r="B27" s="22">
        <f>[3]Delta!$DO$15</f>
        <v>319</v>
      </c>
      <c r="C27" s="22">
        <f>'[3]Atlantic Southeast'!$DO$15</f>
        <v>0</v>
      </c>
      <c r="D27" s="22">
        <f>[3]Pinnacle!$DO$15</f>
        <v>269</v>
      </c>
      <c r="E27" s="22">
        <f>[3]Compass!$DO$15</f>
        <v>110</v>
      </c>
      <c r="F27" s="22">
        <f>'[3]Sky West'!$DO$15</f>
        <v>87</v>
      </c>
      <c r="G27" s="22">
        <f>'[3]Sun Country'!$DO$15</f>
        <v>9</v>
      </c>
      <c r="H27" s="22">
        <f>[3]Icelandair!$DO$15</f>
        <v>29</v>
      </c>
      <c r="I27" s="22">
        <f>[3]AirCanada!$DO$15</f>
        <v>89</v>
      </c>
      <c r="J27" s="22">
        <f>[3]Condor!$DO$15</f>
        <v>2</v>
      </c>
      <c r="K27" s="22">
        <f>'[3]Air France'!$DO$15</f>
        <v>29</v>
      </c>
      <c r="L27" s="22">
        <f>[3]Comair!$DO$15</f>
        <v>0</v>
      </c>
      <c r="M27" s="22">
        <f>'[3]Charter Misc'!$DO$15+[3]Ryan!$DO$15+[3]Omni!$DO$15</f>
        <v>0</v>
      </c>
      <c r="N27" s="286">
        <f>SUM(B27:M27)</f>
        <v>943</v>
      </c>
    </row>
    <row r="28" spans="1:14" x14ac:dyDescent="0.2">
      <c r="A28" s="65" t="s">
        <v>26</v>
      </c>
      <c r="B28" s="22">
        <f>[3]Delta!$DO$16</f>
        <v>323</v>
      </c>
      <c r="C28" s="22">
        <f>'[3]Atlantic Southeast'!$DO$16</f>
        <v>0</v>
      </c>
      <c r="D28" s="22">
        <f>[3]Pinnacle!$DO$16</f>
        <v>266</v>
      </c>
      <c r="E28" s="22">
        <f>[3]Compass!$DO$16</f>
        <v>108</v>
      </c>
      <c r="F28" s="22">
        <f>'[3]Sky West'!$DO$16</f>
        <v>89</v>
      </c>
      <c r="G28" s="22">
        <f>'[3]Sun Country'!$DO$16</f>
        <v>11</v>
      </c>
      <c r="H28" s="22">
        <f>[3]Icelandair!$DO$16</f>
        <v>29</v>
      </c>
      <c r="I28" s="22">
        <f>[3]AirCanada!$DO$16</f>
        <v>89</v>
      </c>
      <c r="J28" s="22">
        <f>[3]Condor!$DO$16</f>
        <v>2</v>
      </c>
      <c r="K28" s="22">
        <f>'[3]Air France'!$DO$16</f>
        <v>29</v>
      </c>
      <c r="L28" s="22">
        <f>[3]Comair!$DO$16</f>
        <v>0</v>
      </c>
      <c r="M28" s="22">
        <f>'[3]Charter Misc'!$DO$16+[3]Ryan!$DO$16+[3]Omni!$DO$16</f>
        <v>0</v>
      </c>
      <c r="N28" s="286">
        <f>SUM(B28:M28)</f>
        <v>946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642</v>
      </c>
      <c r="C30" s="402">
        <f t="shared" si="5"/>
        <v>0</v>
      </c>
      <c r="D30" s="402">
        <f t="shared" si="5"/>
        <v>535</v>
      </c>
      <c r="E30" s="402">
        <f t="shared" si="5"/>
        <v>218</v>
      </c>
      <c r="F30" s="402">
        <f>SUM(F27:F28)</f>
        <v>176</v>
      </c>
      <c r="G30" s="402">
        <f t="shared" si="5"/>
        <v>20</v>
      </c>
      <c r="H30" s="402">
        <f t="shared" si="5"/>
        <v>58</v>
      </c>
      <c r="I30" s="402">
        <f t="shared" si="5"/>
        <v>178</v>
      </c>
      <c r="J30" s="402">
        <f>SUM(J27:J28)</f>
        <v>4</v>
      </c>
      <c r="K30" s="402">
        <f>SUM(K27:K28)</f>
        <v>58</v>
      </c>
      <c r="L30" s="402">
        <f>SUM(L27:L28)</f>
        <v>0</v>
      </c>
      <c r="M30" s="402">
        <f>SUM(M27:M28)</f>
        <v>0</v>
      </c>
      <c r="N30" s="403">
        <f>SUM(B30:M30)</f>
        <v>1889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8" t="s">
        <v>210</v>
      </c>
      <c r="G32" s="458" t="s">
        <v>157</v>
      </c>
      <c r="H32" s="458" t="s">
        <v>125</v>
      </c>
      <c r="I32" s="458" t="s">
        <v>110</v>
      </c>
      <c r="J32" s="458" t="s">
        <v>216</v>
      </c>
      <c r="K32" s="458" t="s">
        <v>198</v>
      </c>
      <c r="L32" s="478" t="s">
        <v>211</v>
      </c>
      <c r="M32" s="458" t="s">
        <v>158</v>
      </c>
      <c r="N32" s="277" t="s">
        <v>160</v>
      </c>
    </row>
    <row r="33" spans="1:14" ht="15" x14ac:dyDescent="0.25">
      <c r="A33" s="515" t="s">
        <v>163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7"/>
    </row>
    <row r="34" spans="1:14" x14ac:dyDescent="0.2">
      <c r="A34" s="65" t="s">
        <v>25</v>
      </c>
      <c r="B34" s="22">
        <f>SUM([3]Delta!$DJ$15:$DO$15)</f>
        <v>2032</v>
      </c>
      <c r="C34" s="22">
        <f>SUM('[3]Atlantic Southeast'!$DJ$15:$DO$15)</f>
        <v>1</v>
      </c>
      <c r="D34" s="22">
        <f>SUM([3]Pinnacle!$DJ$15:$DO$15)</f>
        <v>1407</v>
      </c>
      <c r="E34" s="22">
        <f>SUM([3]Compass!$DJ$15:$DO$15)</f>
        <v>1316</v>
      </c>
      <c r="F34" s="22">
        <f>SUM('[3]Sky West'!$DJ$15:$DO$15)</f>
        <v>563</v>
      </c>
      <c r="G34" s="22">
        <f>SUM('[3]Sun Country'!$DJ$15:$DO$15)</f>
        <v>657</v>
      </c>
      <c r="H34" s="22">
        <f>SUM([3]Icelandair!$DJ$15:$DO$15)</f>
        <v>42</v>
      </c>
      <c r="I34" s="22">
        <f>SUM([3]AirCanada!$DJ$15:$DO$15)</f>
        <v>502</v>
      </c>
      <c r="J34" s="22">
        <f>SUM([3]Condor!$DJ$15:$DO$15)</f>
        <v>2</v>
      </c>
      <c r="K34" s="22">
        <f>SUM('[3]Air France'!$DJ$15:$DO$15)</f>
        <v>29</v>
      </c>
      <c r="L34" s="22">
        <f>SUM([3]Comair!$DJ$15:$DO$15)</f>
        <v>0</v>
      </c>
      <c r="M34" s="22">
        <f>SUM('[3]Charter Misc'!$DJ$15:$DO$15)+SUM([3]Ryan!$DJ$15:$DO$15)+SUM([3]Omni!$DJ$15:$DO$15)</f>
        <v>0</v>
      </c>
      <c r="N34" s="286">
        <f>SUM(B34:M34)</f>
        <v>6551</v>
      </c>
    </row>
    <row r="35" spans="1:14" x14ac:dyDescent="0.2">
      <c r="A35" s="65" t="s">
        <v>26</v>
      </c>
      <c r="B35" s="22">
        <f>SUM([3]Delta!$DJ$16:$DO$16)</f>
        <v>2041</v>
      </c>
      <c r="C35" s="14">
        <f>SUM('[3]Atlantic Southeast'!$DJ$16:$DO$16)</f>
        <v>2</v>
      </c>
      <c r="D35" s="14">
        <f>SUM([3]Pinnacle!$DJ$16:$DO$16)</f>
        <v>1396</v>
      </c>
      <c r="E35" s="14">
        <f>SUM([3]Compass!$DJ$16:$DO$16)</f>
        <v>1306</v>
      </c>
      <c r="F35" s="14">
        <f>SUM('[3]Sky West'!$DJ$16:$DO$16)</f>
        <v>566</v>
      </c>
      <c r="G35" s="14">
        <f>SUM('[3]Sun Country'!$DJ$16:$DO$16)</f>
        <v>671</v>
      </c>
      <c r="H35" s="14">
        <f>SUM([3]Icelandair!$DJ$16:$DO$16)</f>
        <v>42</v>
      </c>
      <c r="I35" s="14">
        <f>SUM([3]AirCanada!$DJ$16:$DO$16)</f>
        <v>501</v>
      </c>
      <c r="J35" s="14">
        <f>SUM([3]Condor!$DJ$16:$DO$16)</f>
        <v>2</v>
      </c>
      <c r="K35" s="14">
        <f>SUM('[3]Air France'!$DJ$16:$DO$16)</f>
        <v>29</v>
      </c>
      <c r="L35" s="14">
        <f>SUM([3]Comair!$DJ$16:$DO$16)</f>
        <v>0</v>
      </c>
      <c r="M35" s="14">
        <f>SUM('[3]Charter Misc'!$DJ$16:$DO$16)++SUM([3]Ryan!$DJ$16:$DO$16)+SUM([3]Omni!$DJ$16:$DO$16)</f>
        <v>0</v>
      </c>
      <c r="N35" s="286">
        <f>SUM(B35:M35)</f>
        <v>6556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4073</v>
      </c>
      <c r="C37" s="402">
        <f t="shared" si="6"/>
        <v>3</v>
      </c>
      <c r="D37" s="402">
        <f t="shared" si="6"/>
        <v>2803</v>
      </c>
      <c r="E37" s="402">
        <f t="shared" si="6"/>
        <v>2622</v>
      </c>
      <c r="F37" s="402">
        <f>+SUM(F34:F35)</f>
        <v>1129</v>
      </c>
      <c r="G37" s="402">
        <f t="shared" si="6"/>
        <v>1328</v>
      </c>
      <c r="H37" s="402">
        <f t="shared" si="6"/>
        <v>84</v>
      </c>
      <c r="I37" s="402">
        <f t="shared" si="6"/>
        <v>1003</v>
      </c>
      <c r="J37" s="402">
        <f>+SUM(J34:J35)</f>
        <v>4</v>
      </c>
      <c r="K37" s="402">
        <f>+SUM(K34:K35)</f>
        <v>58</v>
      </c>
      <c r="L37" s="402">
        <f>+SUM(L34:L35)</f>
        <v>0</v>
      </c>
      <c r="M37" s="402">
        <f>+SUM(M34:M35)</f>
        <v>0</v>
      </c>
      <c r="N37" s="403">
        <f>SUM(B37:M37)</f>
        <v>13107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&amp;"Arial,Bold"June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2014-07-24T19:16:31Z</cp:lastPrinted>
  <dcterms:created xsi:type="dcterms:W3CDTF">2007-09-24T12:26:24Z</dcterms:created>
  <dcterms:modified xsi:type="dcterms:W3CDTF">2018-11-14T00:50:29Z</dcterms:modified>
</cp:coreProperties>
</file>