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10">'Ops+Rev Pax Activity'!$A$1:$R$67</definedName>
    <definedName name="_xlnm.Print_Area" localSheetId="2">'Other Major Airline Stats'!$A$2:$J$49</definedName>
    <definedName name="_xlnm.Print_Area" localSheetId="4">'Other Regional'!$A$1:$M$47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C5" i="9" l="1"/>
  <c r="L10" i="16" l="1"/>
  <c r="L9" i="16"/>
  <c r="L5" i="16"/>
  <c r="L4" i="16"/>
  <c r="L22" i="16"/>
  <c r="L21" i="16"/>
  <c r="L17" i="16"/>
  <c r="L16" i="16"/>
  <c r="L28" i="16"/>
  <c r="L27" i="16"/>
  <c r="L30" i="16" s="1"/>
  <c r="L35" i="16"/>
  <c r="L34" i="16"/>
  <c r="L23" i="16" l="1"/>
  <c r="L11" i="16"/>
  <c r="L37" i="16"/>
  <c r="L18" i="16"/>
  <c r="L6" i="16"/>
  <c r="H49" i="3"/>
  <c r="G49" i="3"/>
  <c r="H48" i="3"/>
  <c r="G48" i="3"/>
  <c r="C21" i="1" l="1"/>
  <c r="B21" i="1"/>
  <c r="J35" i="16" l="1"/>
  <c r="J34" i="16"/>
  <c r="J28" i="16"/>
  <c r="J27" i="16"/>
  <c r="J30" i="16" s="1"/>
  <c r="J22" i="16"/>
  <c r="J21" i="16"/>
  <c r="J23" i="16" s="1"/>
  <c r="J17" i="16"/>
  <c r="J16" i="16"/>
  <c r="J18" i="16" s="1"/>
  <c r="J10" i="16"/>
  <c r="J9" i="16"/>
  <c r="J11" i="16" s="1"/>
  <c r="J5" i="16"/>
  <c r="J4" i="16"/>
  <c r="J6" i="16" s="1"/>
  <c r="J37" i="16" l="1"/>
  <c r="P8" i="9"/>
  <c r="O8" i="9"/>
  <c r="M8" i="9"/>
  <c r="L8" i="9"/>
  <c r="G8" i="9"/>
  <c r="F8" i="9"/>
  <c r="D8" i="9"/>
  <c r="C8" i="9"/>
  <c r="J31" i="15"/>
  <c r="J30" i="15"/>
  <c r="J26" i="15"/>
  <c r="J25" i="15"/>
  <c r="J19" i="15"/>
  <c r="J18" i="15"/>
  <c r="J16" i="15"/>
  <c r="J15" i="15"/>
  <c r="J11" i="15"/>
  <c r="J10" i="15"/>
  <c r="J6" i="15"/>
  <c r="J5" i="15"/>
  <c r="J36" i="15"/>
  <c r="J35" i="15"/>
  <c r="J37" i="15" s="1"/>
  <c r="J7" i="15" l="1"/>
  <c r="J17" i="15"/>
  <c r="J27" i="15"/>
  <c r="J20" i="15"/>
  <c r="J41" i="15"/>
  <c r="N8" i="9"/>
  <c r="E8" i="9"/>
  <c r="J12" i="15"/>
  <c r="J40" i="15"/>
  <c r="Q8" i="9"/>
  <c r="H8" i="9"/>
  <c r="J32" i="15"/>
  <c r="J42" i="15" s="1"/>
  <c r="P62" i="9"/>
  <c r="M62" i="9"/>
  <c r="G62" i="9"/>
  <c r="D62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6" i="9"/>
  <c r="M56" i="9"/>
  <c r="G56" i="9"/>
  <c r="D56" i="9"/>
  <c r="P53" i="9"/>
  <c r="M53" i="9"/>
  <c r="G53" i="9"/>
  <c r="D53" i="9"/>
  <c r="P51" i="9"/>
  <c r="M51" i="9"/>
  <c r="G51" i="9"/>
  <c r="D51" i="9"/>
  <c r="P49" i="9"/>
  <c r="M49" i="9"/>
  <c r="G49" i="9"/>
  <c r="D49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29" i="9"/>
  <c r="M29" i="9"/>
  <c r="G29" i="9"/>
  <c r="D29" i="9"/>
  <c r="P27" i="9"/>
  <c r="M27" i="9"/>
  <c r="G27" i="9"/>
  <c r="D27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9" i="9"/>
  <c r="M19" i="9"/>
  <c r="G19" i="9"/>
  <c r="D19" i="9"/>
  <c r="P16" i="9"/>
  <c r="M16" i="9"/>
  <c r="G16" i="9"/>
  <c r="D16" i="9"/>
  <c r="P15" i="9"/>
  <c r="M15" i="9"/>
  <c r="G15" i="9"/>
  <c r="D15" i="9"/>
  <c r="P12" i="9"/>
  <c r="M12" i="9"/>
  <c r="G12" i="9"/>
  <c r="D12" i="9"/>
  <c r="P10" i="9"/>
  <c r="M10" i="9"/>
  <c r="G10" i="9"/>
  <c r="D10" i="9"/>
  <c r="P7" i="9"/>
  <c r="M7" i="9"/>
  <c r="G7" i="9"/>
  <c r="D7" i="9"/>
  <c r="P6" i="9"/>
  <c r="P4" i="9" s="1"/>
  <c r="M6" i="9"/>
  <c r="G6" i="9"/>
  <c r="D6" i="9"/>
  <c r="O62" i="9"/>
  <c r="L62" i="9"/>
  <c r="F62" i="9"/>
  <c r="C62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6" i="9"/>
  <c r="L56" i="9"/>
  <c r="F56" i="9"/>
  <c r="C56" i="9"/>
  <c r="O53" i="9"/>
  <c r="L53" i="9"/>
  <c r="F53" i="9"/>
  <c r="C53" i="9"/>
  <c r="O51" i="9"/>
  <c r="L51" i="9"/>
  <c r="F51" i="9"/>
  <c r="C51" i="9"/>
  <c r="O49" i="9"/>
  <c r="L49" i="9"/>
  <c r="F49" i="9"/>
  <c r="C49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29" i="9"/>
  <c r="L29" i="9"/>
  <c r="F29" i="9"/>
  <c r="C29" i="9"/>
  <c r="O27" i="9"/>
  <c r="L27" i="9"/>
  <c r="F27" i="9"/>
  <c r="C27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9" i="9"/>
  <c r="L19" i="9"/>
  <c r="F19" i="9"/>
  <c r="C19" i="9"/>
  <c r="O16" i="9"/>
  <c r="L16" i="9"/>
  <c r="F16" i="9"/>
  <c r="C16" i="9"/>
  <c r="O15" i="9"/>
  <c r="L15" i="9"/>
  <c r="F15" i="9"/>
  <c r="C15" i="9"/>
  <c r="O12" i="9"/>
  <c r="L12" i="9"/>
  <c r="F12" i="9"/>
  <c r="C12" i="9"/>
  <c r="O10" i="9"/>
  <c r="L10" i="9"/>
  <c r="F10" i="9"/>
  <c r="C10" i="9"/>
  <c r="O7" i="9"/>
  <c r="L7" i="9"/>
  <c r="F7" i="9"/>
  <c r="C7" i="9"/>
  <c r="O6" i="9"/>
  <c r="O4" i="9" s="1"/>
  <c r="L6" i="9"/>
  <c r="F6" i="9"/>
  <c r="C6" i="9"/>
  <c r="C4" i="9" s="1"/>
  <c r="O35" i="16"/>
  <c r="N35" i="16"/>
  <c r="M35" i="16"/>
  <c r="K35" i="16"/>
  <c r="I35" i="16"/>
  <c r="H35" i="16"/>
  <c r="G35" i="16"/>
  <c r="F35" i="16"/>
  <c r="E35" i="16"/>
  <c r="D35" i="16"/>
  <c r="C35" i="16"/>
  <c r="B35" i="16"/>
  <c r="O34" i="16"/>
  <c r="N34" i="16"/>
  <c r="M34" i="16"/>
  <c r="K34" i="16"/>
  <c r="I34" i="16"/>
  <c r="H34" i="16"/>
  <c r="G34" i="16"/>
  <c r="F34" i="16"/>
  <c r="E34" i="16"/>
  <c r="D34" i="16"/>
  <c r="C34" i="16"/>
  <c r="B34" i="16"/>
  <c r="O28" i="16"/>
  <c r="N28" i="16"/>
  <c r="M28" i="16"/>
  <c r="K28" i="16"/>
  <c r="I28" i="16"/>
  <c r="H28" i="16"/>
  <c r="G28" i="16"/>
  <c r="F28" i="16"/>
  <c r="E28" i="16"/>
  <c r="D28" i="16"/>
  <c r="C28" i="16"/>
  <c r="B28" i="16"/>
  <c r="O27" i="16"/>
  <c r="N27" i="16"/>
  <c r="M27" i="16"/>
  <c r="K27" i="16"/>
  <c r="I27" i="16"/>
  <c r="H27" i="16"/>
  <c r="G27" i="16"/>
  <c r="F27" i="16"/>
  <c r="E27" i="16"/>
  <c r="D27" i="16"/>
  <c r="C27" i="16"/>
  <c r="B27" i="16"/>
  <c r="O22" i="16"/>
  <c r="N22" i="16"/>
  <c r="M22" i="16"/>
  <c r="K22" i="16"/>
  <c r="I22" i="16"/>
  <c r="H22" i="16"/>
  <c r="G22" i="16"/>
  <c r="F22" i="16"/>
  <c r="E22" i="16"/>
  <c r="D22" i="16"/>
  <c r="C22" i="16"/>
  <c r="B22" i="16"/>
  <c r="O21" i="16"/>
  <c r="N21" i="16"/>
  <c r="M21" i="16"/>
  <c r="K21" i="16"/>
  <c r="I21" i="16"/>
  <c r="H21" i="16"/>
  <c r="G21" i="16"/>
  <c r="F21" i="16"/>
  <c r="E21" i="16"/>
  <c r="D21" i="16"/>
  <c r="C21" i="16"/>
  <c r="B21" i="16"/>
  <c r="O17" i="16"/>
  <c r="N17" i="16"/>
  <c r="M17" i="16"/>
  <c r="K17" i="16"/>
  <c r="I17" i="16"/>
  <c r="H17" i="16"/>
  <c r="G17" i="16"/>
  <c r="F17" i="16"/>
  <c r="E17" i="16"/>
  <c r="D17" i="16"/>
  <c r="C17" i="16"/>
  <c r="B17" i="16"/>
  <c r="O16" i="16"/>
  <c r="N16" i="16"/>
  <c r="M16" i="16"/>
  <c r="K16" i="16"/>
  <c r="I16" i="16"/>
  <c r="H16" i="16"/>
  <c r="G16" i="16"/>
  <c r="F16" i="16"/>
  <c r="E16" i="16"/>
  <c r="D16" i="16"/>
  <c r="C16" i="16"/>
  <c r="B16" i="16"/>
  <c r="O10" i="16"/>
  <c r="N10" i="16"/>
  <c r="M10" i="16"/>
  <c r="K10" i="16"/>
  <c r="I10" i="16"/>
  <c r="H10" i="16"/>
  <c r="G10" i="16"/>
  <c r="F10" i="16"/>
  <c r="E10" i="16"/>
  <c r="D10" i="16"/>
  <c r="C10" i="16"/>
  <c r="B10" i="16"/>
  <c r="O9" i="16"/>
  <c r="N9" i="16"/>
  <c r="M9" i="16"/>
  <c r="K9" i="16"/>
  <c r="I9" i="16"/>
  <c r="H9" i="16"/>
  <c r="G9" i="16"/>
  <c r="F9" i="16"/>
  <c r="E9" i="16"/>
  <c r="D9" i="16"/>
  <c r="C9" i="16"/>
  <c r="B9" i="16"/>
  <c r="O5" i="16"/>
  <c r="N5" i="16"/>
  <c r="M5" i="16"/>
  <c r="K5" i="16"/>
  <c r="I5" i="16"/>
  <c r="H5" i="16"/>
  <c r="G5" i="16"/>
  <c r="F5" i="16"/>
  <c r="E5" i="16"/>
  <c r="D5" i="16"/>
  <c r="C5" i="16"/>
  <c r="B5" i="16"/>
  <c r="O4" i="16"/>
  <c r="N4" i="16"/>
  <c r="M4" i="16"/>
  <c r="K4" i="16"/>
  <c r="I4" i="16"/>
  <c r="H4" i="16"/>
  <c r="G4" i="16"/>
  <c r="F4" i="16"/>
  <c r="E4" i="16"/>
  <c r="D4" i="16"/>
  <c r="C4" i="16"/>
  <c r="B4" i="16"/>
  <c r="P21" i="17"/>
  <c r="M21" i="17"/>
  <c r="G21" i="17"/>
  <c r="D21" i="17"/>
  <c r="P19" i="17"/>
  <c r="M19" i="17"/>
  <c r="G19" i="17"/>
  <c r="D19" i="17"/>
  <c r="P17" i="17"/>
  <c r="M17" i="17"/>
  <c r="G17" i="17"/>
  <c r="D17" i="17"/>
  <c r="G15" i="17"/>
  <c r="D15" i="17"/>
  <c r="P13" i="17"/>
  <c r="M13" i="17"/>
  <c r="G13" i="17"/>
  <c r="D13" i="17"/>
  <c r="P11" i="17"/>
  <c r="M11" i="17"/>
  <c r="G11" i="17"/>
  <c r="D11" i="17"/>
  <c r="P9" i="17"/>
  <c r="M9" i="17"/>
  <c r="G9" i="17"/>
  <c r="D9" i="17"/>
  <c r="P7" i="17"/>
  <c r="M7" i="17"/>
  <c r="G7" i="17"/>
  <c r="D7" i="17"/>
  <c r="P5" i="17"/>
  <c r="M5" i="17"/>
  <c r="G5" i="17"/>
  <c r="D5" i="17"/>
  <c r="O21" i="17"/>
  <c r="L21" i="17"/>
  <c r="F21" i="17"/>
  <c r="C21" i="17"/>
  <c r="O19" i="17"/>
  <c r="L19" i="17"/>
  <c r="F19" i="17"/>
  <c r="C19" i="17"/>
  <c r="O17" i="17"/>
  <c r="L17" i="17"/>
  <c r="F17" i="17"/>
  <c r="C17" i="17"/>
  <c r="F15" i="17"/>
  <c r="C15" i="17"/>
  <c r="O13" i="17"/>
  <c r="L13" i="17"/>
  <c r="F13" i="17"/>
  <c r="C13" i="17"/>
  <c r="O11" i="17"/>
  <c r="L11" i="17"/>
  <c r="F11" i="17"/>
  <c r="C11" i="17"/>
  <c r="O9" i="17"/>
  <c r="L9" i="17"/>
  <c r="F9" i="17"/>
  <c r="C9" i="17"/>
  <c r="O7" i="17"/>
  <c r="L7" i="17"/>
  <c r="F7" i="17"/>
  <c r="C7" i="17"/>
  <c r="O5" i="17"/>
  <c r="L5" i="17"/>
  <c r="F5" i="17"/>
  <c r="C5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D5" i="8"/>
  <c r="C5" i="8"/>
  <c r="B5" i="8"/>
  <c r="L4" i="8"/>
  <c r="K4" i="8"/>
  <c r="J4" i="8"/>
  <c r="I4" i="8"/>
  <c r="H4" i="8"/>
  <c r="G4" i="8"/>
  <c r="F4" i="8"/>
  <c r="D4" i="8"/>
  <c r="C4" i="8"/>
  <c r="B4" i="8"/>
  <c r="M25" i="7"/>
  <c r="L25" i="7"/>
  <c r="O26" i="7"/>
  <c r="J26" i="7"/>
  <c r="E26" i="7"/>
  <c r="E25" i="7"/>
  <c r="C25" i="7"/>
  <c r="B25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E47" i="15"/>
  <c r="C47" i="15"/>
  <c r="I46" i="15"/>
  <c r="F46" i="15"/>
  <c r="E46" i="15"/>
  <c r="C46" i="15"/>
  <c r="I35" i="15"/>
  <c r="G35" i="15"/>
  <c r="F35" i="15"/>
  <c r="E35" i="15"/>
  <c r="D35" i="15"/>
  <c r="C35" i="15"/>
  <c r="B35" i="15"/>
  <c r="L31" i="15"/>
  <c r="K31" i="15"/>
  <c r="I31" i="15"/>
  <c r="H31" i="15"/>
  <c r="G31" i="15"/>
  <c r="F31" i="15"/>
  <c r="E31" i="15"/>
  <c r="D31" i="15"/>
  <c r="C31" i="15"/>
  <c r="B31" i="15"/>
  <c r="L30" i="15"/>
  <c r="I30" i="15"/>
  <c r="H30" i="15"/>
  <c r="G30" i="15"/>
  <c r="F30" i="15"/>
  <c r="E30" i="15"/>
  <c r="D30" i="15"/>
  <c r="C30" i="15"/>
  <c r="B30" i="15"/>
  <c r="L26" i="15"/>
  <c r="K26" i="15"/>
  <c r="I26" i="15"/>
  <c r="H26" i="15"/>
  <c r="G26" i="15"/>
  <c r="F26" i="15"/>
  <c r="E26" i="15"/>
  <c r="D26" i="15"/>
  <c r="C26" i="15"/>
  <c r="B26" i="15"/>
  <c r="L25" i="15"/>
  <c r="K25" i="15"/>
  <c r="I25" i="15"/>
  <c r="H25" i="15"/>
  <c r="G25" i="15"/>
  <c r="F25" i="15"/>
  <c r="E25" i="15"/>
  <c r="D25" i="15"/>
  <c r="C25" i="15"/>
  <c r="B25" i="15"/>
  <c r="L19" i="15"/>
  <c r="K19" i="15"/>
  <c r="I19" i="15"/>
  <c r="H19" i="15"/>
  <c r="G19" i="15"/>
  <c r="F19" i="15"/>
  <c r="E19" i="15"/>
  <c r="D19" i="15"/>
  <c r="C19" i="15"/>
  <c r="B19" i="15"/>
  <c r="L18" i="15"/>
  <c r="K18" i="15"/>
  <c r="I18" i="15"/>
  <c r="H18" i="15"/>
  <c r="G18" i="15"/>
  <c r="F18" i="15"/>
  <c r="E18" i="15"/>
  <c r="D18" i="15"/>
  <c r="C18" i="15"/>
  <c r="B18" i="15"/>
  <c r="L16" i="15"/>
  <c r="K16" i="15"/>
  <c r="I16" i="15"/>
  <c r="H16" i="15"/>
  <c r="G16" i="15"/>
  <c r="F16" i="15"/>
  <c r="E16" i="15"/>
  <c r="D16" i="15"/>
  <c r="C16" i="15"/>
  <c r="B16" i="15"/>
  <c r="L15" i="15"/>
  <c r="K15" i="15"/>
  <c r="I15" i="15"/>
  <c r="H15" i="15"/>
  <c r="G15" i="15"/>
  <c r="F15" i="15"/>
  <c r="E15" i="15"/>
  <c r="D15" i="15"/>
  <c r="C15" i="15"/>
  <c r="B15" i="15"/>
  <c r="L11" i="15"/>
  <c r="K11" i="15"/>
  <c r="I11" i="15"/>
  <c r="H11" i="15"/>
  <c r="G11" i="15"/>
  <c r="F11" i="15"/>
  <c r="E11" i="15"/>
  <c r="D11" i="15"/>
  <c r="C11" i="15"/>
  <c r="B11" i="15"/>
  <c r="L10" i="15"/>
  <c r="K10" i="15"/>
  <c r="I10" i="15"/>
  <c r="H10" i="15"/>
  <c r="G10" i="15"/>
  <c r="F10" i="15"/>
  <c r="E10" i="15"/>
  <c r="D10" i="15"/>
  <c r="C10" i="15"/>
  <c r="B10" i="15"/>
  <c r="L6" i="15"/>
  <c r="K6" i="15"/>
  <c r="I6" i="15"/>
  <c r="H6" i="15"/>
  <c r="G6" i="15"/>
  <c r="F6" i="15"/>
  <c r="E6" i="15"/>
  <c r="D6" i="15"/>
  <c r="C6" i="15"/>
  <c r="B6" i="15"/>
  <c r="L5" i="15"/>
  <c r="K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0" i="1"/>
  <c r="B20" i="1"/>
  <c r="J21" i="15" l="1"/>
  <c r="C66" i="9"/>
  <c r="D4" i="9"/>
  <c r="F4" i="9"/>
  <c r="G4" i="9"/>
  <c r="D66" i="9"/>
  <c r="L66" i="9"/>
  <c r="F66" i="9"/>
  <c r="G66" i="9"/>
  <c r="M66" i="9"/>
  <c r="O66" i="9"/>
  <c r="P66" i="9"/>
  <c r="L4" i="9"/>
  <c r="M4" i="9"/>
  <c r="N25" i="7"/>
  <c r="D25" i="7"/>
  <c r="J3" i="17"/>
  <c r="O25" i="7" l="1"/>
  <c r="M24" i="7"/>
  <c r="L24" i="7"/>
  <c r="J25" i="7"/>
  <c r="E24" i="7"/>
  <c r="C24" i="7"/>
  <c r="B24" i="7"/>
  <c r="J2" i="9"/>
  <c r="J5" i="3" l="1"/>
  <c r="J6" i="3"/>
  <c r="J10" i="3"/>
  <c r="J11" i="3"/>
  <c r="J16" i="3"/>
  <c r="J17" i="3"/>
  <c r="J20" i="3"/>
  <c r="J21" i="3"/>
  <c r="D24" i="7"/>
  <c r="N24" i="7"/>
  <c r="O24" i="7"/>
  <c r="O23" i="7"/>
  <c r="M23" i="7"/>
  <c r="L23" i="7"/>
  <c r="J24" i="7"/>
  <c r="C23" i="7"/>
  <c r="B23" i="7"/>
  <c r="D23" i="7" l="1"/>
  <c r="N23" i="7"/>
  <c r="Q46" i="9"/>
  <c r="H21" i="2" l="1"/>
  <c r="H44" i="2"/>
  <c r="H6" i="2"/>
  <c r="H17" i="2"/>
  <c r="H40" i="2"/>
  <c r="H43" i="2"/>
  <c r="H35" i="2"/>
  <c r="E46" i="9"/>
  <c r="N46" i="9"/>
  <c r="H11" i="2"/>
  <c r="H46" i="9"/>
  <c r="H30" i="2"/>
  <c r="H45" i="2" l="1"/>
  <c r="H23" i="2"/>
  <c r="J23" i="7"/>
  <c r="E23" i="7"/>
  <c r="M47" i="15" l="1"/>
  <c r="M46" i="15"/>
  <c r="N23" i="9"/>
  <c r="G37" i="4"/>
  <c r="G7" i="4" l="1"/>
  <c r="G17" i="4"/>
  <c r="G27" i="4"/>
  <c r="G12" i="4"/>
  <c r="G32" i="4"/>
  <c r="E23" i="9"/>
  <c r="G41" i="4"/>
  <c r="G20" i="4"/>
  <c r="Q23" i="9"/>
  <c r="H23" i="9"/>
  <c r="G40" i="4"/>
  <c r="O22" i="7"/>
  <c r="J22" i="7"/>
  <c r="E22" i="7"/>
  <c r="G21" i="4" l="1"/>
  <c r="P55" i="9"/>
  <c r="G42" i="4"/>
  <c r="O31" i="9"/>
  <c r="H7" i="9" l="1"/>
  <c r="M24" i="17"/>
  <c r="P24" i="17" l="1"/>
  <c r="D24" i="17"/>
  <c r="G24" i="17"/>
  <c r="H13" i="17"/>
  <c r="Q13" i="17"/>
  <c r="H21" i="17"/>
  <c r="Q21" i="17"/>
  <c r="E5" i="17"/>
  <c r="E11" i="17"/>
  <c r="E13" i="17"/>
  <c r="H11" i="17"/>
  <c r="Q11" i="17"/>
  <c r="H19" i="17"/>
  <c r="Q19" i="17"/>
  <c r="F24" i="17"/>
  <c r="Q5" i="17"/>
  <c r="Q7" i="17"/>
  <c r="H9" i="17"/>
  <c r="Q9" i="17"/>
  <c r="E15" i="17"/>
  <c r="E17" i="17"/>
  <c r="E21" i="17"/>
  <c r="H17" i="17"/>
  <c r="E7" i="17"/>
  <c r="N7" i="17"/>
  <c r="H7" i="17"/>
  <c r="E9" i="17"/>
  <c r="N11" i="17"/>
  <c r="H15" i="17"/>
  <c r="E19" i="17"/>
  <c r="N19" i="17"/>
  <c r="C24" i="17"/>
  <c r="L24" i="17"/>
  <c r="Q17" i="17"/>
  <c r="O24" i="17"/>
  <c r="H5" i="17"/>
  <c r="N5" i="17"/>
  <c r="N9" i="17"/>
  <c r="N13" i="17"/>
  <c r="N17" i="17"/>
  <c r="N21" i="17"/>
  <c r="Q24" i="17" l="1"/>
  <c r="H24" i="17"/>
  <c r="R5" i="17"/>
  <c r="R21" i="17"/>
  <c r="R13" i="17"/>
  <c r="R19" i="17"/>
  <c r="R11" i="17"/>
  <c r="R9" i="17"/>
  <c r="R17" i="17"/>
  <c r="R7" i="17"/>
  <c r="I21" i="17"/>
  <c r="I15" i="17"/>
  <c r="I11" i="17"/>
  <c r="I9" i="17"/>
  <c r="I19" i="17"/>
  <c r="I13" i="17"/>
  <c r="I7" i="17"/>
  <c r="I17" i="17"/>
  <c r="I5" i="17"/>
  <c r="N24" i="17"/>
  <c r="E24" i="17"/>
  <c r="G37" i="16" l="1"/>
  <c r="G11" i="16"/>
  <c r="I45" i="15"/>
  <c r="I44" i="15"/>
  <c r="I36" i="15"/>
  <c r="I37" i="15" s="1"/>
  <c r="I12" i="15" l="1"/>
  <c r="I20" i="15"/>
  <c r="I32" i="15"/>
  <c r="G30" i="16"/>
  <c r="I7" i="15"/>
  <c r="I27" i="15"/>
  <c r="G23" i="16"/>
  <c r="I17" i="15"/>
  <c r="I41" i="15"/>
  <c r="G6" i="16"/>
  <c r="G18" i="16"/>
  <c r="I40" i="15"/>
  <c r="I21" i="15" l="1"/>
  <c r="I42" i="15"/>
  <c r="D36" i="15"/>
  <c r="D17" i="15" l="1"/>
  <c r="D18" i="3"/>
  <c r="D27" i="15"/>
  <c r="J7" i="4"/>
  <c r="D30" i="3"/>
  <c r="E22" i="3"/>
  <c r="I17" i="4"/>
  <c r="I37" i="4"/>
  <c r="J40" i="4"/>
  <c r="E44" i="3"/>
  <c r="D44" i="3"/>
  <c r="D7" i="15"/>
  <c r="E22" i="9"/>
  <c r="N22" i="9"/>
  <c r="J20" i="4"/>
  <c r="D12" i="15"/>
  <c r="D20" i="15"/>
  <c r="D21" i="15" s="1"/>
  <c r="D32" i="15"/>
  <c r="Q22" i="9"/>
  <c r="D22" i="3"/>
  <c r="D7" i="3"/>
  <c r="D40" i="3"/>
  <c r="E7" i="3"/>
  <c r="E18" i="3"/>
  <c r="E30" i="3"/>
  <c r="H27" i="9"/>
  <c r="Q27" i="9"/>
  <c r="J17" i="4"/>
  <c r="J27" i="4"/>
  <c r="J41" i="4"/>
  <c r="D41" i="15"/>
  <c r="E12" i="3"/>
  <c r="E35" i="3"/>
  <c r="I20" i="4"/>
  <c r="J37" i="4"/>
  <c r="H22" i="9"/>
  <c r="J12" i="4"/>
  <c r="D12" i="3"/>
  <c r="D35" i="3"/>
  <c r="I7" i="4"/>
  <c r="I27" i="4"/>
  <c r="N60" i="9"/>
  <c r="E27" i="9"/>
  <c r="H60" i="9"/>
  <c r="Q60" i="9"/>
  <c r="N27" i="9"/>
  <c r="E60" i="9"/>
  <c r="H10" i="9"/>
  <c r="E10" i="9"/>
  <c r="Q10" i="9"/>
  <c r="N10" i="9"/>
  <c r="D40" i="15"/>
  <c r="D37" i="15"/>
  <c r="J32" i="4"/>
  <c r="I12" i="4"/>
  <c r="I32" i="4"/>
  <c r="I41" i="4"/>
  <c r="I40" i="4"/>
  <c r="E40" i="3"/>
  <c r="E43" i="3"/>
  <c r="D43" i="3"/>
  <c r="E23" i="3" l="1"/>
  <c r="D23" i="3"/>
  <c r="D45" i="3"/>
  <c r="J21" i="4"/>
  <c r="I42" i="4"/>
  <c r="E45" i="3"/>
  <c r="I21" i="4"/>
  <c r="D42" i="15"/>
  <c r="J42" i="4"/>
  <c r="C18" i="9" l="1"/>
  <c r="C14" i="9"/>
  <c r="O21" i="7"/>
  <c r="J21" i="7"/>
  <c r="E21" i="7"/>
  <c r="D55" i="9" l="1"/>
  <c r="D18" i="9"/>
  <c r="D31" i="9"/>
  <c r="G31" i="9"/>
  <c r="G55" i="9"/>
  <c r="F31" i="9"/>
  <c r="M10" i="15"/>
  <c r="M18" i="15"/>
  <c r="C55" i="9"/>
  <c r="P4" i="16"/>
  <c r="C31" i="9"/>
  <c r="M5" i="15"/>
  <c r="M15" i="15"/>
  <c r="M6" i="15"/>
  <c r="M16" i="15"/>
  <c r="F55" i="9"/>
  <c r="M11" i="15"/>
  <c r="M19" i="15"/>
  <c r="G32" i="8" l="1"/>
  <c r="G18" i="8"/>
  <c r="G6" i="8"/>
  <c r="G12" i="8" s="1"/>
  <c r="G31" i="8"/>
  <c r="G10" i="8"/>
  <c r="G23" i="8" l="1"/>
  <c r="G28" i="8"/>
  <c r="G33" i="8" l="1"/>
  <c r="Q29" i="9" l="1"/>
  <c r="E29" i="9"/>
  <c r="H29" i="9"/>
  <c r="N29" i="9"/>
  <c r="F41" i="4" l="1"/>
  <c r="F20" i="4"/>
  <c r="F17" i="4"/>
  <c r="F40" i="4"/>
  <c r="F7" i="4"/>
  <c r="F27" i="4"/>
  <c r="F12" i="4"/>
  <c r="F32" i="4"/>
  <c r="F37" i="4"/>
  <c r="F21" i="4" l="1"/>
  <c r="F42" i="4"/>
  <c r="M14" i="9"/>
  <c r="D14" i="9"/>
  <c r="Q5" i="9"/>
  <c r="N5" i="9"/>
  <c r="H5" i="9"/>
  <c r="E5" i="9"/>
  <c r="E20" i="9"/>
  <c r="E19" i="9"/>
  <c r="E45" i="15"/>
  <c r="E44" i="15"/>
  <c r="L36" i="15"/>
  <c r="K36" i="15"/>
  <c r="H36" i="15"/>
  <c r="G36" i="15"/>
  <c r="F36" i="15"/>
  <c r="E36" i="15"/>
  <c r="C36" i="15"/>
  <c r="B36" i="15"/>
  <c r="L35" i="15"/>
  <c r="K35" i="15"/>
  <c r="H35" i="15"/>
  <c r="K30" i="15"/>
  <c r="P14" i="9" l="1"/>
  <c r="F18" i="9"/>
  <c r="G18" i="9"/>
  <c r="N7" i="9"/>
  <c r="G14" i="9"/>
  <c r="O18" i="9"/>
  <c r="P18" i="9"/>
  <c r="E21" i="9"/>
  <c r="E24" i="9"/>
  <c r="E25" i="9"/>
  <c r="Q16" i="9"/>
  <c r="H21" i="9"/>
  <c r="Q21" i="9"/>
  <c r="H24" i="9"/>
  <c r="Q24" i="9"/>
  <c r="H25" i="9"/>
  <c r="Q25" i="9"/>
  <c r="L14" i="9"/>
  <c r="O14" i="9"/>
  <c r="H6" i="9"/>
  <c r="E7" i="9"/>
  <c r="F14" i="9"/>
  <c r="N6" i="9"/>
  <c r="E16" i="9"/>
  <c r="E15" i="9"/>
  <c r="Q15" i="9"/>
  <c r="H16" i="9"/>
  <c r="L18" i="9"/>
  <c r="M18" i="9"/>
  <c r="Q7" i="9"/>
  <c r="H15" i="9"/>
  <c r="E14" i="9"/>
  <c r="N16" i="9"/>
  <c r="N15" i="9"/>
  <c r="Q6" i="9"/>
  <c r="E6" i="9"/>
  <c r="N21" i="9"/>
  <c r="N24" i="9"/>
  <c r="N25" i="9"/>
  <c r="K7" i="15"/>
  <c r="M23" i="16"/>
  <c r="F11" i="2"/>
  <c r="F21" i="2"/>
  <c r="F35" i="2"/>
  <c r="G6" i="2"/>
  <c r="G17" i="2"/>
  <c r="G30" i="2"/>
  <c r="G40" i="2"/>
  <c r="K37" i="15"/>
  <c r="M30" i="16"/>
  <c r="M6" i="16"/>
  <c r="G43" i="2"/>
  <c r="M37" i="16"/>
  <c r="F6" i="2"/>
  <c r="F17" i="2"/>
  <c r="F30" i="2"/>
  <c r="F40" i="2"/>
  <c r="G11" i="2"/>
  <c r="K32" i="15"/>
  <c r="K12" i="15"/>
  <c r="K27" i="15"/>
  <c r="K17" i="15"/>
  <c r="G35" i="2"/>
  <c r="M18" i="16"/>
  <c r="G21" i="2"/>
  <c r="K40" i="15"/>
  <c r="K20" i="15"/>
  <c r="M11" i="16"/>
  <c r="K41" i="15"/>
  <c r="F43" i="2"/>
  <c r="G44" i="2"/>
  <c r="F44" i="2"/>
  <c r="E4" i="9" l="1"/>
  <c r="E18" i="9"/>
  <c r="F45" i="2"/>
  <c r="G23" i="2"/>
  <c r="F23" i="2"/>
  <c r="G45" i="2"/>
  <c r="K21" i="15"/>
  <c r="K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K27" i="4"/>
  <c r="E27" i="15"/>
  <c r="C23" i="8"/>
  <c r="D35" i="2"/>
  <c r="B35" i="3"/>
  <c r="F35" i="3"/>
  <c r="H35" i="3"/>
  <c r="E32" i="4"/>
  <c r="B32" i="15"/>
  <c r="H32" i="15"/>
  <c r="L32" i="15"/>
  <c r="J31" i="8"/>
  <c r="D17" i="4"/>
  <c r="F17" i="15"/>
  <c r="L17" i="15"/>
  <c r="D20" i="4"/>
  <c r="B20" i="15"/>
  <c r="C17" i="2"/>
  <c r="F18" i="3"/>
  <c r="I18" i="3"/>
  <c r="D21" i="2"/>
  <c r="H22" i="3"/>
  <c r="C11" i="2"/>
  <c r="D11" i="2"/>
  <c r="K12" i="4"/>
  <c r="C12" i="15"/>
  <c r="E12" i="15"/>
  <c r="B7" i="15"/>
  <c r="L7" i="15"/>
  <c r="J49" i="3"/>
  <c r="I51" i="2" s="1"/>
  <c r="Q38" i="9"/>
  <c r="Q61" i="9"/>
  <c r="N33" i="9"/>
  <c r="H49" i="9"/>
  <c r="H32" i="9"/>
  <c r="H51" i="9"/>
  <c r="E44" i="9"/>
  <c r="O33" i="7"/>
  <c r="J33" i="7"/>
  <c r="E33" i="7"/>
  <c r="J47" i="2"/>
  <c r="N30" i="7"/>
  <c r="P30" i="7" s="1"/>
  <c r="N31" i="7"/>
  <c r="P31" i="7"/>
  <c r="D30" i="7"/>
  <c r="F30" i="7" s="1"/>
  <c r="D31" i="7"/>
  <c r="N29" i="7"/>
  <c r="P29" i="7" s="1"/>
  <c r="D29" i="7"/>
  <c r="F29" i="7" s="1"/>
  <c r="N27" i="7"/>
  <c r="P27" i="7" s="1"/>
  <c r="N28" i="7"/>
  <c r="P28" i="7" s="1"/>
  <c r="D27" i="7"/>
  <c r="F27" i="7" s="1"/>
  <c r="D28" i="7"/>
  <c r="N32" i="7"/>
  <c r="P32" i="7"/>
  <c r="I32" i="7"/>
  <c r="K32" i="7"/>
  <c r="D32" i="7"/>
  <c r="F32" i="7"/>
  <c r="I31" i="7"/>
  <c r="K31" i="7"/>
  <c r="F31" i="7"/>
  <c r="I30" i="7"/>
  <c r="K30" i="7" s="1"/>
  <c r="I29" i="7"/>
  <c r="K29" i="7"/>
  <c r="I28" i="7"/>
  <c r="K28" i="7"/>
  <c r="F28" i="7"/>
  <c r="I27" i="7"/>
  <c r="K27" i="7"/>
  <c r="M45" i="15"/>
  <c r="M44" i="15"/>
  <c r="P20" i="16"/>
  <c r="P8" i="16"/>
  <c r="J42" i="2"/>
  <c r="J37" i="2"/>
  <c r="J36" i="2"/>
  <c r="J32" i="2"/>
  <c r="J8" i="2"/>
  <c r="M34" i="4"/>
  <c r="M33" i="4"/>
  <c r="M14" i="4"/>
  <c r="B10" i="8"/>
  <c r="C10" i="8"/>
  <c r="D10" i="8"/>
  <c r="F10" i="8"/>
  <c r="I10" i="8"/>
  <c r="J10" i="8"/>
  <c r="K10" i="8"/>
  <c r="I33" i="8"/>
  <c r="K32" i="8" l="1"/>
  <c r="O37" i="16"/>
  <c r="H18" i="3"/>
  <c r="H23" i="3" s="1"/>
  <c r="C17" i="4"/>
  <c r="K37" i="4"/>
  <c r="K37" i="16"/>
  <c r="D32" i="8"/>
  <c r="I37" i="16"/>
  <c r="Q62" i="9"/>
  <c r="B18" i="3"/>
  <c r="E17" i="15"/>
  <c r="B37" i="16"/>
  <c r="F37" i="16"/>
  <c r="G48" i="9"/>
  <c r="G67" i="9" s="1"/>
  <c r="H44" i="3"/>
  <c r="J48" i="3"/>
  <c r="I50" i="2" s="1"/>
  <c r="J50" i="2" s="1"/>
  <c r="D30" i="16"/>
  <c r="I30" i="16"/>
  <c r="E35" i="9"/>
  <c r="N59" i="9"/>
  <c r="E61" i="9"/>
  <c r="E33" i="9"/>
  <c r="O11" i="16"/>
  <c r="E41" i="15"/>
  <c r="K41" i="4"/>
  <c r="N32" i="9"/>
  <c r="C23" i="16"/>
  <c r="K28" i="8"/>
  <c r="B22" i="3"/>
  <c r="K20" i="4"/>
  <c r="K17" i="4"/>
  <c r="B46" i="4"/>
  <c r="B47" i="4" s="1"/>
  <c r="M48" i="9"/>
  <c r="B44" i="3"/>
  <c r="D44" i="2"/>
  <c r="B18" i="8"/>
  <c r="N20" i="9"/>
  <c r="N18" i="16"/>
  <c r="N36" i="9"/>
  <c r="Q14" i="9"/>
  <c r="Q56" i="9"/>
  <c r="D6" i="16"/>
  <c r="C7" i="7"/>
  <c r="G18" i="3"/>
  <c r="H20" i="15"/>
  <c r="H17" i="4"/>
  <c r="J28" i="8"/>
  <c r="B28" i="8"/>
  <c r="H37" i="15"/>
  <c r="E40" i="2"/>
  <c r="B40" i="2"/>
  <c r="G40" i="15"/>
  <c r="O18" i="16"/>
  <c r="B27" i="15"/>
  <c r="B30" i="16"/>
  <c r="F30" i="16"/>
  <c r="N30" i="16"/>
  <c r="E18" i="16"/>
  <c r="K18" i="16"/>
  <c r="N42" i="9"/>
  <c r="Q42" i="9"/>
  <c r="Q40" i="9"/>
  <c r="Q53" i="9"/>
  <c r="E40" i="9"/>
  <c r="H36" i="9"/>
  <c r="E57" i="9"/>
  <c r="E6" i="2"/>
  <c r="F12" i="15"/>
  <c r="I22" i="3"/>
  <c r="I23" i="3" s="1"/>
  <c r="B17" i="15"/>
  <c r="F12" i="7"/>
  <c r="B12" i="7"/>
  <c r="J6" i="8"/>
  <c r="J12" i="8" s="1"/>
  <c r="D20" i="1"/>
  <c r="L32" i="8"/>
  <c r="L41" i="15"/>
  <c r="F41" i="15"/>
  <c r="B41" i="15"/>
  <c r="D41" i="4"/>
  <c r="C28" i="8"/>
  <c r="E40" i="15"/>
  <c r="K40" i="4"/>
  <c r="I18" i="16"/>
  <c r="E56" i="9"/>
  <c r="N44" i="9"/>
  <c r="E43" i="2"/>
  <c r="B43" i="2"/>
  <c r="G32" i="15"/>
  <c r="C32" i="15"/>
  <c r="G44" i="3"/>
  <c r="B23" i="16"/>
  <c r="H19" i="9"/>
  <c r="N14" i="9"/>
  <c r="Q57" i="9"/>
  <c r="Q20" i="9"/>
  <c r="H11" i="16"/>
  <c r="F6" i="16"/>
  <c r="B6" i="16"/>
  <c r="K11" i="16"/>
  <c r="E11" i="16"/>
  <c r="I6" i="16"/>
  <c r="H12" i="15"/>
  <c r="H12" i="4"/>
  <c r="G12" i="3"/>
  <c r="C21" i="2"/>
  <c r="C23" i="2" s="1"/>
  <c r="H20" i="4"/>
  <c r="H17" i="15"/>
  <c r="D32" i="4"/>
  <c r="I35" i="3"/>
  <c r="C35" i="3"/>
  <c r="L23" i="8"/>
  <c r="D23" i="8"/>
  <c r="L27" i="15"/>
  <c r="F27" i="15"/>
  <c r="J28" i="3"/>
  <c r="I28" i="2" s="1"/>
  <c r="J28" i="2" s="1"/>
  <c r="B5" i="5" s="1"/>
  <c r="J23" i="8"/>
  <c r="H33" i="8"/>
  <c r="C30" i="16"/>
  <c r="H30" i="16"/>
  <c r="Q32" i="9"/>
  <c r="C48" i="9"/>
  <c r="C67" i="9" s="1"/>
  <c r="C65" i="9" s="1"/>
  <c r="H62" i="9"/>
  <c r="G7" i="3"/>
  <c r="E7" i="7"/>
  <c r="C12" i="7"/>
  <c r="K6" i="8"/>
  <c r="K12" i="8" s="1"/>
  <c r="C44" i="3"/>
  <c r="E32" i="15"/>
  <c r="K32" i="4"/>
  <c r="D27" i="4"/>
  <c r="L18" i="8"/>
  <c r="D18" i="8"/>
  <c r="F31" i="8"/>
  <c r="I23" i="16"/>
  <c r="H12" i="9"/>
  <c r="H61" i="9"/>
  <c r="H33" i="9"/>
  <c r="H6" i="16"/>
  <c r="C6" i="16"/>
  <c r="E6" i="16"/>
  <c r="F7" i="3"/>
  <c r="I7" i="3"/>
  <c r="C7" i="3"/>
  <c r="B6" i="8"/>
  <c r="B12" i="8" s="1"/>
  <c r="B40" i="4"/>
  <c r="E23" i="16"/>
  <c r="K23" i="16"/>
  <c r="H44" i="9"/>
  <c r="E38" i="9"/>
  <c r="N34" i="9"/>
  <c r="N62" i="9"/>
  <c r="N57" i="9"/>
  <c r="Q12" i="9"/>
  <c r="Q37" i="9"/>
  <c r="K7" i="4"/>
  <c r="C7" i="4"/>
  <c r="I9" i="2"/>
  <c r="B17" i="2"/>
  <c r="D21" i="1"/>
  <c r="G41" i="15"/>
  <c r="M36" i="15"/>
  <c r="L36" i="4" s="1"/>
  <c r="M36" i="4" s="1"/>
  <c r="C16" i="5" s="1"/>
  <c r="B37" i="4"/>
  <c r="L31" i="8"/>
  <c r="D28" i="8"/>
  <c r="L40" i="15"/>
  <c r="D40" i="4"/>
  <c r="H40" i="3"/>
  <c r="B40" i="3"/>
  <c r="D40" i="2"/>
  <c r="F44" i="3"/>
  <c r="B32" i="8"/>
  <c r="L10" i="8"/>
  <c r="E49" i="9"/>
  <c r="Q44" i="9"/>
  <c r="Q51" i="9"/>
  <c r="Q49" i="9"/>
  <c r="H7" i="15"/>
  <c r="L12" i="15"/>
  <c r="D12" i="4"/>
  <c r="C12" i="3"/>
  <c r="C22" i="3"/>
  <c r="G40" i="3"/>
  <c r="C40" i="2"/>
  <c r="N38" i="9"/>
  <c r="Q35" i="9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J48" i="2"/>
  <c r="C49" i="2"/>
  <c r="J49" i="2" s="1"/>
  <c r="L31" i="9"/>
  <c r="L55" i="9"/>
  <c r="G6" i="7"/>
  <c r="C7" i="1" s="1"/>
  <c r="I10" i="2"/>
  <c r="J10" i="2" s="1"/>
  <c r="G11" i="7"/>
  <c r="C18" i="1" s="1"/>
  <c r="P5" i="16"/>
  <c r="M26" i="15"/>
  <c r="L26" i="4" s="1"/>
  <c r="M26" i="4" s="1"/>
  <c r="C6" i="5" s="1"/>
  <c r="C40" i="3"/>
  <c r="B23" i="8"/>
  <c r="N23" i="16"/>
  <c r="Q59" i="9"/>
  <c r="D37" i="4"/>
  <c r="B40" i="15"/>
  <c r="I19" i="2"/>
  <c r="J19" i="2" s="1"/>
  <c r="M8" i="8"/>
  <c r="G43" i="3"/>
  <c r="B27" i="4"/>
  <c r="L19" i="4"/>
  <c r="M19" i="4" s="1"/>
  <c r="D31" i="8"/>
  <c r="H42" i="9"/>
  <c r="H53" i="9"/>
  <c r="P48" i="9"/>
  <c r="H57" i="9"/>
  <c r="Q34" i="9"/>
  <c r="D7" i="4"/>
  <c r="J39" i="3"/>
  <c r="I39" i="2" s="1"/>
  <c r="J39" i="2" s="1"/>
  <c r="B16" i="5" s="1"/>
  <c r="B32" i="4"/>
  <c r="E35" i="2"/>
  <c r="B35" i="2"/>
  <c r="F23" i="8"/>
  <c r="D43" i="2"/>
  <c r="F23" i="16"/>
  <c r="O48" i="9"/>
  <c r="N11" i="16"/>
  <c r="L20" i="15"/>
  <c r="L21" i="15" s="1"/>
  <c r="C40" i="4"/>
  <c r="C31" i="8"/>
  <c r="F43" i="3"/>
  <c r="B41" i="4"/>
  <c r="C32" i="4"/>
  <c r="B18" i="16"/>
  <c r="F18" i="16"/>
  <c r="P21" i="16"/>
  <c r="H58" i="9"/>
  <c r="M31" i="9"/>
  <c r="N37" i="9"/>
  <c r="N56" i="9"/>
  <c r="E36" i="9"/>
  <c r="H7" i="3"/>
  <c r="C6" i="2"/>
  <c r="E7" i="15"/>
  <c r="G7" i="15"/>
  <c r="E7" i="4"/>
  <c r="I15" i="2"/>
  <c r="J15" i="2" s="1"/>
  <c r="H40" i="15"/>
  <c r="Q58" i="9"/>
  <c r="O55" i="9"/>
  <c r="O67" i="9" s="1"/>
  <c r="R8" i="9" s="1"/>
  <c r="D6" i="8"/>
  <c r="D12" i="8" s="1"/>
  <c r="M5" i="8"/>
  <c r="C19" i="1" s="1"/>
  <c r="M27" i="8"/>
  <c r="D16" i="5" s="1"/>
  <c r="C44" i="2"/>
  <c r="H23" i="16"/>
  <c r="Q33" i="9"/>
  <c r="P31" i="9"/>
  <c r="N49" i="9"/>
  <c r="L48" i="9"/>
  <c r="I4" i="2"/>
  <c r="J4" i="2" s="1"/>
  <c r="B5" i="1" s="1"/>
  <c r="C7" i="15"/>
  <c r="L5" i="4"/>
  <c r="M5" i="4" s="1"/>
  <c r="L16" i="4"/>
  <c r="M16" i="4" s="1"/>
  <c r="F20" i="15"/>
  <c r="F21" i="15" s="1"/>
  <c r="I30" i="3"/>
  <c r="I43" i="3"/>
  <c r="E32" i="9"/>
  <c r="J34" i="3"/>
  <c r="I34" i="2" s="1"/>
  <c r="J34" i="2" s="1"/>
  <c r="B11" i="5" s="1"/>
  <c r="J29" i="3"/>
  <c r="I29" i="2" s="1"/>
  <c r="F12" i="3"/>
  <c r="G35" i="3"/>
  <c r="M31" i="15"/>
  <c r="L31" i="4" s="1"/>
  <c r="F18" i="8"/>
  <c r="C30" i="2"/>
  <c r="I40" i="3"/>
  <c r="I44" i="3"/>
  <c r="M9" i="8"/>
  <c r="K30" i="16"/>
  <c r="P28" i="16"/>
  <c r="P17" i="16"/>
  <c r="H18" i="16"/>
  <c r="D23" i="16"/>
  <c r="H40" i="4"/>
  <c r="H37" i="4"/>
  <c r="J38" i="3"/>
  <c r="I38" i="2" s="1"/>
  <c r="F40" i="3"/>
  <c r="F28" i="8"/>
  <c r="F32" i="8"/>
  <c r="M16" i="8"/>
  <c r="D5" i="5" s="1"/>
  <c r="F48" i="9"/>
  <c r="F67" i="9" s="1"/>
  <c r="I8" i="9" s="1"/>
  <c r="G37" i="15"/>
  <c r="L18" i="4"/>
  <c r="M18" i="4" s="1"/>
  <c r="J32" i="8"/>
  <c r="E42" i="9"/>
  <c r="P10" i="16"/>
  <c r="B11" i="16"/>
  <c r="J51" i="2"/>
  <c r="I20" i="2"/>
  <c r="J20" i="2" s="1"/>
  <c r="G22" i="3"/>
  <c r="H41" i="4"/>
  <c r="M26" i="8"/>
  <c r="D15" i="5" s="1"/>
  <c r="C37" i="15"/>
  <c r="G30" i="3"/>
  <c r="L44" i="4"/>
  <c r="M44" i="4" s="1"/>
  <c r="N37" i="16"/>
  <c r="E53" i="9"/>
  <c r="H40" i="9"/>
  <c r="N35" i="9"/>
  <c r="N58" i="9"/>
  <c r="E59" i="9"/>
  <c r="E58" i="9"/>
  <c r="F11" i="16"/>
  <c r="L45" i="4"/>
  <c r="M45" i="4" s="1"/>
  <c r="F22" i="3"/>
  <c r="F23" i="3" s="1"/>
  <c r="B21" i="2"/>
  <c r="L37" i="15"/>
  <c r="E37" i="4"/>
  <c r="M30" i="15"/>
  <c r="L30" i="4" s="1"/>
  <c r="M30" i="4" s="1"/>
  <c r="C10" i="5" s="1"/>
  <c r="H27" i="15"/>
  <c r="M22" i="8"/>
  <c r="D11" i="5" s="1"/>
  <c r="G27" i="15"/>
  <c r="C41" i="15"/>
  <c r="E41" i="4"/>
  <c r="F30" i="3"/>
  <c r="M17" i="8"/>
  <c r="E30" i="16"/>
  <c r="N12" i="9"/>
  <c r="H37" i="16"/>
  <c r="H14" i="9"/>
  <c r="N51" i="9"/>
  <c r="Q36" i="9"/>
  <c r="K6" i="16"/>
  <c r="I11" i="16"/>
  <c r="D11" i="16"/>
  <c r="D6" i="2"/>
  <c r="L6" i="4"/>
  <c r="F7" i="7"/>
  <c r="E11" i="2"/>
  <c r="B11" i="2"/>
  <c r="B12" i="3"/>
  <c r="E20" i="15"/>
  <c r="C20" i="4"/>
  <c r="E37" i="15"/>
  <c r="B37" i="15"/>
  <c r="M21" i="8"/>
  <c r="H27" i="4"/>
  <c r="H56" i="9"/>
  <c r="E51" i="9"/>
  <c r="H38" i="9"/>
  <c r="N61" i="9"/>
  <c r="E34" i="9"/>
  <c r="O6" i="16"/>
  <c r="I5" i="2"/>
  <c r="B7" i="3"/>
  <c r="F7" i="15"/>
  <c r="H7" i="4"/>
  <c r="D7" i="7"/>
  <c r="I12" i="3"/>
  <c r="D17" i="2"/>
  <c r="D23" i="2" s="1"/>
  <c r="C17" i="15"/>
  <c r="E17" i="4"/>
  <c r="D12" i="7"/>
  <c r="E12" i="7"/>
  <c r="L6" i="8"/>
  <c r="H41" i="15"/>
  <c r="B31" i="8"/>
  <c r="J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E62" i="9"/>
  <c r="H59" i="9"/>
  <c r="H37" i="9"/>
  <c r="H34" i="9"/>
  <c r="B6" i="2"/>
  <c r="I16" i="2"/>
  <c r="C41" i="4"/>
  <c r="C40" i="15"/>
  <c r="M25" i="15"/>
  <c r="L25" i="4" s="1"/>
  <c r="C27" i="15"/>
  <c r="E40" i="4"/>
  <c r="E27" i="4"/>
  <c r="O30" i="16"/>
  <c r="P27" i="16"/>
  <c r="P16" i="16"/>
  <c r="D18" i="16"/>
  <c r="O23" i="16"/>
  <c r="P22" i="16"/>
  <c r="E37" i="16"/>
  <c r="P34" i="16"/>
  <c r="J12" i="5"/>
  <c r="J21" i="5"/>
  <c r="M4" i="8"/>
  <c r="B19" i="1" s="1"/>
  <c r="C6" i="8"/>
  <c r="K31" i="8"/>
  <c r="K23" i="8"/>
  <c r="C32" i="8"/>
  <c r="E12" i="9"/>
  <c r="B43" i="3"/>
  <c r="C11" i="16"/>
  <c r="P9" i="16"/>
  <c r="B26" i="7" s="1"/>
  <c r="B12" i="15"/>
  <c r="L10" i="4"/>
  <c r="M10" i="4" s="1"/>
  <c r="F40" i="15"/>
  <c r="M35" i="15"/>
  <c r="L35" i="4" s="1"/>
  <c r="F37" i="15"/>
  <c r="E44" i="2"/>
  <c r="E30" i="2"/>
  <c r="B44" i="2"/>
  <c r="B30" i="2"/>
  <c r="J33" i="3"/>
  <c r="I33" i="2" s="1"/>
  <c r="C18" i="8"/>
  <c r="D37" i="16"/>
  <c r="C37" i="16"/>
  <c r="P35" i="16"/>
  <c r="N19" i="9"/>
  <c r="N40" i="9"/>
  <c r="N53" i="9"/>
  <c r="L11" i="4"/>
  <c r="M11" i="4" s="1"/>
  <c r="E37" i="9"/>
  <c r="Q19" i="9"/>
  <c r="L15" i="4"/>
  <c r="M15" i="4" s="1"/>
  <c r="D48" i="9"/>
  <c r="D67" i="9" s="1"/>
  <c r="M55" i="9"/>
  <c r="N6" i="16"/>
  <c r="B7" i="7"/>
  <c r="F32" i="15"/>
  <c r="C43" i="2"/>
  <c r="C35" i="2"/>
  <c r="D21" i="4"/>
  <c r="C18" i="16"/>
  <c r="H35" i="9"/>
  <c r="H20" i="9"/>
  <c r="B7" i="4"/>
  <c r="C12" i="4"/>
  <c r="H12" i="3"/>
  <c r="C18" i="3"/>
  <c r="G10" i="7"/>
  <c r="B18" i="1" s="1"/>
  <c r="C37" i="4"/>
  <c r="H43" i="3"/>
  <c r="H30" i="3"/>
  <c r="C30" i="3"/>
  <c r="C43" i="3"/>
  <c r="M67" i="9" l="1"/>
  <c r="M65" i="9" s="1"/>
  <c r="P67" i="9"/>
  <c r="P65" i="9" s="1"/>
  <c r="L67" i="9"/>
  <c r="L65" i="9" s="1"/>
  <c r="C26" i="7"/>
  <c r="J22" i="3"/>
  <c r="F25" i="7"/>
  <c r="G65" i="9"/>
  <c r="D65" i="9"/>
  <c r="J5" i="2"/>
  <c r="C5" i="1" s="1"/>
  <c r="F20" i="1"/>
  <c r="F21" i="1"/>
  <c r="I46" i="9"/>
  <c r="R46" i="9"/>
  <c r="M20" i="15"/>
  <c r="M7" i="15"/>
  <c r="B21" i="15"/>
  <c r="M17" i="15"/>
  <c r="M12" i="15"/>
  <c r="M6" i="4"/>
  <c r="C6" i="1" s="1"/>
  <c r="B6" i="1"/>
  <c r="H21" i="4"/>
  <c r="N31" i="9"/>
  <c r="E55" i="9"/>
  <c r="G21" i="15"/>
  <c r="B23" i="3"/>
  <c r="B42" i="15"/>
  <c r="K42" i="4"/>
  <c r="L42" i="15"/>
  <c r="H48" i="9"/>
  <c r="N48" i="9"/>
  <c r="L7" i="4"/>
  <c r="M7" i="4" s="1"/>
  <c r="K21" i="4"/>
  <c r="I45" i="3"/>
  <c r="N55" i="9"/>
  <c r="Q18" i="9"/>
  <c r="E48" i="9"/>
  <c r="C21" i="4"/>
  <c r="B23" i="2"/>
  <c r="B33" i="1"/>
  <c r="M10" i="8"/>
  <c r="H45" i="3"/>
  <c r="H18" i="9"/>
  <c r="J33" i="8"/>
  <c r="E21" i="15"/>
  <c r="G45" i="3"/>
  <c r="D45" i="2"/>
  <c r="C45" i="3"/>
  <c r="L12" i="8"/>
  <c r="G23" i="3"/>
  <c r="B33" i="8"/>
  <c r="G42" i="15"/>
  <c r="H21" i="15"/>
  <c r="E42" i="15"/>
  <c r="Q48" i="9"/>
  <c r="B42" i="4"/>
  <c r="D7" i="1"/>
  <c r="I17" i="2"/>
  <c r="J17" i="2" s="1"/>
  <c r="Q31" i="9"/>
  <c r="J12" i="3"/>
  <c r="J44" i="3"/>
  <c r="E45" i="2"/>
  <c r="L33" i="8"/>
  <c r="E21" i="4"/>
  <c r="D17" i="5"/>
  <c r="F45" i="3"/>
  <c r="F42" i="15"/>
  <c r="D18" i="1"/>
  <c r="C10" i="1"/>
  <c r="L27" i="4"/>
  <c r="M27" i="4" s="1"/>
  <c r="C21" i="15"/>
  <c r="D42" i="4"/>
  <c r="D33" i="8"/>
  <c r="I11" i="2"/>
  <c r="J11" i="2" s="1"/>
  <c r="J9" i="2"/>
  <c r="F33" i="8"/>
  <c r="J35" i="3"/>
  <c r="J40" i="3"/>
  <c r="I44" i="2"/>
  <c r="J44" i="2" s="1"/>
  <c r="M32" i="15"/>
  <c r="M25" i="4"/>
  <c r="C5" i="5" s="1"/>
  <c r="J30" i="3"/>
  <c r="P6" i="16"/>
  <c r="J7" i="3"/>
  <c r="M23" i="8"/>
  <c r="B21" i="4"/>
  <c r="M18" i="8"/>
  <c r="M31" i="8"/>
  <c r="G12" i="7"/>
  <c r="P11" i="16"/>
  <c r="J22" i="5"/>
  <c r="J29" i="2"/>
  <c r="B6" i="5" s="1"/>
  <c r="B7" i="5" s="1"/>
  <c r="I21" i="2"/>
  <c r="J21" i="2" s="1"/>
  <c r="H42" i="4"/>
  <c r="P23" i="16"/>
  <c r="L32" i="4"/>
  <c r="M32" i="4" s="1"/>
  <c r="C37" i="1"/>
  <c r="H42" i="15"/>
  <c r="Q55" i="9"/>
  <c r="E23" i="2"/>
  <c r="M27" i="15"/>
  <c r="B16" i="1"/>
  <c r="C17" i="1"/>
  <c r="P37" i="16"/>
  <c r="L41" i="4"/>
  <c r="M41" i="4" s="1"/>
  <c r="P18" i="16"/>
  <c r="D19" i="1"/>
  <c r="I6" i="2"/>
  <c r="J6" i="2" s="1"/>
  <c r="H31" i="9"/>
  <c r="L20" i="4"/>
  <c r="M20" i="4" s="1"/>
  <c r="M32" i="8"/>
  <c r="G7" i="7"/>
  <c r="P30" i="16"/>
  <c r="M28" i="8"/>
  <c r="J38" i="2"/>
  <c r="B15" i="5" s="1"/>
  <c r="B17" i="5" s="1"/>
  <c r="I40" i="2"/>
  <c r="J40" i="2" s="1"/>
  <c r="M31" i="4"/>
  <c r="I30" i="2"/>
  <c r="J30" i="2" s="1"/>
  <c r="E36" i="1"/>
  <c r="C45" i="2"/>
  <c r="E31" i="9"/>
  <c r="I35" i="2"/>
  <c r="J35" i="2" s="1"/>
  <c r="I43" i="2"/>
  <c r="D6" i="5"/>
  <c r="J33" i="2"/>
  <c r="B10" i="5" s="1"/>
  <c r="K33" i="8"/>
  <c r="M37" i="15"/>
  <c r="J18" i="3"/>
  <c r="C23" i="3"/>
  <c r="L17" i="4"/>
  <c r="M17" i="4" s="1"/>
  <c r="D10" i="5"/>
  <c r="C12" i="8"/>
  <c r="M6" i="8"/>
  <c r="E42" i="4"/>
  <c r="C42" i="15"/>
  <c r="M40" i="15"/>
  <c r="M41" i="15"/>
  <c r="C33" i="8"/>
  <c r="N18" i="9"/>
  <c r="B45" i="2"/>
  <c r="L37" i="4"/>
  <c r="L40" i="4"/>
  <c r="M40" i="4" s="1"/>
  <c r="M35" i="4"/>
  <c r="C15" i="5" s="1"/>
  <c r="L12" i="4"/>
  <c r="M12" i="4" s="1"/>
  <c r="E16" i="5"/>
  <c r="F16" i="5" s="1"/>
  <c r="J16" i="2"/>
  <c r="C16" i="1" s="1"/>
  <c r="C42" i="4"/>
  <c r="B45" i="3"/>
  <c r="J43" i="3"/>
  <c r="H55" i="9"/>
  <c r="D26" i="7" l="1"/>
  <c r="B8" i="1"/>
  <c r="F23" i="7"/>
  <c r="D5" i="1"/>
  <c r="R31" i="9"/>
  <c r="R23" i="9"/>
  <c r="I48" i="9"/>
  <c r="I23" i="9"/>
  <c r="F18" i="1"/>
  <c r="R48" i="9"/>
  <c r="O65" i="9"/>
  <c r="R67" i="9"/>
  <c r="R52" i="9"/>
  <c r="R5" i="9"/>
  <c r="R10" i="9"/>
  <c r="R27" i="9"/>
  <c r="R60" i="9"/>
  <c r="R22" i="9"/>
  <c r="R7" i="9"/>
  <c r="R25" i="9"/>
  <c r="R38" i="9"/>
  <c r="R6" i="9"/>
  <c r="R24" i="9"/>
  <c r="R37" i="9"/>
  <c r="R56" i="9"/>
  <c r="R61" i="9"/>
  <c r="R12" i="9"/>
  <c r="R62" i="9"/>
  <c r="R16" i="9"/>
  <c r="R21" i="9"/>
  <c r="R35" i="9"/>
  <c r="R53" i="9"/>
  <c r="R20" i="9"/>
  <c r="R36" i="9"/>
  <c r="R51" i="9"/>
  <c r="R59" i="9"/>
  <c r="R15" i="9"/>
  <c r="R29" i="9"/>
  <c r="R42" i="9"/>
  <c r="R32" i="9"/>
  <c r="R40" i="9"/>
  <c r="R57" i="9"/>
  <c r="R19" i="9"/>
  <c r="R33" i="9"/>
  <c r="R49" i="9"/>
  <c r="R34" i="9"/>
  <c r="R44" i="9"/>
  <c r="R58" i="9"/>
  <c r="R66" i="9"/>
  <c r="R4" i="9"/>
  <c r="R14" i="9"/>
  <c r="R18" i="9"/>
  <c r="R55" i="9"/>
  <c r="F65" i="9"/>
  <c r="I5" i="9"/>
  <c r="I7" i="9"/>
  <c r="I10" i="9"/>
  <c r="I56" i="9"/>
  <c r="I27" i="9"/>
  <c r="I60" i="9"/>
  <c r="I22" i="9"/>
  <c r="I15" i="9"/>
  <c r="I21" i="9"/>
  <c r="I32" i="9"/>
  <c r="I36" i="9"/>
  <c r="I42" i="9"/>
  <c r="I53" i="9"/>
  <c r="I57" i="9"/>
  <c r="I33" i="9"/>
  <c r="I59" i="9"/>
  <c r="I61" i="9"/>
  <c r="I38" i="9"/>
  <c r="I62" i="9"/>
  <c r="I12" i="9"/>
  <c r="I20" i="9"/>
  <c r="I29" i="9"/>
  <c r="I35" i="9"/>
  <c r="I40" i="9"/>
  <c r="I51" i="9"/>
  <c r="I6" i="9"/>
  <c r="I58" i="9"/>
  <c r="I16" i="9"/>
  <c r="I24" i="9"/>
  <c r="I37" i="9"/>
  <c r="I44" i="9"/>
  <c r="I19" i="9"/>
  <c r="I25" i="9"/>
  <c r="I34" i="9"/>
  <c r="I49" i="9"/>
  <c r="I66" i="9"/>
  <c r="I31" i="9"/>
  <c r="I55" i="9"/>
  <c r="I18" i="9"/>
  <c r="I4" i="9"/>
  <c r="I14" i="9"/>
  <c r="M21" i="15"/>
  <c r="D6" i="1"/>
  <c r="C8" i="1"/>
  <c r="C33" i="1" s="1"/>
  <c r="M12" i="8"/>
  <c r="B10" i="1"/>
  <c r="F19" i="1"/>
  <c r="I45" i="2"/>
  <c r="J45" i="2" s="1"/>
  <c r="J45" i="3"/>
  <c r="F7" i="1"/>
  <c r="I23" i="2"/>
  <c r="J23" i="2" s="1"/>
  <c r="B27" i="1"/>
  <c r="B21" i="5"/>
  <c r="B28" i="1"/>
  <c r="L42" i="4"/>
  <c r="M42" i="4" s="1"/>
  <c r="M42" i="15"/>
  <c r="J23" i="3"/>
  <c r="B17" i="1"/>
  <c r="J43" i="2"/>
  <c r="C11" i="5"/>
  <c r="C28" i="1"/>
  <c r="C27" i="1"/>
  <c r="M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E6" i="5"/>
  <c r="F6" i="5" s="1"/>
  <c r="C7" i="5"/>
  <c r="E5" i="5"/>
  <c r="F26" i="7" l="1"/>
  <c r="F24" i="7"/>
  <c r="D10" i="1"/>
  <c r="D17" i="1"/>
  <c r="F5" i="1"/>
  <c r="R65" i="9"/>
  <c r="I65" i="9"/>
  <c r="D8" i="1"/>
  <c r="F8" i="1" s="1"/>
  <c r="F6" i="1"/>
  <c r="C11" i="1"/>
  <c r="M26" i="7" s="1"/>
  <c r="B32" i="1"/>
  <c r="B11" i="1"/>
  <c r="L26" i="7" s="1"/>
  <c r="D28" i="1"/>
  <c r="B22" i="1"/>
  <c r="B29" i="1"/>
  <c r="C12" i="5"/>
  <c r="C21" i="5"/>
  <c r="E21" i="5" s="1"/>
  <c r="F21" i="5" s="1"/>
  <c r="E11" i="5"/>
  <c r="F11" i="5" s="1"/>
  <c r="C29" i="1"/>
  <c r="F5" i="5"/>
  <c r="E7" i="5"/>
  <c r="F16" i="1"/>
  <c r="D22" i="5"/>
  <c r="F15" i="5"/>
  <c r="E17" i="5"/>
  <c r="D27" i="1" s="1"/>
  <c r="B22" i="5"/>
  <c r="E20" i="5"/>
  <c r="H6" i="5"/>
  <c r="F10" i="5"/>
  <c r="H26" i="7" l="1"/>
  <c r="N26" i="7"/>
  <c r="P26" i="7" s="1"/>
  <c r="G26" i="7"/>
  <c r="H24" i="7"/>
  <c r="H25" i="7"/>
  <c r="G25" i="7"/>
  <c r="F10" i="1"/>
  <c r="F17" i="1"/>
  <c r="D22" i="1"/>
  <c r="F22" i="1" s="1"/>
  <c r="G23" i="7"/>
  <c r="P23" i="7"/>
  <c r="H23" i="7"/>
  <c r="H21" i="5"/>
  <c r="F28" i="1"/>
  <c r="C32" i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I26" i="7" l="1"/>
  <c r="P25" i="7"/>
  <c r="I25" i="7"/>
  <c r="K25" i="7" s="1"/>
  <c r="P24" i="7"/>
  <c r="G24" i="7"/>
  <c r="I23" i="7"/>
  <c r="K23" i="7" s="1"/>
  <c r="F22" i="5"/>
  <c r="H22" i="5" s="1"/>
  <c r="H20" i="5"/>
  <c r="K26" i="7" l="1"/>
  <c r="I24" i="7"/>
  <c r="K24" i="7" l="1"/>
  <c r="Q66" i="9"/>
  <c r="Q4" i="9"/>
  <c r="N4" i="9"/>
  <c r="N67" i="9" l="1"/>
  <c r="N66" i="9"/>
  <c r="Q65" i="9"/>
  <c r="Q67" i="9"/>
  <c r="H66" i="9"/>
  <c r="H4" i="9"/>
  <c r="N65" i="9" l="1"/>
  <c r="H67" i="9"/>
  <c r="I67" i="9" s="1"/>
  <c r="H65" i="9"/>
  <c r="E67" i="9"/>
  <c r="E66" i="9"/>
  <c r="E65" i="9" l="1"/>
  <c r="C21" i="7" l="1"/>
  <c r="B21" i="7"/>
  <c r="D21" i="7" l="1"/>
  <c r="F21" i="7" l="1"/>
  <c r="L21" i="7"/>
  <c r="M21" i="7"/>
  <c r="H21" i="7" l="1"/>
  <c r="N21" i="7"/>
  <c r="G21" i="7"/>
  <c r="I21" i="7" l="1"/>
  <c r="P21" i="7"/>
  <c r="K21" i="7" l="1"/>
  <c r="B22" i="7" l="1"/>
  <c r="C22" i="7" l="1"/>
  <c r="C33" i="7" s="1"/>
  <c r="B33" i="7"/>
  <c r="D22" i="7" l="1"/>
  <c r="F22" i="7" s="1"/>
  <c r="D33" i="7" l="1"/>
  <c r="F33" i="7" s="1"/>
  <c r="L22" i="7"/>
  <c r="M22" i="7" l="1"/>
  <c r="M33" i="7" s="1"/>
  <c r="G22" i="7"/>
  <c r="L33" i="7"/>
  <c r="N22" i="7" l="1"/>
  <c r="P22" i="7" s="1"/>
  <c r="H22" i="7"/>
  <c r="H33" i="7" s="1"/>
  <c r="G33" i="7"/>
  <c r="N33" i="7" l="1"/>
  <c r="P33" i="7" s="1"/>
  <c r="I22" i="7"/>
  <c r="K22" i="7" s="1"/>
  <c r="I33" i="7" l="1"/>
  <c r="K33" i="7" s="1"/>
  <c r="D33" i="1" l="1"/>
  <c r="I16" i="5"/>
  <c r="G5" i="1"/>
  <c r="I5" i="1" l="1"/>
  <c r="G16" i="1"/>
  <c r="I16" i="1" l="1"/>
  <c r="G6" i="1"/>
  <c r="G27" i="1"/>
  <c r="I15" i="5"/>
  <c r="I10" i="5"/>
  <c r="K15" i="5" l="1"/>
  <c r="I17" i="5"/>
  <c r="K17" i="5" s="1"/>
  <c r="G7" i="1"/>
  <c r="G8" i="1" s="1"/>
  <c r="G19" i="1"/>
  <c r="I5" i="5"/>
  <c r="G20" i="1"/>
  <c r="I6" i="1"/>
  <c r="G21" i="1"/>
  <c r="I27" i="1"/>
  <c r="K10" i="5"/>
  <c r="I6" i="5"/>
  <c r="G17" i="1"/>
  <c r="D32" i="1"/>
  <c r="I20" i="5"/>
  <c r="I7" i="1" l="1"/>
  <c r="I21" i="1"/>
  <c r="I20" i="1"/>
  <c r="I19" i="1"/>
  <c r="K5" i="5"/>
  <c r="I8" i="1"/>
  <c r="G18" i="1"/>
  <c r="G22" i="1" s="1"/>
  <c r="I22" i="1" s="1"/>
  <c r="K20" i="5"/>
  <c r="I17" i="1"/>
  <c r="D34" i="1"/>
  <c r="E33" i="1" s="1"/>
  <c r="I7" i="5"/>
  <c r="K7" i="5" s="1"/>
  <c r="K6" i="5"/>
  <c r="G28" i="1"/>
  <c r="I11" i="5"/>
  <c r="E32" i="1" l="1"/>
  <c r="I18" i="1"/>
  <c r="I28" i="1"/>
  <c r="G29" i="1"/>
  <c r="I29" i="1" s="1"/>
  <c r="K11" i="5"/>
  <c r="I12" i="5"/>
  <c r="K12" i="5" s="1"/>
  <c r="G10" i="1"/>
  <c r="I21" i="5"/>
  <c r="K21" i="5" l="1"/>
  <c r="I22" i="5"/>
  <c r="K22" i="5" s="1"/>
  <c r="I10" i="1"/>
  <c r="G11" i="1"/>
  <c r="I11" i="1" s="1"/>
</calcChain>
</file>

<file path=xl/sharedStrings.xml><?xml version="1.0" encoding="utf-8"?>
<sst xmlns="http://schemas.openxmlformats.org/spreadsheetml/2006/main" count="598" uniqueCount="229">
  <si>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</si>
  <si>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</si>
  <si>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</si>
  <si>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</si>
  <si>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</si>
  <si>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</si>
  <si>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</si>
  <si>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</si>
  <si>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</si>
  <si>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</si>
  <si>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</si>
  <si>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</si>
  <si>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</si>
  <si>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</si>
  <si>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</si>
  <si>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</si>
  <si>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</si>
  <si>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</si>
  <si>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</si>
  <si>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</si>
  <si>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</si>
  <si>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</si>
  <si>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</si>
  <si>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</si>
  <si>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</si>
  <si>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</si>
  <si>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</si>
  <si>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</si>
  <si>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</si>
  <si>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</si>
  <si>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</si>
  <si>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</si>
  <si>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</si>
  <si>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</si>
  <si>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</si>
  <si>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</si>
  <si>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</si>
  <si>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</si>
  <si>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</si>
  <si>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</si>
  <si>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</si>
  <si>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</si>
  <si>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</si>
  <si>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</si>
  <si>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</si>
  <si>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</si>
  <si>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</si>
  <si>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</si>
  <si>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</si>
  <si>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</si>
  <si>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</si>
  <si>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</si>
  <si>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</si>
  <si>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</si>
  <si>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</si>
  <si>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</si>
  <si>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</si>
  <si>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</si>
  <si>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</si>
  <si>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</si>
  <si>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</si>
  <si>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</si>
  <si>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</si>
  <si>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</si>
  <si>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</si>
  <si>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</si>
  <si>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</si>
  <si>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</si>
  <si>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</si>
  <si>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</si>
  <si>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</si>
  <si>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</si>
  <si>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</si>
  <si>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</si>
  <si>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</si>
  <si>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</si>
  <si>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</si>
  <si>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</si>
  <si>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</si>
  <si>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</si>
  <si>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</si>
  <si>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</si>
  <si>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</si>
  <si>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</si>
  <si>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</si>
  <si>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</si>
  <si>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</si>
  <si>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</si>
  <si>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</si>
  <si>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</si>
  <si>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</si>
  <si>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</si>
  <si>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</si>
  <si>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</si>
  <si>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</si>
  <si>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</si>
  <si>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</si>
  <si>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</si>
  <si>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</si>
  <si>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</si>
  <si>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</si>
  <si>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</si>
  <si>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</si>
  <si>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</si>
  <si>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</si>
  <si>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</si>
  <si>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</si>
  <si>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</si>
  <si>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</si>
  <si>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</si>
  <si>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</si>
  <si>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</si>
  <si>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</si>
  <si>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</si>
  <si>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</si>
  <si>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</si>
  <si>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</si>
  <si>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</si>
  <si>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</si>
  <si>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</si>
  <si>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</si>
  <si>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</si>
  <si>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</si>
  <si>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</si>
  <si>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</si>
  <si>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</si>
  <si>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</si>
  <si>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</si>
  <si>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</si>
  <si>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</si>
  <si>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</si>
  <si>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</si>
  <si>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</si>
  <si>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</si>
  <si>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</si>
  <si>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</si>
  <si>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</si>
  <si>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</si>
  <si>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</si>
  <si>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</si>
  <si>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</si>
  <si>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</si>
  <si>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</si>
  <si>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</si>
  <si>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</si>
  <si>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</si>
  <si>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</si>
  <si>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</si>
  <si>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</si>
  <si>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</si>
  <si>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</si>
  <si>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</si>
  <si>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</si>
  <si>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</si>
  <si>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</si>
  <si>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</si>
  <si>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</si>
  <si>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</si>
  <si>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</si>
  <si>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</si>
  <si>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</si>
  <si>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</si>
  <si>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</si>
  <si>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</si>
  <si>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</si>
  <si>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</si>
  <si>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</si>
  <si>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</si>
  <si>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</si>
  <si>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Compass - Delta</t>
  </si>
  <si>
    <t>Sky West - Delta</t>
  </si>
  <si>
    <t>Monthly Total 2016</t>
  </si>
  <si>
    <t>Y-T-D 2016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</si>
  <si>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</si>
  <si>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</si>
  <si>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</si>
  <si>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</si>
  <si>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</si>
  <si>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</si>
  <si>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</si>
  <si>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</si>
  <si>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</si>
  <si>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</si>
  <si>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</si>
  <si>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</si>
  <si>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</si>
  <si>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</si>
  <si>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</si>
  <si>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</si>
  <si>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</si>
  <si>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</si>
  <si>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</si>
  <si>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</si>
  <si>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</si>
  <si>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Atlas Air -DHL</t>
  </si>
  <si>
    <t>IFL</t>
  </si>
  <si>
    <t>Monthly Total 2017</t>
  </si>
  <si>
    <t>Y-T-D 2017</t>
  </si>
  <si>
    <t xml:space="preserve">2016 YTD 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</si>
  <si>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</si>
  <si>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</si>
  <si>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</si>
  <si>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</si>
  <si>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</si>
  <si>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</si>
  <si>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</si>
  <si>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</si>
  <si>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</si>
  <si>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Air Georgian - Air Canada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</si>
  <si>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</si>
  <si>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</si>
  <si>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</si>
  <si>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</si>
  <si>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</si>
  <si>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</si>
  <si>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</si>
  <si>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2017 % Pax</t>
  </si>
  <si>
    <t>2017 % Cargo</t>
  </si>
  <si>
    <t>Cargo Operations</t>
  </si>
  <si>
    <t>Included in UPS</t>
  </si>
  <si>
    <t xml:space="preserve"> </t>
  </si>
  <si>
    <t>Sky West - American</t>
  </si>
  <si>
    <t>KLM</t>
  </si>
  <si>
    <t>Landing</t>
  </si>
  <si>
    <t>Departure</t>
  </si>
  <si>
    <t>June 2016</t>
  </si>
  <si>
    <t>Air Regional - Air Canada</t>
  </si>
  <si>
    <t>Sky Regional</t>
  </si>
  <si>
    <t>Sky Regional - Air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</si>
</sst>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0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41" fontId="0" fillId="0" borderId="68" xfId="0" applyNumberFormat="1" applyBorder="1" applyAlignment="1">
      <alignment horizontal="center"/>
    </xf>
    <xf numFmtId="41" fontId="0" fillId="0" borderId="69" xfId="0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7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72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3" xfId="0" applyFont="1" applyBorder="1"/>
    <xf numFmtId="0" fontId="19" fillId="0" borderId="74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4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5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43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8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10" fontId="13" fillId="0" borderId="79" xfId="0" applyNumberFormat="1" applyFont="1" applyBorder="1"/>
    <xf numFmtId="10" fontId="13" fillId="0" borderId="80" xfId="0" applyNumberFormat="1" applyFont="1" applyBorder="1"/>
    <xf numFmtId="0" fontId="7" fillId="0" borderId="36" xfId="0" applyFont="1" applyFill="1" applyBorder="1"/>
    <xf numFmtId="0" fontId="1" fillId="0" borderId="15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81" xfId="0" applyNumberFormat="1" applyFont="1" applyBorder="1"/>
    <xf numFmtId="165" fontId="29" fillId="0" borderId="57" xfId="1" applyNumberFormat="1" applyFont="1" applyBorder="1"/>
    <xf numFmtId="10" fontId="29" fillId="0" borderId="81" xfId="0" applyNumberFormat="1" applyFont="1" applyBorder="1"/>
    <xf numFmtId="10" fontId="29" fillId="0" borderId="58" xfId="3" applyNumberFormat="1" applyFont="1" applyBorder="1"/>
    <xf numFmtId="165" fontId="29" fillId="0" borderId="81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43" fontId="0" fillId="0" borderId="0" xfId="0" applyNumberFormat="1"/>
    <xf numFmtId="0" fontId="1" fillId="0" borderId="0" xfId="0" applyFont="1"/>
    <xf numFmtId="0" fontId="4" fillId="0" borderId="21" xfId="0" applyFont="1" applyFill="1" applyBorder="1" applyAlignment="1">
      <alignment horizontal="center" vertical="center"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6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7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3" xfId="0" applyFill="1" applyBorder="1" applyAlignment="1">
      <alignment vertical="center" textRotation="255"/>
    </xf>
    <xf numFmtId="0" fontId="0" fillId="7" borderId="74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une%2020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7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April%20201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May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anuary%20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February%20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March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2600403</v>
          </cell>
          <cell r="G5">
            <v>13555333</v>
          </cell>
        </row>
        <row r="6">
          <cell r="D6">
            <v>753772</v>
          </cell>
          <cell r="G6">
            <v>4157625</v>
          </cell>
        </row>
        <row r="7">
          <cell r="D7">
            <v>787</v>
          </cell>
          <cell r="G7">
            <v>2391</v>
          </cell>
        </row>
        <row r="10">
          <cell r="D10">
            <v>101908</v>
          </cell>
          <cell r="G10">
            <v>564163</v>
          </cell>
        </row>
        <row r="16">
          <cell r="D16">
            <v>18780</v>
          </cell>
          <cell r="G16">
            <v>102823</v>
          </cell>
        </row>
        <row r="17">
          <cell r="D17">
            <v>14145</v>
          </cell>
          <cell r="G17">
            <v>80632</v>
          </cell>
        </row>
        <row r="18">
          <cell r="D18">
            <v>16</v>
          </cell>
          <cell r="G18">
            <v>35</v>
          </cell>
        </row>
        <row r="19">
          <cell r="D19">
            <v>1220</v>
          </cell>
          <cell r="G19">
            <v>6730</v>
          </cell>
        </row>
        <row r="20">
          <cell r="D20">
            <v>2741</v>
          </cell>
          <cell r="G20">
            <v>11116</v>
          </cell>
        </row>
        <row r="21">
          <cell r="D21">
            <v>132</v>
          </cell>
          <cell r="G21">
            <v>649</v>
          </cell>
        </row>
        <row r="27">
          <cell r="D27">
            <v>14776.93446358668</v>
          </cell>
          <cell r="G27">
            <v>89287.182780936913</v>
          </cell>
        </row>
        <row r="28">
          <cell r="D28">
            <v>1256.2830357231001</v>
          </cell>
          <cell r="G28">
            <v>5675.9045389394232</v>
          </cell>
        </row>
        <row r="32">
          <cell r="B32">
            <v>920758</v>
          </cell>
          <cell r="D32">
            <v>5130395</v>
          </cell>
        </row>
        <row r="33">
          <cell r="B33">
            <v>754967</v>
          </cell>
          <cell r="D33">
            <v>3696252</v>
          </cell>
        </row>
      </sheetData>
      <sheetData sheetId="1"/>
      <sheetData sheetId="2"/>
      <sheetData sheetId="3"/>
      <sheetData sheetId="4"/>
      <sheetData sheetId="5">
        <row r="26">
          <cell r="D26">
            <v>244833</v>
          </cell>
          <cell r="I26">
            <v>3212037</v>
          </cell>
          <cell r="N26">
            <v>3456870</v>
          </cell>
        </row>
      </sheetData>
      <sheetData sheetId="6"/>
      <sheetData sheetId="7">
        <row r="5">
          <cell r="F5">
            <v>9037.2573530485406</v>
          </cell>
          <cell r="I5">
            <v>46251.890001242311</v>
          </cell>
        </row>
        <row r="6">
          <cell r="F6">
            <v>496.58839075229997</v>
          </cell>
          <cell r="I6">
            <v>2717.779218365924</v>
          </cell>
        </row>
        <row r="10">
          <cell r="F10">
            <v>5739.6771105381395</v>
          </cell>
          <cell r="I10">
            <v>43035.292779694595</v>
          </cell>
        </row>
        <row r="11">
          <cell r="F11">
            <v>759.69464497080003</v>
          </cell>
          <cell r="I11">
            <v>2958.1253205735002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14776.93446358668</v>
          </cell>
        </row>
        <row r="21">
          <cell r="F21">
            <v>1256.2830357231001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133972</v>
          </cell>
          <cell r="C24">
            <v>117419</v>
          </cell>
          <cell r="L24">
            <v>1594995</v>
          </cell>
          <cell r="M24">
            <v>1500069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226655</v>
          </cell>
          <cell r="I24">
            <v>2776287</v>
          </cell>
          <cell r="N24">
            <v>3002942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198145</v>
          </cell>
          <cell r="I25">
            <v>2966121</v>
          </cell>
          <cell r="N25">
            <v>3164266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11407962</v>
          </cell>
        </row>
        <row r="6">
          <cell r="G6">
            <v>3137044</v>
          </cell>
        </row>
        <row r="7">
          <cell r="G7">
            <v>1275</v>
          </cell>
        </row>
        <row r="10">
          <cell r="G10">
            <v>488990</v>
          </cell>
        </row>
        <row r="16">
          <cell r="G16">
            <v>89969</v>
          </cell>
        </row>
        <row r="17">
          <cell r="G17">
            <v>62994</v>
          </cell>
        </row>
        <row r="18">
          <cell r="G18">
            <v>13</v>
          </cell>
        </row>
        <row r="19">
          <cell r="G19">
            <v>6038</v>
          </cell>
        </row>
        <row r="20">
          <cell r="G20">
            <v>8988</v>
          </cell>
        </row>
        <row r="21">
          <cell r="G21">
            <v>207</v>
          </cell>
        </row>
        <row r="27">
          <cell r="G27">
            <v>81424.742366774735</v>
          </cell>
        </row>
        <row r="28">
          <cell r="G28">
            <v>9876.4091342493502</v>
          </cell>
        </row>
        <row r="32">
          <cell r="D32">
            <v>4490287</v>
          </cell>
        </row>
        <row r="33">
          <cell r="D33">
            <v>2760715</v>
          </cell>
        </row>
      </sheetData>
      <sheetData sheetId="1"/>
      <sheetData sheetId="2"/>
      <sheetData sheetId="3"/>
      <sheetData sheetId="4"/>
      <sheetData sheetId="5">
        <row r="25">
          <cell r="B25">
            <v>109004</v>
          </cell>
          <cell r="C25">
            <v>116438</v>
          </cell>
          <cell r="L25">
            <v>1612456</v>
          </cell>
          <cell r="M25">
            <v>1593222</v>
          </cell>
        </row>
      </sheetData>
      <sheetData sheetId="6"/>
      <sheetData sheetId="7">
        <row r="5">
          <cell r="I5">
            <v>44246.164415295149</v>
          </cell>
        </row>
        <row r="6">
          <cell r="I6">
            <v>4222.5598647778697</v>
          </cell>
        </row>
        <row r="10">
          <cell r="I10">
            <v>37178.577951479579</v>
          </cell>
        </row>
        <row r="11">
          <cell r="I11">
            <v>5653.8492694714796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81424.742366774735</v>
          </cell>
        </row>
        <row r="21">
          <cell r="I21">
            <v>9876.4091342493484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aska"/>
      <sheetName val="America West"/>
      <sheetName val="American"/>
      <sheetName val="Continental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Southwest"/>
      <sheetName val="Spirit"/>
      <sheetName val="Sun Country"/>
      <sheetName val="United"/>
      <sheetName val="US Airways"/>
      <sheetName val="AirCanada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Atlas Air"/>
      <sheetName val="Charter Misc"/>
      <sheetName val="Airborne"/>
      <sheetName val="DHL"/>
      <sheetName val="IF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E4">
            <v>125</v>
          </cell>
        </row>
        <row r="5">
          <cell r="FE5">
            <v>125</v>
          </cell>
        </row>
        <row r="8">
          <cell r="FE8"/>
        </row>
        <row r="9">
          <cell r="FE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44</v>
          </cell>
          <cell r="EZ19">
            <v>232</v>
          </cell>
          <cell r="FA19">
            <v>232</v>
          </cell>
          <cell r="FB19">
            <v>254</v>
          </cell>
          <cell r="FC19">
            <v>240</v>
          </cell>
          <cell r="FD19">
            <v>260</v>
          </cell>
          <cell r="FE19">
            <v>250</v>
          </cell>
        </row>
        <row r="22">
          <cell r="FE22">
            <v>458</v>
          </cell>
        </row>
        <row r="23">
          <cell r="FE23">
            <v>465</v>
          </cell>
        </row>
        <row r="27">
          <cell r="FE27"/>
        </row>
        <row r="28">
          <cell r="FE2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276</v>
          </cell>
          <cell r="EZ41">
            <v>663</v>
          </cell>
          <cell r="FA41">
            <v>811</v>
          </cell>
          <cell r="FB41">
            <v>857</v>
          </cell>
          <cell r="FC41">
            <v>778</v>
          </cell>
          <cell r="FD41">
            <v>805</v>
          </cell>
          <cell r="FE41">
            <v>923</v>
          </cell>
        </row>
        <row r="47">
          <cell r="FE47"/>
        </row>
        <row r="48">
          <cell r="FE48"/>
        </row>
        <row r="52">
          <cell r="FE52"/>
        </row>
        <row r="53">
          <cell r="FE53"/>
        </row>
        <row r="57">
          <cell r="FE57"/>
        </row>
        <row r="58">
          <cell r="FE58"/>
        </row>
      </sheetData>
      <sheetData sheetId="3"/>
      <sheetData sheetId="4">
        <row r="8">
          <cell r="FE8"/>
        </row>
        <row r="9">
          <cell r="FE9"/>
        </row>
        <row r="15">
          <cell r="EZ15"/>
          <cell r="FA15"/>
          <cell r="FB15"/>
          <cell r="FC15"/>
          <cell r="FD15">
            <v>18</v>
          </cell>
          <cell r="FE15">
            <v>29</v>
          </cell>
        </row>
        <row r="16">
          <cell r="EZ16"/>
          <cell r="FA16"/>
          <cell r="FB16"/>
          <cell r="FC16"/>
          <cell r="FD16">
            <v>18</v>
          </cell>
          <cell r="FE16">
            <v>29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36</v>
          </cell>
          <cell r="EQ19">
            <v>54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36</v>
          </cell>
          <cell r="FE19">
            <v>58</v>
          </cell>
        </row>
        <row r="32">
          <cell r="EZ32"/>
          <cell r="FA32"/>
          <cell r="FB32"/>
          <cell r="FC32"/>
          <cell r="FD32">
            <v>4443</v>
          </cell>
          <cell r="FE32">
            <v>7581</v>
          </cell>
        </row>
        <row r="33">
          <cell r="EZ33"/>
          <cell r="FA33"/>
          <cell r="FB33"/>
          <cell r="FC33"/>
          <cell r="FD33">
            <v>4261</v>
          </cell>
          <cell r="FE33">
            <v>7429</v>
          </cell>
        </row>
        <row r="37">
          <cell r="EZ37"/>
          <cell r="FA37"/>
          <cell r="FB37"/>
          <cell r="FC37"/>
          <cell r="FD37">
            <v>12</v>
          </cell>
          <cell r="FE37">
            <v>8</v>
          </cell>
        </row>
        <row r="38">
          <cell r="EZ38"/>
          <cell r="FA38"/>
          <cell r="FB38"/>
          <cell r="FC38"/>
          <cell r="FD38">
            <v>5</v>
          </cell>
          <cell r="FE38">
            <v>5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4037</v>
          </cell>
          <cell r="EQ41">
            <v>13120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8704</v>
          </cell>
          <cell r="FE41">
            <v>15010</v>
          </cell>
        </row>
        <row r="47">
          <cell r="FE47">
            <v>338850</v>
          </cell>
        </row>
        <row r="48">
          <cell r="FE48"/>
        </row>
        <row r="52">
          <cell r="FE52">
            <v>28615</v>
          </cell>
        </row>
        <row r="53">
          <cell r="FE53"/>
        </row>
        <row r="57">
          <cell r="FE57"/>
        </row>
        <row r="58">
          <cell r="FE58"/>
        </row>
      </sheetData>
      <sheetData sheetId="5">
        <row r="4">
          <cell r="FE4">
            <v>89</v>
          </cell>
        </row>
        <row r="5">
          <cell r="FE5">
            <v>89</v>
          </cell>
        </row>
        <row r="8">
          <cell r="FE8"/>
        </row>
        <row r="9">
          <cell r="FE9"/>
        </row>
        <row r="19">
          <cell r="EL19">
            <v>124</v>
          </cell>
          <cell r="EM19">
            <v>142</v>
          </cell>
          <cell r="EN19">
            <v>124</v>
          </cell>
          <cell r="EO19">
            <v>120</v>
          </cell>
          <cell r="EP19">
            <v>126</v>
          </cell>
          <cell r="EQ19">
            <v>156</v>
          </cell>
          <cell r="EZ19">
            <v>114</v>
          </cell>
          <cell r="FA19">
            <v>62</v>
          </cell>
          <cell r="FB19">
            <v>102</v>
          </cell>
          <cell r="FC19">
            <v>121</v>
          </cell>
          <cell r="FD19">
            <v>158</v>
          </cell>
          <cell r="FE19">
            <v>178</v>
          </cell>
        </row>
        <row r="22">
          <cell r="FE22">
            <v>13796</v>
          </cell>
        </row>
        <row r="23">
          <cell r="FE23">
            <v>13500</v>
          </cell>
        </row>
        <row r="27">
          <cell r="FE27">
            <v>522</v>
          </cell>
        </row>
        <row r="28">
          <cell r="FE28">
            <v>491</v>
          </cell>
        </row>
        <row r="41">
          <cell r="EL41">
            <v>18654</v>
          </cell>
          <cell r="EM41">
            <v>17722</v>
          </cell>
          <cell r="EN41">
            <v>19359</v>
          </cell>
          <cell r="EO41">
            <v>15698</v>
          </cell>
          <cell r="EP41">
            <v>18420</v>
          </cell>
          <cell r="EQ41">
            <v>23807</v>
          </cell>
          <cell r="EZ41">
            <v>15185</v>
          </cell>
          <cell r="FA41">
            <v>8520</v>
          </cell>
          <cell r="FB41">
            <v>15746</v>
          </cell>
          <cell r="FC41">
            <v>17638</v>
          </cell>
          <cell r="FD41">
            <v>22390</v>
          </cell>
          <cell r="FE41">
            <v>27296</v>
          </cell>
        </row>
        <row r="47">
          <cell r="FE47">
            <v>31546</v>
          </cell>
        </row>
        <row r="48">
          <cell r="FE48">
            <v>50713</v>
          </cell>
        </row>
        <row r="52">
          <cell r="FE52">
            <v>7613</v>
          </cell>
        </row>
        <row r="53">
          <cell r="FE53">
            <v>3562</v>
          </cell>
        </row>
        <row r="57">
          <cell r="FE57"/>
        </row>
        <row r="58">
          <cell r="FE58"/>
        </row>
      </sheetData>
      <sheetData sheetId="6"/>
      <sheetData sheetId="7">
        <row r="4">
          <cell r="FE4">
            <v>761</v>
          </cell>
        </row>
        <row r="5">
          <cell r="FE5">
            <v>761</v>
          </cell>
        </row>
        <row r="8">
          <cell r="FE8"/>
        </row>
        <row r="9">
          <cell r="FE9"/>
        </row>
        <row r="19">
          <cell r="EL19">
            <v>1451</v>
          </cell>
          <cell r="EM19">
            <v>1348</v>
          </cell>
          <cell r="EN19">
            <v>1431</v>
          </cell>
          <cell r="EO19">
            <v>1355</v>
          </cell>
          <cell r="EP19">
            <v>1494</v>
          </cell>
          <cell r="EQ19">
            <v>1464</v>
          </cell>
          <cell r="EZ19">
            <v>1485</v>
          </cell>
          <cell r="FA19">
            <v>1390</v>
          </cell>
          <cell r="FB19">
            <v>1623</v>
          </cell>
          <cell r="FC19">
            <v>1498</v>
          </cell>
          <cell r="FD19">
            <v>1502</v>
          </cell>
          <cell r="FE19">
            <v>1522</v>
          </cell>
        </row>
        <row r="22">
          <cell r="FE22">
            <v>95360</v>
          </cell>
        </row>
        <row r="23">
          <cell r="FE23">
            <v>91273</v>
          </cell>
        </row>
        <row r="27">
          <cell r="FE27">
            <v>3732</v>
          </cell>
        </row>
        <row r="28">
          <cell r="FE28">
            <v>3949</v>
          </cell>
        </row>
        <row r="41">
          <cell r="EL41">
            <v>178110</v>
          </cell>
          <cell r="EM41">
            <v>165408</v>
          </cell>
          <cell r="EN41">
            <v>185017</v>
          </cell>
          <cell r="EO41">
            <v>164201</v>
          </cell>
          <cell r="EP41">
            <v>197797</v>
          </cell>
          <cell r="EQ41">
            <v>195863</v>
          </cell>
          <cell r="EZ41">
            <v>159472</v>
          </cell>
          <cell r="FA41">
            <v>160767</v>
          </cell>
          <cell r="FB41">
            <v>201414</v>
          </cell>
          <cell r="FC41">
            <v>175346</v>
          </cell>
          <cell r="FD41">
            <v>174826</v>
          </cell>
          <cell r="FE41">
            <v>186633</v>
          </cell>
        </row>
        <row r="47">
          <cell r="FE47">
            <v>52103</v>
          </cell>
        </row>
        <row r="48">
          <cell r="FE48">
            <v>43452</v>
          </cell>
        </row>
        <row r="52">
          <cell r="FE52">
            <v>14791</v>
          </cell>
        </row>
        <row r="53">
          <cell r="FE53">
            <v>66996</v>
          </cell>
        </row>
        <row r="57">
          <cell r="FE57"/>
        </row>
        <row r="58">
          <cell r="FE58"/>
        </row>
      </sheetData>
      <sheetData sheetId="8"/>
      <sheetData sheetId="9">
        <row r="4">
          <cell r="FE4">
            <v>75</v>
          </cell>
        </row>
        <row r="5">
          <cell r="FE5">
            <v>75</v>
          </cell>
        </row>
        <row r="8">
          <cell r="FE8"/>
        </row>
        <row r="9">
          <cell r="FE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36</v>
          </cell>
          <cell r="EZ19">
            <v>151</v>
          </cell>
          <cell r="FA19">
            <v>145</v>
          </cell>
          <cell r="FB19">
            <v>166</v>
          </cell>
          <cell r="FC19">
            <v>146</v>
          </cell>
          <cell r="FD19">
            <v>166</v>
          </cell>
          <cell r="FE19">
            <v>150</v>
          </cell>
        </row>
        <row r="22">
          <cell r="FE22">
            <v>474</v>
          </cell>
        </row>
        <row r="23">
          <cell r="FE23">
            <v>486</v>
          </cell>
        </row>
        <row r="27">
          <cell r="FE27"/>
        </row>
        <row r="28">
          <cell r="FE2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109</v>
          </cell>
          <cell r="EZ41">
            <v>1054</v>
          </cell>
          <cell r="FA41">
            <v>983</v>
          </cell>
          <cell r="FB41">
            <v>1085</v>
          </cell>
          <cell r="FC41">
            <v>927</v>
          </cell>
          <cell r="FD41">
            <v>1007</v>
          </cell>
          <cell r="FE41">
            <v>960</v>
          </cell>
        </row>
        <row r="47">
          <cell r="FE47"/>
        </row>
        <row r="48">
          <cell r="FE48"/>
        </row>
        <row r="52">
          <cell r="FE52"/>
        </row>
        <row r="53">
          <cell r="FE53"/>
        </row>
        <row r="57">
          <cell r="FE57"/>
        </row>
        <row r="58">
          <cell r="FE58"/>
        </row>
      </sheetData>
      <sheetData sheetId="10">
        <row r="8">
          <cell r="FE8"/>
        </row>
        <row r="9">
          <cell r="FE9"/>
        </row>
        <row r="15">
          <cell r="EZ15"/>
          <cell r="FA15"/>
          <cell r="FB15"/>
          <cell r="FC15"/>
          <cell r="FD15">
            <v>9</v>
          </cell>
          <cell r="FE15">
            <v>14</v>
          </cell>
        </row>
        <row r="16">
          <cell r="EZ16"/>
          <cell r="FA16"/>
          <cell r="FB16"/>
          <cell r="FC16"/>
          <cell r="FD16">
            <v>9</v>
          </cell>
          <cell r="FE16">
            <v>14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26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18</v>
          </cell>
          <cell r="FE19">
            <v>28</v>
          </cell>
        </row>
        <row r="32">
          <cell r="EZ32"/>
          <cell r="FA32"/>
          <cell r="FB32"/>
          <cell r="FC32"/>
          <cell r="FD32">
            <v>1411</v>
          </cell>
          <cell r="FE32">
            <v>3048</v>
          </cell>
        </row>
        <row r="33">
          <cell r="EZ33"/>
          <cell r="FA33"/>
          <cell r="FB33"/>
          <cell r="FC33"/>
          <cell r="FD33">
            <v>2027</v>
          </cell>
          <cell r="FE33">
            <v>3496</v>
          </cell>
        </row>
        <row r="37">
          <cell r="EZ37"/>
          <cell r="FA37"/>
          <cell r="FB37"/>
          <cell r="FC37"/>
          <cell r="FD37">
            <v>19</v>
          </cell>
          <cell r="FE37">
            <v>39</v>
          </cell>
        </row>
        <row r="38">
          <cell r="EZ38"/>
          <cell r="FA38"/>
          <cell r="FB38"/>
          <cell r="FC38"/>
          <cell r="FD38">
            <v>33</v>
          </cell>
          <cell r="FE38">
            <v>29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5728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3438</v>
          </cell>
          <cell r="FE41">
            <v>6544</v>
          </cell>
        </row>
        <row r="47">
          <cell r="FE47">
            <v>67928</v>
          </cell>
        </row>
        <row r="48">
          <cell r="FE48"/>
        </row>
        <row r="52">
          <cell r="FE52"/>
        </row>
        <row r="53">
          <cell r="FE53"/>
        </row>
        <row r="57">
          <cell r="FE57"/>
        </row>
        <row r="58">
          <cell r="FE58"/>
        </row>
      </sheetData>
      <sheetData sheetId="11">
        <row r="4">
          <cell r="FE4">
            <v>6186</v>
          </cell>
        </row>
        <row r="5">
          <cell r="FE5">
            <v>6180</v>
          </cell>
        </row>
        <row r="8">
          <cell r="FE8">
            <v>3</v>
          </cell>
        </row>
        <row r="9">
          <cell r="FE9">
            <v>11</v>
          </cell>
        </row>
        <row r="15">
          <cell r="EZ15">
            <v>479</v>
          </cell>
          <cell r="FA15">
            <v>459</v>
          </cell>
          <cell r="FB15">
            <v>584</v>
          </cell>
          <cell r="FC15">
            <v>417</v>
          </cell>
          <cell r="FD15">
            <v>402</v>
          </cell>
          <cell r="FE15">
            <v>403</v>
          </cell>
        </row>
        <row r="16">
          <cell r="EZ16">
            <v>482</v>
          </cell>
          <cell r="FA16">
            <v>458</v>
          </cell>
          <cell r="FB16">
            <v>586</v>
          </cell>
          <cell r="FC16">
            <v>418</v>
          </cell>
          <cell r="FD16">
            <v>400</v>
          </cell>
          <cell r="FE16">
            <v>403</v>
          </cell>
        </row>
        <row r="19">
          <cell r="EL19">
            <v>9717</v>
          </cell>
          <cell r="EM19">
            <v>9522</v>
          </cell>
          <cell r="EN19">
            <v>11856</v>
          </cell>
          <cell r="EO19">
            <v>11033</v>
          </cell>
          <cell r="EP19">
            <v>11342</v>
          </cell>
          <cell r="EQ19">
            <v>12231</v>
          </cell>
          <cell r="EZ19">
            <v>10013</v>
          </cell>
          <cell r="FA19">
            <v>9416</v>
          </cell>
          <cell r="FB19">
            <v>11607</v>
          </cell>
          <cell r="FC19">
            <v>11530</v>
          </cell>
          <cell r="FD19">
            <v>12068</v>
          </cell>
          <cell r="FE19">
            <v>13186</v>
          </cell>
        </row>
        <row r="22">
          <cell r="FE22">
            <v>849502</v>
          </cell>
        </row>
        <row r="23">
          <cell r="FE23">
            <v>843375</v>
          </cell>
        </row>
        <row r="27">
          <cell r="FE27">
            <v>31153</v>
          </cell>
        </row>
        <row r="28">
          <cell r="FE28">
            <v>31253</v>
          </cell>
        </row>
        <row r="32">
          <cell r="EZ32">
            <v>76571</v>
          </cell>
          <cell r="FA32">
            <v>72852</v>
          </cell>
          <cell r="FB32">
            <v>98938</v>
          </cell>
          <cell r="FC32">
            <v>75976</v>
          </cell>
          <cell r="FD32">
            <v>66473</v>
          </cell>
          <cell r="FE32">
            <v>71764</v>
          </cell>
        </row>
        <row r="33">
          <cell r="EZ33">
            <v>72286</v>
          </cell>
          <cell r="FA33">
            <v>72995</v>
          </cell>
          <cell r="FB33">
            <v>99064</v>
          </cell>
          <cell r="FC33">
            <v>70371</v>
          </cell>
          <cell r="FD33">
            <v>71277</v>
          </cell>
          <cell r="FE33">
            <v>73788</v>
          </cell>
        </row>
        <row r="37">
          <cell r="EZ37">
            <v>2186</v>
          </cell>
          <cell r="FA37">
            <v>2201</v>
          </cell>
          <cell r="FB37">
            <v>2334</v>
          </cell>
          <cell r="FC37">
            <v>2154</v>
          </cell>
          <cell r="FD37">
            <v>1974</v>
          </cell>
          <cell r="FE37">
            <v>2011</v>
          </cell>
        </row>
        <row r="38">
          <cell r="EZ38">
            <v>2286</v>
          </cell>
          <cell r="FA38">
            <v>2141</v>
          </cell>
          <cell r="FB38">
            <v>2469</v>
          </cell>
          <cell r="FC38">
            <v>1999</v>
          </cell>
          <cell r="FD38">
            <v>1836</v>
          </cell>
          <cell r="FE38">
            <v>1967</v>
          </cell>
        </row>
        <row r="41">
          <cell r="EL41">
            <v>1280361</v>
          </cell>
          <cell r="EM41">
            <v>1266852</v>
          </cell>
          <cell r="EN41">
            <v>1679282</v>
          </cell>
          <cell r="EO41">
            <v>1479591</v>
          </cell>
          <cell r="EP41">
            <v>1559499</v>
          </cell>
          <cell r="EQ41">
            <v>1757305</v>
          </cell>
          <cell r="EZ41">
            <v>1293152</v>
          </cell>
          <cell r="FA41">
            <v>1245416</v>
          </cell>
          <cell r="FB41">
            <v>1674585</v>
          </cell>
          <cell r="FC41">
            <v>1559075</v>
          </cell>
          <cell r="FD41">
            <v>1656695</v>
          </cell>
          <cell r="FE41">
            <v>1838429</v>
          </cell>
        </row>
        <row r="47">
          <cell r="FE47">
            <v>5070928</v>
          </cell>
        </row>
        <row r="48">
          <cell r="FE48">
            <v>1393377</v>
          </cell>
        </row>
        <row r="52">
          <cell r="FE52">
            <v>2713326</v>
          </cell>
        </row>
        <row r="53">
          <cell r="FE53">
            <v>1585154</v>
          </cell>
        </row>
        <row r="57">
          <cell r="FE57"/>
        </row>
        <row r="58">
          <cell r="FE58"/>
        </row>
        <row r="70">
          <cell r="FE70">
            <v>389639</v>
          </cell>
        </row>
        <row r="71">
          <cell r="FE71">
            <v>453736</v>
          </cell>
        </row>
        <row r="73">
          <cell r="FE73">
            <v>34090</v>
          </cell>
        </row>
        <row r="74">
          <cell r="FE74">
            <v>39698</v>
          </cell>
        </row>
      </sheetData>
      <sheetData sheetId="12">
        <row r="4">
          <cell r="FE4">
            <v>90</v>
          </cell>
        </row>
        <row r="5">
          <cell r="FE5">
            <v>90</v>
          </cell>
        </row>
        <row r="8">
          <cell r="FE8"/>
        </row>
        <row r="9">
          <cell r="FE9"/>
        </row>
        <row r="19">
          <cell r="EL19">
            <v>148</v>
          </cell>
          <cell r="EM19">
            <v>158</v>
          </cell>
          <cell r="EN19">
            <v>186</v>
          </cell>
          <cell r="EO19">
            <v>190</v>
          </cell>
          <cell r="EP19">
            <v>196</v>
          </cell>
          <cell r="EQ19">
            <v>200</v>
          </cell>
          <cell r="EZ19">
            <v>178</v>
          </cell>
          <cell r="FA19">
            <v>160</v>
          </cell>
          <cell r="FB19">
            <v>172</v>
          </cell>
          <cell r="FC19">
            <v>175</v>
          </cell>
          <cell r="FD19">
            <v>186</v>
          </cell>
          <cell r="FE19">
            <v>180</v>
          </cell>
        </row>
        <row r="22">
          <cell r="FE22">
            <v>10830</v>
          </cell>
        </row>
        <row r="23">
          <cell r="FE23">
            <v>11947</v>
          </cell>
        </row>
        <row r="27">
          <cell r="FE27">
            <v>113</v>
          </cell>
        </row>
        <row r="28">
          <cell r="FE28">
            <v>149</v>
          </cell>
        </row>
        <row r="41">
          <cell r="EL41">
            <v>23064</v>
          </cell>
          <cell r="EM41">
            <v>22648</v>
          </cell>
          <cell r="EN41">
            <v>26128</v>
          </cell>
          <cell r="EO41">
            <v>26953</v>
          </cell>
          <cell r="EP41">
            <v>28867</v>
          </cell>
          <cell r="EQ41">
            <v>29721</v>
          </cell>
          <cell r="EZ41">
            <v>29207</v>
          </cell>
          <cell r="FA41">
            <v>27143</v>
          </cell>
          <cell r="FB41">
            <v>31560</v>
          </cell>
          <cell r="FC41">
            <v>27963</v>
          </cell>
          <cell r="FD41">
            <v>22573</v>
          </cell>
          <cell r="FE41">
            <v>22777</v>
          </cell>
        </row>
        <row r="47">
          <cell r="FE47"/>
        </row>
        <row r="48">
          <cell r="FE48"/>
        </row>
        <row r="52">
          <cell r="FE52"/>
        </row>
        <row r="53">
          <cell r="FE53"/>
        </row>
        <row r="57">
          <cell r="FE57"/>
        </row>
        <row r="58">
          <cell r="FE58"/>
        </row>
      </sheetData>
      <sheetData sheetId="13">
        <row r="4">
          <cell r="FE4"/>
        </row>
        <row r="5">
          <cell r="FE5"/>
        </row>
        <row r="8">
          <cell r="FE8"/>
        </row>
        <row r="9">
          <cell r="FE9"/>
        </row>
        <row r="19">
          <cell r="EL19">
            <v>143</v>
          </cell>
          <cell r="EM19">
            <v>134</v>
          </cell>
          <cell r="EN19">
            <v>108</v>
          </cell>
          <cell r="EO19">
            <v>118</v>
          </cell>
          <cell r="EP19">
            <v>64</v>
          </cell>
          <cell r="EQ19">
            <v>4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</row>
        <row r="22">
          <cell r="FE22"/>
        </row>
        <row r="23">
          <cell r="FE23"/>
        </row>
        <row r="27">
          <cell r="FE27"/>
        </row>
        <row r="28">
          <cell r="FE28"/>
        </row>
        <row r="41">
          <cell r="EL41">
            <v>376</v>
          </cell>
          <cell r="EM41">
            <v>402</v>
          </cell>
          <cell r="EN41">
            <v>304</v>
          </cell>
          <cell r="EO41">
            <v>322</v>
          </cell>
          <cell r="EP41">
            <v>140</v>
          </cell>
          <cell r="EQ41">
            <v>13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</row>
        <row r="47">
          <cell r="FE47"/>
        </row>
        <row r="48">
          <cell r="FE48"/>
        </row>
        <row r="52">
          <cell r="FE52"/>
        </row>
        <row r="53">
          <cell r="FE53"/>
        </row>
        <row r="57">
          <cell r="FE57"/>
        </row>
        <row r="58">
          <cell r="FE58"/>
        </row>
      </sheetData>
      <sheetData sheetId="14">
        <row r="8">
          <cell r="FE8"/>
        </row>
        <row r="9">
          <cell r="FE9"/>
        </row>
        <row r="15">
          <cell r="EZ15">
            <v>16</v>
          </cell>
          <cell r="FA15">
            <v>14</v>
          </cell>
          <cell r="FB15">
            <v>19</v>
          </cell>
          <cell r="FC15">
            <v>22</v>
          </cell>
          <cell r="FD15">
            <v>29</v>
          </cell>
          <cell r="FE15">
            <v>29</v>
          </cell>
        </row>
        <row r="16">
          <cell r="EZ16">
            <v>16</v>
          </cell>
          <cell r="FA16">
            <v>14</v>
          </cell>
          <cell r="FB16">
            <v>19</v>
          </cell>
          <cell r="FC16">
            <v>22</v>
          </cell>
          <cell r="FD16">
            <v>29</v>
          </cell>
          <cell r="FE16">
            <v>29</v>
          </cell>
        </row>
        <row r="19">
          <cell r="EL19">
            <v>12</v>
          </cell>
          <cell r="EM19">
            <v>0</v>
          </cell>
          <cell r="EN19">
            <v>0</v>
          </cell>
          <cell r="EO19">
            <v>6</v>
          </cell>
          <cell r="EP19">
            <v>48</v>
          </cell>
          <cell r="EQ19">
            <v>60</v>
          </cell>
          <cell r="EZ19">
            <v>32</v>
          </cell>
          <cell r="FA19">
            <v>28</v>
          </cell>
          <cell r="FB19">
            <v>38</v>
          </cell>
          <cell r="FC19">
            <v>44</v>
          </cell>
          <cell r="FD19">
            <v>58</v>
          </cell>
          <cell r="FE19">
            <v>58</v>
          </cell>
        </row>
        <row r="32">
          <cell r="EZ32">
            <v>2183</v>
          </cell>
          <cell r="FA32">
            <v>1601</v>
          </cell>
          <cell r="FB32">
            <v>2869</v>
          </cell>
          <cell r="FC32">
            <v>3054</v>
          </cell>
          <cell r="FD32">
            <v>4596</v>
          </cell>
          <cell r="FE32">
            <v>6688</v>
          </cell>
        </row>
        <row r="33">
          <cell r="EZ33">
            <v>2146</v>
          </cell>
          <cell r="FA33">
            <v>1798</v>
          </cell>
          <cell r="FB33">
            <v>3162</v>
          </cell>
          <cell r="FC33">
            <v>2943</v>
          </cell>
          <cell r="FD33">
            <v>5986</v>
          </cell>
          <cell r="FE33">
            <v>7011</v>
          </cell>
        </row>
        <row r="37">
          <cell r="EZ37">
            <v>50</v>
          </cell>
          <cell r="FA37">
            <v>50</v>
          </cell>
          <cell r="FB37">
            <v>56</v>
          </cell>
          <cell r="FC37">
            <v>45</v>
          </cell>
          <cell r="FD37">
            <v>41</v>
          </cell>
          <cell r="FE37">
            <v>31</v>
          </cell>
        </row>
        <row r="38">
          <cell r="EZ38">
            <v>51</v>
          </cell>
          <cell r="FA38">
            <v>62</v>
          </cell>
          <cell r="FB38">
            <v>52</v>
          </cell>
          <cell r="FC38">
            <v>58</v>
          </cell>
          <cell r="FD38">
            <v>62</v>
          </cell>
          <cell r="FE38">
            <v>28</v>
          </cell>
        </row>
        <row r="41">
          <cell r="EL41">
            <v>1473</v>
          </cell>
          <cell r="EM41">
            <v>0</v>
          </cell>
          <cell r="EN41">
            <v>0</v>
          </cell>
          <cell r="EO41">
            <v>729</v>
          </cell>
          <cell r="EP41">
            <v>7610</v>
          </cell>
          <cell r="EQ41">
            <v>11790</v>
          </cell>
          <cell r="EZ41">
            <v>4329</v>
          </cell>
          <cell r="FA41">
            <v>3399</v>
          </cell>
          <cell r="FB41">
            <v>6031</v>
          </cell>
          <cell r="FC41">
            <v>5997</v>
          </cell>
          <cell r="FD41">
            <v>10582</v>
          </cell>
          <cell r="FE41">
            <v>13699</v>
          </cell>
        </row>
        <row r="47">
          <cell r="FE47">
            <v>161726</v>
          </cell>
        </row>
        <row r="48">
          <cell r="FE48"/>
        </row>
        <row r="52">
          <cell r="FE52">
            <v>85857</v>
          </cell>
        </row>
        <row r="53">
          <cell r="FE53"/>
        </row>
        <row r="57">
          <cell r="FE57"/>
        </row>
        <row r="58">
          <cell r="FE58"/>
        </row>
      </sheetData>
      <sheetData sheetId="15"/>
      <sheetData sheetId="16">
        <row r="4">
          <cell r="FE4"/>
        </row>
        <row r="5">
          <cell r="FE5"/>
        </row>
        <row r="8">
          <cell r="FE8"/>
        </row>
        <row r="9">
          <cell r="FE9"/>
        </row>
        <row r="15">
          <cell r="EZ15"/>
          <cell r="FA15"/>
          <cell r="FB15">
            <v>2</v>
          </cell>
          <cell r="FC15">
            <v>13</v>
          </cell>
          <cell r="FD15">
            <v>13</v>
          </cell>
          <cell r="FE15">
            <v>12</v>
          </cell>
        </row>
        <row r="16">
          <cell r="EZ16"/>
          <cell r="FA16"/>
          <cell r="FB16">
            <v>2</v>
          </cell>
          <cell r="FC16">
            <v>13</v>
          </cell>
          <cell r="FD16">
            <v>13</v>
          </cell>
          <cell r="FE16">
            <v>12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Z19">
            <v>0</v>
          </cell>
          <cell r="FA19">
            <v>0</v>
          </cell>
          <cell r="FB19">
            <v>4</v>
          </cell>
          <cell r="FC19">
            <v>26</v>
          </cell>
          <cell r="FD19">
            <v>26</v>
          </cell>
          <cell r="FE19">
            <v>24</v>
          </cell>
        </row>
        <row r="22">
          <cell r="FE22"/>
        </row>
        <row r="23">
          <cell r="FE23"/>
        </row>
        <row r="27">
          <cell r="FE27"/>
        </row>
        <row r="28">
          <cell r="FE28"/>
        </row>
        <row r="32">
          <cell r="EZ32"/>
          <cell r="FA32"/>
          <cell r="FB32">
            <v>487</v>
          </cell>
          <cell r="FC32">
            <v>3256</v>
          </cell>
          <cell r="FD32">
            <v>3053</v>
          </cell>
          <cell r="FE32">
            <v>2939</v>
          </cell>
        </row>
        <row r="33">
          <cell r="EZ33"/>
          <cell r="FA33"/>
          <cell r="FB33">
            <v>273</v>
          </cell>
          <cell r="FC33">
            <v>2784</v>
          </cell>
          <cell r="FD33">
            <v>3102</v>
          </cell>
          <cell r="FE33">
            <v>2986</v>
          </cell>
        </row>
        <row r="37">
          <cell r="EZ37"/>
          <cell r="FA37"/>
          <cell r="FB37">
            <v>2</v>
          </cell>
          <cell r="FC37">
            <v>13</v>
          </cell>
          <cell r="FD37">
            <v>12</v>
          </cell>
          <cell r="FE37">
            <v>8</v>
          </cell>
        </row>
        <row r="38">
          <cell r="EZ38"/>
          <cell r="FA38"/>
          <cell r="FB38">
            <v>2</v>
          </cell>
          <cell r="FC38">
            <v>21</v>
          </cell>
          <cell r="FD38">
            <v>19</v>
          </cell>
          <cell r="FE38">
            <v>13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Z41">
            <v>0</v>
          </cell>
          <cell r="FA41">
            <v>0</v>
          </cell>
          <cell r="FB41">
            <v>760</v>
          </cell>
          <cell r="FC41">
            <v>6040</v>
          </cell>
          <cell r="FD41">
            <v>6155</v>
          </cell>
          <cell r="FE41">
            <v>5925</v>
          </cell>
        </row>
        <row r="47">
          <cell r="FE47">
            <v>263797</v>
          </cell>
        </row>
        <row r="48">
          <cell r="FE48"/>
        </row>
        <row r="52">
          <cell r="FE52">
            <v>159282</v>
          </cell>
        </row>
        <row r="53">
          <cell r="FE53"/>
        </row>
        <row r="57">
          <cell r="FE57"/>
        </row>
        <row r="58">
          <cell r="FE58"/>
        </row>
      </sheetData>
      <sheetData sheetId="17"/>
      <sheetData sheetId="18">
        <row r="4">
          <cell r="FE4">
            <v>752</v>
          </cell>
        </row>
        <row r="5">
          <cell r="FE5">
            <v>753</v>
          </cell>
        </row>
        <row r="8">
          <cell r="FE8">
            <v>1</v>
          </cell>
        </row>
        <row r="9">
          <cell r="FE9">
            <v>3</v>
          </cell>
        </row>
        <row r="19">
          <cell r="EL19">
            <v>1310</v>
          </cell>
          <cell r="EM19">
            <v>1235</v>
          </cell>
          <cell r="EN19">
            <v>1365</v>
          </cell>
          <cell r="EO19">
            <v>1391</v>
          </cell>
          <cell r="EP19">
            <v>1471</v>
          </cell>
          <cell r="EQ19">
            <v>1490</v>
          </cell>
          <cell r="EZ19">
            <v>1441</v>
          </cell>
          <cell r="FA19">
            <v>1315</v>
          </cell>
          <cell r="FB19">
            <v>1638</v>
          </cell>
          <cell r="FC19">
            <v>1595</v>
          </cell>
          <cell r="FD19">
            <v>1490</v>
          </cell>
          <cell r="FE19">
            <v>1509</v>
          </cell>
        </row>
        <row r="22">
          <cell r="FE22">
            <v>94151</v>
          </cell>
        </row>
        <row r="23">
          <cell r="FE23">
            <v>88672</v>
          </cell>
        </row>
        <row r="27">
          <cell r="FE27">
            <v>1561</v>
          </cell>
        </row>
        <row r="28">
          <cell r="FE28">
            <v>1640</v>
          </cell>
        </row>
        <row r="41">
          <cell r="EL41">
            <v>147219</v>
          </cell>
          <cell r="EM41">
            <v>139213</v>
          </cell>
          <cell r="EN41">
            <v>170095</v>
          </cell>
          <cell r="EO41">
            <v>171693</v>
          </cell>
          <cell r="EP41">
            <v>182585</v>
          </cell>
          <cell r="EQ41">
            <v>190056</v>
          </cell>
          <cell r="EZ41">
            <v>152893</v>
          </cell>
          <cell r="FA41">
            <v>144226</v>
          </cell>
          <cell r="FB41">
            <v>194062</v>
          </cell>
          <cell r="FC41">
            <v>183819</v>
          </cell>
          <cell r="FD41">
            <v>173900</v>
          </cell>
          <cell r="FE41">
            <v>182823</v>
          </cell>
        </row>
        <row r="47">
          <cell r="FE47">
            <v>209835</v>
          </cell>
        </row>
        <row r="48">
          <cell r="FE48"/>
        </row>
        <row r="52">
          <cell r="FE52">
            <v>119994</v>
          </cell>
        </row>
        <row r="53">
          <cell r="FE53"/>
        </row>
        <row r="57">
          <cell r="FE57"/>
        </row>
        <row r="58">
          <cell r="FE58"/>
        </row>
        <row r="70">
          <cell r="FE70">
            <v>88313</v>
          </cell>
        </row>
        <row r="71">
          <cell r="FE71">
            <v>359</v>
          </cell>
        </row>
        <row r="73">
          <cell r="FE73"/>
        </row>
        <row r="74">
          <cell r="FE74"/>
        </row>
      </sheetData>
      <sheetData sheetId="19">
        <row r="4">
          <cell r="FE4">
            <v>370</v>
          </cell>
        </row>
        <row r="5">
          <cell r="FE5">
            <v>369</v>
          </cell>
        </row>
        <row r="8">
          <cell r="FE8"/>
        </row>
        <row r="9">
          <cell r="FE9"/>
        </row>
        <row r="19">
          <cell r="EL19">
            <v>680</v>
          </cell>
          <cell r="EM19">
            <v>612</v>
          </cell>
          <cell r="EN19">
            <v>680</v>
          </cell>
          <cell r="EO19">
            <v>692</v>
          </cell>
          <cell r="EP19">
            <v>800</v>
          </cell>
          <cell r="EQ19">
            <v>763</v>
          </cell>
          <cell r="EZ19">
            <v>792</v>
          </cell>
          <cell r="FA19">
            <v>721</v>
          </cell>
          <cell r="FB19">
            <v>838</v>
          </cell>
          <cell r="FC19">
            <v>820</v>
          </cell>
          <cell r="FD19">
            <v>769</v>
          </cell>
          <cell r="FE19">
            <v>739</v>
          </cell>
        </row>
        <row r="22">
          <cell r="FE22">
            <v>51631</v>
          </cell>
        </row>
        <row r="23">
          <cell r="FE23">
            <v>50764</v>
          </cell>
        </row>
        <row r="27">
          <cell r="FE27">
            <v>400</v>
          </cell>
        </row>
        <row r="28">
          <cell r="FE28">
            <v>377</v>
          </cell>
        </row>
        <row r="41">
          <cell r="EL41">
            <v>97867</v>
          </cell>
          <cell r="EM41">
            <v>92339</v>
          </cell>
          <cell r="EN41">
            <v>108982</v>
          </cell>
          <cell r="EO41">
            <v>88050</v>
          </cell>
          <cell r="EP41">
            <v>102442</v>
          </cell>
          <cell r="EQ41">
            <v>105568</v>
          </cell>
          <cell r="EZ41">
            <v>97377</v>
          </cell>
          <cell r="FA41">
            <v>98383</v>
          </cell>
          <cell r="FB41">
            <v>127962</v>
          </cell>
          <cell r="FC41">
            <v>104626</v>
          </cell>
          <cell r="FD41">
            <v>98130</v>
          </cell>
          <cell r="FE41">
            <v>102395</v>
          </cell>
        </row>
        <row r="47">
          <cell r="FE47"/>
        </row>
        <row r="48">
          <cell r="FE48"/>
        </row>
        <row r="52">
          <cell r="FE52"/>
        </row>
        <row r="53">
          <cell r="FE53"/>
        </row>
        <row r="57">
          <cell r="FE57"/>
        </row>
        <row r="58">
          <cell r="FE58"/>
        </row>
        <row r="70">
          <cell r="FE70"/>
        </row>
        <row r="71">
          <cell r="FE71"/>
        </row>
        <row r="73">
          <cell r="FE73"/>
        </row>
        <row r="74">
          <cell r="FE74"/>
        </row>
      </sheetData>
      <sheetData sheetId="20">
        <row r="4">
          <cell r="FE4">
            <v>722</v>
          </cell>
        </row>
        <row r="5">
          <cell r="FE5">
            <v>724</v>
          </cell>
        </row>
        <row r="8">
          <cell r="FE8">
            <v>84</v>
          </cell>
        </row>
        <row r="9">
          <cell r="FE9">
            <v>80</v>
          </cell>
        </row>
        <row r="15">
          <cell r="EZ15">
            <v>205</v>
          </cell>
          <cell r="FA15">
            <v>278</v>
          </cell>
          <cell r="FB15">
            <v>337</v>
          </cell>
          <cell r="FC15">
            <v>186</v>
          </cell>
          <cell r="FD15">
            <v>25</v>
          </cell>
          <cell r="FE15">
            <v>8</v>
          </cell>
        </row>
        <row r="16">
          <cell r="EZ16">
            <v>205</v>
          </cell>
          <cell r="FA16">
            <v>279</v>
          </cell>
          <cell r="FB16">
            <v>338</v>
          </cell>
          <cell r="FC16">
            <v>175</v>
          </cell>
          <cell r="FD16">
            <v>21</v>
          </cell>
          <cell r="FE16">
            <v>8</v>
          </cell>
        </row>
        <row r="19">
          <cell r="EL19">
            <v>1698</v>
          </cell>
          <cell r="EM19">
            <v>1694</v>
          </cell>
          <cell r="EN19">
            <v>1927</v>
          </cell>
          <cell r="EO19">
            <v>1657</v>
          </cell>
          <cell r="EP19">
            <v>1431</v>
          </cell>
          <cell r="EQ19">
            <v>1550</v>
          </cell>
          <cell r="EZ19">
            <v>1901</v>
          </cell>
          <cell r="FA19">
            <v>1909</v>
          </cell>
          <cell r="FB19">
            <v>2199</v>
          </cell>
          <cell r="FC19">
            <v>1894</v>
          </cell>
          <cell r="FD19">
            <v>1541</v>
          </cell>
          <cell r="FE19">
            <v>1626</v>
          </cell>
        </row>
        <row r="22">
          <cell r="FE22">
            <v>95562</v>
          </cell>
        </row>
        <row r="23">
          <cell r="FE23">
            <v>93683</v>
          </cell>
        </row>
        <row r="27">
          <cell r="FE27">
            <v>2160</v>
          </cell>
        </row>
        <row r="28">
          <cell r="FE28">
            <v>1988</v>
          </cell>
        </row>
        <row r="32">
          <cell r="EZ32">
            <v>21105</v>
          </cell>
          <cell r="FA32">
            <v>32314</v>
          </cell>
          <cell r="FB32">
            <v>41652</v>
          </cell>
          <cell r="FC32">
            <v>23061</v>
          </cell>
          <cell r="FD32">
            <v>2814</v>
          </cell>
          <cell r="FE32">
            <v>1543</v>
          </cell>
        </row>
        <row r="33">
          <cell r="EZ33">
            <v>22590</v>
          </cell>
          <cell r="FA33">
            <v>34518</v>
          </cell>
          <cell r="FB33">
            <v>42363</v>
          </cell>
          <cell r="FC33">
            <v>13452</v>
          </cell>
          <cell r="FD33">
            <v>2370</v>
          </cell>
          <cell r="FE33">
            <v>1588</v>
          </cell>
        </row>
        <row r="37">
          <cell r="EZ37">
            <v>158</v>
          </cell>
          <cell r="FA37">
            <v>212</v>
          </cell>
          <cell r="FB37">
            <v>241</v>
          </cell>
          <cell r="FC37">
            <v>180</v>
          </cell>
          <cell r="FD37">
            <v>34</v>
          </cell>
          <cell r="FE37">
            <v>2</v>
          </cell>
        </row>
        <row r="38">
          <cell r="EZ38">
            <v>219</v>
          </cell>
          <cell r="FA38">
            <v>280</v>
          </cell>
          <cell r="FB38">
            <v>291</v>
          </cell>
          <cell r="FC38">
            <v>188</v>
          </cell>
          <cell r="FD38">
            <v>32</v>
          </cell>
          <cell r="FE38">
            <v>3</v>
          </cell>
        </row>
        <row r="41">
          <cell r="EL41">
            <v>170423</v>
          </cell>
          <cell r="EM41">
            <v>194645</v>
          </cell>
          <cell r="EN41">
            <v>238873</v>
          </cell>
          <cell r="EO41">
            <v>186445</v>
          </cell>
          <cell r="EP41">
            <v>158558</v>
          </cell>
          <cell r="EQ41">
            <v>172872</v>
          </cell>
          <cell r="EZ41">
            <v>189664</v>
          </cell>
          <cell r="FA41">
            <v>220246</v>
          </cell>
          <cell r="FB41">
            <v>276314</v>
          </cell>
          <cell r="FC41">
            <v>212576</v>
          </cell>
          <cell r="FD41">
            <v>173119</v>
          </cell>
          <cell r="FE41">
            <v>192376</v>
          </cell>
        </row>
        <row r="47">
          <cell r="FE47">
            <v>427795</v>
          </cell>
        </row>
        <row r="48">
          <cell r="FE48">
            <v>348390</v>
          </cell>
        </row>
        <row r="52">
          <cell r="FE52">
            <v>297865</v>
          </cell>
        </row>
        <row r="53">
          <cell r="FE53">
            <v>709508</v>
          </cell>
        </row>
        <row r="57">
          <cell r="FE57"/>
        </row>
        <row r="58">
          <cell r="FE58"/>
        </row>
        <row r="70">
          <cell r="FE70">
            <v>88645</v>
          </cell>
        </row>
        <row r="71">
          <cell r="FE71">
            <v>5038</v>
          </cell>
        </row>
        <row r="73">
          <cell r="FE73">
            <v>1522</v>
          </cell>
        </row>
        <row r="74">
          <cell r="FE74">
            <v>66</v>
          </cell>
        </row>
      </sheetData>
      <sheetData sheetId="21">
        <row r="4">
          <cell r="FE4">
            <v>456</v>
          </cell>
        </row>
        <row r="5">
          <cell r="FE5">
            <v>456</v>
          </cell>
        </row>
        <row r="8">
          <cell r="FE8"/>
        </row>
        <row r="9">
          <cell r="FE9"/>
        </row>
        <row r="19">
          <cell r="EL19">
            <v>446</v>
          </cell>
          <cell r="EM19">
            <v>476</v>
          </cell>
          <cell r="EN19">
            <v>460</v>
          </cell>
          <cell r="EO19">
            <v>632</v>
          </cell>
          <cell r="EP19">
            <v>654</v>
          </cell>
          <cell r="EQ19">
            <v>702</v>
          </cell>
          <cell r="EZ19">
            <v>580</v>
          </cell>
          <cell r="FA19">
            <v>594</v>
          </cell>
          <cell r="FB19">
            <v>648</v>
          </cell>
          <cell r="FC19">
            <v>624</v>
          </cell>
          <cell r="FD19">
            <v>798</v>
          </cell>
          <cell r="FE19">
            <v>912</v>
          </cell>
        </row>
        <row r="22">
          <cell r="FE22">
            <v>55114</v>
          </cell>
        </row>
        <row r="23">
          <cell r="FE23">
            <v>50665</v>
          </cell>
        </row>
        <row r="27">
          <cell r="FE27">
            <v>1887</v>
          </cell>
        </row>
        <row r="28">
          <cell r="FE28">
            <v>2263</v>
          </cell>
        </row>
        <row r="41">
          <cell r="EL41">
            <v>53327</v>
          </cell>
          <cell r="EM41">
            <v>56144</v>
          </cell>
          <cell r="EN41">
            <v>55758</v>
          </cell>
          <cell r="EO41">
            <v>72332</v>
          </cell>
          <cell r="EP41">
            <v>78916</v>
          </cell>
          <cell r="EQ41">
            <v>94175</v>
          </cell>
          <cell r="EZ41">
            <v>67107</v>
          </cell>
          <cell r="FA41">
            <v>67971</v>
          </cell>
          <cell r="FB41">
            <v>82037</v>
          </cell>
          <cell r="FC41">
            <v>74061</v>
          </cell>
          <cell r="FD41">
            <v>86411</v>
          </cell>
          <cell r="FE41">
            <v>105779</v>
          </cell>
        </row>
        <row r="47">
          <cell r="FE47">
            <v>54265</v>
          </cell>
        </row>
        <row r="48">
          <cell r="FE48">
            <v>174980</v>
          </cell>
        </row>
        <row r="52">
          <cell r="FE52">
            <v>24938</v>
          </cell>
        </row>
        <row r="53">
          <cell r="FE53">
            <v>128040</v>
          </cell>
        </row>
        <row r="57">
          <cell r="FE57"/>
        </row>
        <row r="58">
          <cell r="FE58"/>
        </row>
      </sheetData>
      <sheetData sheetId="22"/>
      <sheetData sheetId="23">
        <row r="19">
          <cell r="FE19">
            <v>0</v>
          </cell>
        </row>
      </sheetData>
      <sheetData sheetId="24">
        <row r="19">
          <cell r="EL19">
            <v>178</v>
          </cell>
          <cell r="EM19">
            <v>7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</row>
        <row r="41">
          <cell r="EL41">
            <v>6489</v>
          </cell>
          <cell r="EM41">
            <v>270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</row>
      </sheetData>
      <sheetData sheetId="25">
        <row r="8">
          <cell r="FE8"/>
        </row>
        <row r="9">
          <cell r="FE9"/>
        </row>
        <row r="15">
          <cell r="EZ15">
            <v>86</v>
          </cell>
          <cell r="FA15">
            <v>78</v>
          </cell>
          <cell r="FB15">
            <v>88</v>
          </cell>
          <cell r="FC15">
            <v>85</v>
          </cell>
          <cell r="FD15">
            <v>91</v>
          </cell>
          <cell r="FE15">
            <v>39</v>
          </cell>
        </row>
        <row r="16">
          <cell r="EZ16">
            <v>86</v>
          </cell>
          <cell r="FA16">
            <v>78</v>
          </cell>
          <cell r="FB16">
            <v>88</v>
          </cell>
          <cell r="FC16">
            <v>85</v>
          </cell>
          <cell r="FD16">
            <v>91</v>
          </cell>
          <cell r="FE16">
            <v>40</v>
          </cell>
        </row>
        <row r="19">
          <cell r="EL19">
            <v>0</v>
          </cell>
          <cell r="EM19">
            <v>157</v>
          </cell>
          <cell r="EN19">
            <v>180</v>
          </cell>
          <cell r="EO19">
            <v>172</v>
          </cell>
          <cell r="EP19">
            <v>216</v>
          </cell>
          <cell r="EQ19">
            <v>0</v>
          </cell>
          <cell r="EZ19">
            <v>172</v>
          </cell>
          <cell r="FA19">
            <v>156</v>
          </cell>
          <cell r="FB19">
            <v>176</v>
          </cell>
          <cell r="FC19">
            <v>170</v>
          </cell>
          <cell r="FD19">
            <v>182</v>
          </cell>
          <cell r="FE19">
            <v>79</v>
          </cell>
        </row>
        <row r="32">
          <cell r="EZ32">
            <v>3322</v>
          </cell>
          <cell r="FA32">
            <v>2938</v>
          </cell>
          <cell r="FB32">
            <v>3470</v>
          </cell>
          <cell r="FC32">
            <v>3709</v>
          </cell>
          <cell r="FD32">
            <v>3760</v>
          </cell>
          <cell r="FE32">
            <v>1648</v>
          </cell>
        </row>
        <row r="33">
          <cell r="EZ33">
            <v>3007</v>
          </cell>
          <cell r="FA33">
            <v>2824</v>
          </cell>
          <cell r="FB33">
            <v>3526</v>
          </cell>
          <cell r="FC33">
            <v>3196</v>
          </cell>
          <cell r="FD33">
            <v>3872</v>
          </cell>
          <cell r="FE33">
            <v>1877</v>
          </cell>
        </row>
        <row r="37">
          <cell r="EZ37"/>
          <cell r="FA37"/>
          <cell r="FB37"/>
          <cell r="FC37"/>
          <cell r="FD37"/>
          <cell r="FE37"/>
        </row>
        <row r="38">
          <cell r="EZ38"/>
          <cell r="FA38"/>
          <cell r="FB38"/>
          <cell r="FC38"/>
          <cell r="FD38"/>
          <cell r="FE38"/>
        </row>
        <row r="41">
          <cell r="EL41">
            <v>0</v>
          </cell>
          <cell r="EM41">
            <v>5887</v>
          </cell>
          <cell r="EN41">
            <v>7341</v>
          </cell>
          <cell r="EO41">
            <v>6989</v>
          </cell>
          <cell r="EP41">
            <v>9041</v>
          </cell>
          <cell r="EQ41">
            <v>0</v>
          </cell>
          <cell r="EZ41">
            <v>6329</v>
          </cell>
          <cell r="FA41">
            <v>5762</v>
          </cell>
          <cell r="FB41">
            <v>6996</v>
          </cell>
          <cell r="FC41">
            <v>6905</v>
          </cell>
          <cell r="FD41">
            <v>7632</v>
          </cell>
          <cell r="FE41">
            <v>3525</v>
          </cell>
        </row>
        <row r="47">
          <cell r="FE47"/>
        </row>
        <row r="48">
          <cell r="FE48"/>
        </row>
        <row r="52">
          <cell r="FE52"/>
        </row>
        <row r="53">
          <cell r="FE53"/>
        </row>
      </sheetData>
      <sheetData sheetId="26">
        <row r="4">
          <cell r="FE4"/>
        </row>
        <row r="5">
          <cell r="FE5"/>
        </row>
        <row r="8">
          <cell r="FE8"/>
        </row>
        <row r="9">
          <cell r="FE9"/>
        </row>
        <row r="19">
          <cell r="EL19">
            <v>60</v>
          </cell>
          <cell r="EM19">
            <v>24</v>
          </cell>
          <cell r="EN19">
            <v>16</v>
          </cell>
          <cell r="EO19">
            <v>4</v>
          </cell>
          <cell r="EP19">
            <v>2</v>
          </cell>
          <cell r="EQ19">
            <v>0</v>
          </cell>
          <cell r="EZ19">
            <v>0</v>
          </cell>
          <cell r="FA19">
            <v>2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</row>
        <row r="22">
          <cell r="FE22"/>
        </row>
        <row r="23">
          <cell r="FE23"/>
        </row>
        <row r="27">
          <cell r="FE27"/>
        </row>
        <row r="28">
          <cell r="FE28"/>
        </row>
        <row r="41">
          <cell r="EL41">
            <v>2291</v>
          </cell>
          <cell r="EM41">
            <v>849</v>
          </cell>
          <cell r="EN41">
            <v>487</v>
          </cell>
          <cell r="EO41">
            <v>136</v>
          </cell>
          <cell r="EP41">
            <v>49</v>
          </cell>
          <cell r="EQ41">
            <v>0</v>
          </cell>
          <cell r="EZ41">
            <v>0</v>
          </cell>
          <cell r="FA41">
            <v>90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</row>
        <row r="47">
          <cell r="FE47"/>
        </row>
        <row r="48">
          <cell r="FE48"/>
        </row>
        <row r="52">
          <cell r="BH52"/>
        </row>
        <row r="53">
          <cell r="FE53"/>
        </row>
        <row r="57">
          <cell r="BG57"/>
        </row>
        <row r="58">
          <cell r="BG58"/>
        </row>
      </sheetData>
      <sheetData sheetId="27">
        <row r="4">
          <cell r="FE4">
            <v>4</v>
          </cell>
        </row>
        <row r="5">
          <cell r="FE5">
            <v>4</v>
          </cell>
        </row>
        <row r="8">
          <cell r="FE8"/>
        </row>
        <row r="9">
          <cell r="FE9"/>
        </row>
        <row r="19">
          <cell r="EL19">
            <v>20</v>
          </cell>
          <cell r="EM19">
            <v>8</v>
          </cell>
          <cell r="EN19">
            <v>34</v>
          </cell>
          <cell r="EO19">
            <v>10</v>
          </cell>
          <cell r="EP19">
            <v>10</v>
          </cell>
          <cell r="EQ19">
            <v>0</v>
          </cell>
          <cell r="EZ19">
            <v>22</v>
          </cell>
          <cell r="FA19">
            <v>17</v>
          </cell>
          <cell r="FB19">
            <v>17</v>
          </cell>
          <cell r="FC19">
            <v>16</v>
          </cell>
          <cell r="FD19">
            <v>28</v>
          </cell>
          <cell r="FE19">
            <v>8</v>
          </cell>
        </row>
        <row r="22">
          <cell r="FE22">
            <v>218</v>
          </cell>
        </row>
        <row r="23">
          <cell r="FE23">
            <v>225</v>
          </cell>
        </row>
        <row r="27">
          <cell r="FE27">
            <v>13</v>
          </cell>
        </row>
        <row r="28">
          <cell r="FE28">
            <v>10</v>
          </cell>
        </row>
        <row r="41">
          <cell r="EL41">
            <v>1013</v>
          </cell>
          <cell r="EM41">
            <v>436</v>
          </cell>
          <cell r="EN41">
            <v>1587</v>
          </cell>
          <cell r="EO41">
            <v>482</v>
          </cell>
          <cell r="EP41">
            <v>576</v>
          </cell>
          <cell r="EQ41">
            <v>0</v>
          </cell>
          <cell r="EZ41">
            <v>921</v>
          </cell>
          <cell r="FA41">
            <v>897</v>
          </cell>
          <cell r="FB41">
            <v>840</v>
          </cell>
          <cell r="FC41">
            <v>845</v>
          </cell>
          <cell r="FD41">
            <v>1597</v>
          </cell>
          <cell r="FE41">
            <v>443</v>
          </cell>
        </row>
        <row r="47">
          <cell r="FE47"/>
        </row>
        <row r="48">
          <cell r="FE48"/>
        </row>
        <row r="52">
          <cell r="FE52"/>
        </row>
        <row r="53">
          <cell r="FE53"/>
        </row>
        <row r="57">
          <cell r="FE57"/>
        </row>
        <row r="58">
          <cell r="FE58"/>
        </row>
      </sheetData>
      <sheetData sheetId="28">
        <row r="4">
          <cell r="FE4">
            <v>223</v>
          </cell>
        </row>
        <row r="5">
          <cell r="FE5">
            <v>222</v>
          </cell>
        </row>
        <row r="8">
          <cell r="FE8"/>
        </row>
        <row r="9">
          <cell r="FE9">
            <v>1</v>
          </cell>
        </row>
        <row r="15">
          <cell r="EZ15">
            <v>1</v>
          </cell>
          <cell r="FA15">
            <v>1</v>
          </cell>
          <cell r="FB15">
            <v>42</v>
          </cell>
          <cell r="FC15">
            <v>80</v>
          </cell>
          <cell r="FD15">
            <v>30</v>
          </cell>
          <cell r="FE15">
            <v>11</v>
          </cell>
        </row>
        <row r="16">
          <cell r="EZ16">
            <v>1</v>
          </cell>
          <cell r="FA16"/>
          <cell r="FB16">
            <v>38</v>
          </cell>
          <cell r="FC16">
            <v>80</v>
          </cell>
          <cell r="FD16">
            <v>31</v>
          </cell>
          <cell r="FE16">
            <v>11</v>
          </cell>
        </row>
        <row r="19">
          <cell r="EL19">
            <v>1025</v>
          </cell>
          <cell r="EM19">
            <v>606</v>
          </cell>
          <cell r="EN19">
            <v>587</v>
          </cell>
          <cell r="EO19">
            <v>612</v>
          </cell>
          <cell r="EP19">
            <v>595</v>
          </cell>
          <cell r="EQ19">
            <v>829</v>
          </cell>
          <cell r="EZ19">
            <v>666</v>
          </cell>
          <cell r="FA19">
            <v>545</v>
          </cell>
          <cell r="FB19">
            <v>839</v>
          </cell>
          <cell r="FC19">
            <v>971</v>
          </cell>
          <cell r="FD19">
            <v>555</v>
          </cell>
          <cell r="FE19">
            <v>468</v>
          </cell>
        </row>
        <row r="22">
          <cell r="FE22">
            <v>12966</v>
          </cell>
        </row>
        <row r="23">
          <cell r="FE23">
            <v>12630</v>
          </cell>
        </row>
        <row r="27">
          <cell r="FE27">
            <v>443</v>
          </cell>
        </row>
        <row r="28">
          <cell r="FE28">
            <v>408</v>
          </cell>
        </row>
        <row r="32">
          <cell r="EZ32">
            <v>54</v>
          </cell>
          <cell r="FA32">
            <v>64</v>
          </cell>
          <cell r="FB32">
            <v>2479</v>
          </cell>
          <cell r="FC32">
            <v>5269</v>
          </cell>
          <cell r="FD32">
            <v>2016</v>
          </cell>
          <cell r="FE32">
            <v>598</v>
          </cell>
        </row>
        <row r="33">
          <cell r="EZ33">
            <v>24</v>
          </cell>
          <cell r="FA33"/>
          <cell r="FB33">
            <v>2381</v>
          </cell>
          <cell r="FC33">
            <v>5124</v>
          </cell>
          <cell r="FD33">
            <v>2104</v>
          </cell>
          <cell r="FE33">
            <v>678</v>
          </cell>
        </row>
        <row r="37">
          <cell r="EZ37"/>
          <cell r="FA37"/>
          <cell r="FB37">
            <v>52</v>
          </cell>
          <cell r="FC37">
            <v>108</v>
          </cell>
          <cell r="FD37">
            <v>11</v>
          </cell>
          <cell r="FE37">
            <v>10</v>
          </cell>
        </row>
        <row r="38">
          <cell r="EZ38">
            <v>4</v>
          </cell>
          <cell r="FA38"/>
          <cell r="FB38">
            <v>43</v>
          </cell>
          <cell r="FC38">
            <v>79</v>
          </cell>
          <cell r="FD38">
            <v>9</v>
          </cell>
          <cell r="FE38">
            <v>1</v>
          </cell>
        </row>
        <row r="41">
          <cell r="EL41">
            <v>51155</v>
          </cell>
          <cell r="EM41">
            <v>29264</v>
          </cell>
          <cell r="EN41">
            <v>31698</v>
          </cell>
          <cell r="EO41">
            <v>33828</v>
          </cell>
          <cell r="EP41">
            <v>34139</v>
          </cell>
          <cell r="EQ41">
            <v>48479</v>
          </cell>
          <cell r="EZ41">
            <v>35725</v>
          </cell>
          <cell r="FA41">
            <v>29090</v>
          </cell>
          <cell r="FB41">
            <v>48915</v>
          </cell>
          <cell r="FC41">
            <v>56285</v>
          </cell>
          <cell r="FD41">
            <v>32648</v>
          </cell>
          <cell r="FE41">
            <v>26872</v>
          </cell>
        </row>
        <row r="47">
          <cell r="FE47"/>
        </row>
        <row r="48">
          <cell r="FE48"/>
        </row>
        <row r="52">
          <cell r="FE52"/>
        </row>
        <row r="53">
          <cell r="FE53"/>
        </row>
        <row r="57">
          <cell r="FE57"/>
        </row>
        <row r="58">
          <cell r="BG58"/>
        </row>
        <row r="70">
          <cell r="FE70">
            <v>4774</v>
          </cell>
        </row>
        <row r="71">
          <cell r="FE71">
            <v>7856</v>
          </cell>
        </row>
        <row r="73">
          <cell r="FE73">
            <v>256</v>
          </cell>
        </row>
        <row r="74">
          <cell r="FE74">
            <v>422</v>
          </cell>
        </row>
      </sheetData>
      <sheetData sheetId="29"/>
      <sheetData sheetId="30"/>
      <sheetData sheetId="31"/>
      <sheetData sheetId="32">
        <row r="4">
          <cell r="FE4">
            <v>382</v>
          </cell>
        </row>
        <row r="5">
          <cell r="FE5">
            <v>380</v>
          </cell>
        </row>
        <row r="8">
          <cell r="FE8"/>
        </row>
        <row r="9">
          <cell r="FE9">
            <v>2</v>
          </cell>
        </row>
        <row r="15">
          <cell r="EZ15">
            <v>166</v>
          </cell>
          <cell r="FA15">
            <v>137</v>
          </cell>
          <cell r="FB15">
            <v>53</v>
          </cell>
          <cell r="FC15">
            <v>55</v>
          </cell>
          <cell r="FD15">
            <v>34</v>
          </cell>
          <cell r="FE15">
            <v>82</v>
          </cell>
        </row>
        <row r="16">
          <cell r="EZ16">
            <v>168</v>
          </cell>
          <cell r="FA16">
            <v>135</v>
          </cell>
          <cell r="FB16">
            <v>50</v>
          </cell>
          <cell r="FC16">
            <v>55</v>
          </cell>
          <cell r="FD16">
            <v>34</v>
          </cell>
          <cell r="FE16">
            <v>82</v>
          </cell>
        </row>
        <row r="19">
          <cell r="EL19">
            <v>1207</v>
          </cell>
          <cell r="EM19">
            <v>1145</v>
          </cell>
          <cell r="EN19">
            <v>1601</v>
          </cell>
          <cell r="EO19">
            <v>1480</v>
          </cell>
          <cell r="EP19">
            <v>1339</v>
          </cell>
          <cell r="EQ19">
            <v>1632</v>
          </cell>
          <cell r="EZ19">
            <v>1335</v>
          </cell>
          <cell r="FA19">
            <v>1366</v>
          </cell>
          <cell r="FB19">
            <v>1300</v>
          </cell>
          <cell r="FC19">
            <v>851</v>
          </cell>
          <cell r="FD19">
            <v>585</v>
          </cell>
          <cell r="FE19">
            <v>928</v>
          </cell>
        </row>
        <row r="22">
          <cell r="FE22">
            <v>24349</v>
          </cell>
        </row>
        <row r="23">
          <cell r="FE23">
            <v>23758</v>
          </cell>
        </row>
        <row r="27">
          <cell r="FE27">
            <v>1064</v>
          </cell>
        </row>
        <row r="28">
          <cell r="FE28">
            <v>1015</v>
          </cell>
        </row>
        <row r="32">
          <cell r="EZ32">
            <v>9784</v>
          </cell>
          <cell r="FA32">
            <v>8369</v>
          </cell>
          <cell r="FB32">
            <v>3414</v>
          </cell>
          <cell r="FC32">
            <v>3627</v>
          </cell>
          <cell r="FD32">
            <v>2296</v>
          </cell>
          <cell r="FE32">
            <v>5091</v>
          </cell>
        </row>
        <row r="33">
          <cell r="EZ33">
            <v>10679</v>
          </cell>
          <cell r="FA33">
            <v>8413</v>
          </cell>
          <cell r="FB33">
            <v>3222</v>
          </cell>
          <cell r="FC33">
            <v>3567</v>
          </cell>
          <cell r="FD33">
            <v>2261</v>
          </cell>
          <cell r="FE33">
            <v>5266</v>
          </cell>
        </row>
        <row r="37">
          <cell r="EZ37">
            <v>161</v>
          </cell>
          <cell r="FA37">
            <v>146</v>
          </cell>
          <cell r="FB37">
            <v>29</v>
          </cell>
          <cell r="FC37">
            <v>29</v>
          </cell>
          <cell r="FD37">
            <v>25</v>
          </cell>
          <cell r="FE37">
            <v>58</v>
          </cell>
        </row>
        <row r="38">
          <cell r="EZ38">
            <v>174</v>
          </cell>
          <cell r="FA38">
            <v>151</v>
          </cell>
          <cell r="FB38">
            <v>27</v>
          </cell>
          <cell r="FC38">
            <v>43</v>
          </cell>
          <cell r="FD38">
            <v>32</v>
          </cell>
          <cell r="FE38">
            <v>67</v>
          </cell>
        </row>
        <row r="41">
          <cell r="EL41">
            <v>68909</v>
          </cell>
          <cell r="EM41">
            <v>65710</v>
          </cell>
          <cell r="EN41">
            <v>96990</v>
          </cell>
          <cell r="EO41">
            <v>89450</v>
          </cell>
          <cell r="EP41">
            <v>79424</v>
          </cell>
          <cell r="EQ41">
            <v>99088</v>
          </cell>
          <cell r="EZ41">
            <v>72674</v>
          </cell>
          <cell r="FA41">
            <v>75801</v>
          </cell>
          <cell r="FB41">
            <v>76058</v>
          </cell>
          <cell r="FC41">
            <v>52010</v>
          </cell>
          <cell r="FD41">
            <v>35313</v>
          </cell>
          <cell r="FE41">
            <v>58464</v>
          </cell>
        </row>
        <row r="47">
          <cell r="FE47"/>
        </row>
        <row r="48">
          <cell r="FE48"/>
        </row>
        <row r="52">
          <cell r="FE52"/>
        </row>
        <row r="53">
          <cell r="FE53"/>
        </row>
        <row r="57">
          <cell r="FE57"/>
        </row>
        <row r="58">
          <cell r="BG58"/>
        </row>
        <row r="70">
          <cell r="BG70">
            <v>26242</v>
          </cell>
          <cell r="FE70">
            <v>9432</v>
          </cell>
        </row>
        <row r="71">
          <cell r="BG71">
            <v>44562</v>
          </cell>
          <cell r="FE71">
            <v>14326</v>
          </cell>
        </row>
        <row r="73">
          <cell r="BG73">
            <v>1540</v>
          </cell>
          <cell r="FE73">
            <v>2091</v>
          </cell>
        </row>
        <row r="74">
          <cell r="BG74">
            <v>2614</v>
          </cell>
          <cell r="FE74">
            <v>3175</v>
          </cell>
        </row>
      </sheetData>
      <sheetData sheetId="33"/>
      <sheetData sheetId="34">
        <row r="4">
          <cell r="FE4">
            <v>3</v>
          </cell>
        </row>
        <row r="5">
          <cell r="FE5">
            <v>3</v>
          </cell>
        </row>
        <row r="8">
          <cell r="FE8"/>
        </row>
        <row r="9">
          <cell r="FE9"/>
        </row>
        <row r="19">
          <cell r="EL19">
            <v>910</v>
          </cell>
          <cell r="EM19">
            <v>46</v>
          </cell>
          <cell r="EN19">
            <v>54</v>
          </cell>
          <cell r="EO19">
            <v>44</v>
          </cell>
          <cell r="EP19">
            <v>26</v>
          </cell>
          <cell r="EQ19">
            <v>26</v>
          </cell>
          <cell r="EZ19">
            <v>24</v>
          </cell>
          <cell r="FA19">
            <v>40</v>
          </cell>
          <cell r="FB19">
            <v>28</v>
          </cell>
          <cell r="FC19">
            <v>20</v>
          </cell>
          <cell r="FD19">
            <v>2</v>
          </cell>
          <cell r="FE19">
            <v>6</v>
          </cell>
        </row>
        <row r="22">
          <cell r="FE22">
            <v>148</v>
          </cell>
        </row>
        <row r="23">
          <cell r="FE23">
            <v>145</v>
          </cell>
        </row>
        <row r="27">
          <cell r="FE27">
            <v>2</v>
          </cell>
        </row>
        <row r="28">
          <cell r="FE28">
            <v>1</v>
          </cell>
        </row>
        <row r="41">
          <cell r="EL41">
            <v>64701</v>
          </cell>
          <cell r="EM41">
            <v>1604</v>
          </cell>
          <cell r="EN41">
            <v>2268</v>
          </cell>
          <cell r="EO41">
            <v>1989</v>
          </cell>
          <cell r="EP41">
            <v>1265</v>
          </cell>
          <cell r="EQ41">
            <v>1161</v>
          </cell>
          <cell r="EZ41">
            <v>994</v>
          </cell>
          <cell r="FA41">
            <v>1332</v>
          </cell>
          <cell r="FB41">
            <v>1317</v>
          </cell>
          <cell r="FC41">
            <v>850</v>
          </cell>
          <cell r="FD41">
            <v>77</v>
          </cell>
          <cell r="FE41">
            <v>293</v>
          </cell>
        </row>
        <row r="47">
          <cell r="FE47"/>
        </row>
        <row r="48">
          <cell r="FE48"/>
        </row>
        <row r="52">
          <cell r="FE52"/>
        </row>
        <row r="53">
          <cell r="FE53"/>
        </row>
        <row r="57">
          <cell r="FE57"/>
        </row>
        <row r="58">
          <cell r="BG58"/>
        </row>
      </sheetData>
      <sheetData sheetId="35"/>
      <sheetData sheetId="36">
        <row r="4">
          <cell r="FE4">
            <v>140</v>
          </cell>
        </row>
        <row r="5">
          <cell r="FE5">
            <v>140</v>
          </cell>
        </row>
        <row r="8">
          <cell r="FE8"/>
        </row>
        <row r="9">
          <cell r="FE9"/>
        </row>
        <row r="15">
          <cell r="EZ15">
            <v>54</v>
          </cell>
          <cell r="FA15">
            <v>63</v>
          </cell>
          <cell r="FB15">
            <v>48</v>
          </cell>
          <cell r="FC15"/>
          <cell r="FD15"/>
        </row>
        <row r="16">
          <cell r="EZ16">
            <v>49</v>
          </cell>
          <cell r="FA16">
            <v>64</v>
          </cell>
          <cell r="FB16">
            <v>50</v>
          </cell>
          <cell r="FC16"/>
          <cell r="FD16"/>
          <cell r="FE16">
            <v>1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130</v>
          </cell>
          <cell r="EZ19">
            <v>599</v>
          </cell>
          <cell r="FA19">
            <v>574</v>
          </cell>
          <cell r="FB19">
            <v>674</v>
          </cell>
          <cell r="FC19">
            <v>424</v>
          </cell>
          <cell r="FD19">
            <v>584</v>
          </cell>
          <cell r="FE19">
            <v>281</v>
          </cell>
        </row>
        <row r="22">
          <cell r="FE22">
            <v>8418</v>
          </cell>
        </row>
        <row r="23">
          <cell r="FE23">
            <v>8497</v>
          </cell>
        </row>
        <row r="27">
          <cell r="FE27">
            <v>292</v>
          </cell>
        </row>
        <row r="28">
          <cell r="FE28">
            <v>299</v>
          </cell>
        </row>
        <row r="32">
          <cell r="EZ32">
            <v>2862</v>
          </cell>
          <cell r="FA32">
            <v>3388</v>
          </cell>
          <cell r="FB32">
            <v>2674</v>
          </cell>
          <cell r="FC32"/>
          <cell r="FD32"/>
          <cell r="FE32">
            <v>68</v>
          </cell>
        </row>
        <row r="33">
          <cell r="EZ33">
            <v>2602</v>
          </cell>
          <cell r="FA33">
            <v>3467</v>
          </cell>
          <cell r="FB33">
            <v>2945</v>
          </cell>
          <cell r="FC33"/>
          <cell r="FD33"/>
          <cell r="FE33">
            <v>68</v>
          </cell>
        </row>
        <row r="37">
          <cell r="EZ37">
            <v>33</v>
          </cell>
          <cell r="FA37">
            <v>59</v>
          </cell>
          <cell r="FB37">
            <v>47</v>
          </cell>
          <cell r="FC37"/>
          <cell r="FD37"/>
          <cell r="FE37"/>
        </row>
        <row r="38">
          <cell r="EZ38">
            <v>26</v>
          </cell>
          <cell r="FA38">
            <v>49</v>
          </cell>
          <cell r="FB38">
            <v>44</v>
          </cell>
          <cell r="FC38"/>
          <cell r="FD38"/>
          <cell r="FE3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8319</v>
          </cell>
          <cell r="EZ41">
            <v>31136</v>
          </cell>
          <cell r="FA41">
            <v>30347</v>
          </cell>
          <cell r="FB41">
            <v>37657</v>
          </cell>
          <cell r="FC41">
            <v>23560</v>
          </cell>
          <cell r="FD41">
            <v>35163</v>
          </cell>
          <cell r="FE41">
            <v>17051</v>
          </cell>
        </row>
        <row r="47">
          <cell r="FE47">
            <v>374</v>
          </cell>
        </row>
        <row r="48">
          <cell r="FE48"/>
        </row>
        <row r="52">
          <cell r="FE52"/>
        </row>
        <row r="53">
          <cell r="FE53"/>
        </row>
        <row r="57">
          <cell r="FE57"/>
        </row>
        <row r="58">
          <cell r="BK58"/>
        </row>
        <row r="70">
          <cell r="FE70">
            <v>3866</v>
          </cell>
        </row>
        <row r="71">
          <cell r="FE71">
            <v>4631</v>
          </cell>
        </row>
        <row r="73">
          <cell r="FE73">
            <v>31</v>
          </cell>
        </row>
        <row r="74">
          <cell r="FE74">
            <v>37</v>
          </cell>
        </row>
      </sheetData>
      <sheetData sheetId="37">
        <row r="4">
          <cell r="FE4">
            <v>28</v>
          </cell>
        </row>
        <row r="5">
          <cell r="FE5">
            <v>28</v>
          </cell>
        </row>
        <row r="8">
          <cell r="FE8"/>
        </row>
        <row r="9">
          <cell r="FE9"/>
        </row>
        <row r="19">
          <cell r="EL19">
            <v>0</v>
          </cell>
          <cell r="EM19">
            <v>52</v>
          </cell>
          <cell r="EN19">
            <v>78</v>
          </cell>
          <cell r="EO19">
            <v>22</v>
          </cell>
          <cell r="EP19">
            <v>30</v>
          </cell>
          <cell r="EQ19">
            <v>56</v>
          </cell>
          <cell r="EZ19">
            <v>26</v>
          </cell>
          <cell r="FA19">
            <v>10</v>
          </cell>
          <cell r="FB19">
            <v>38</v>
          </cell>
          <cell r="FC19">
            <v>2</v>
          </cell>
          <cell r="FD19">
            <v>8</v>
          </cell>
          <cell r="FE19">
            <v>56</v>
          </cell>
        </row>
        <row r="22">
          <cell r="FE22">
            <v>1830</v>
          </cell>
        </row>
        <row r="23">
          <cell r="FE23">
            <v>1743</v>
          </cell>
        </row>
        <row r="27">
          <cell r="FE27">
            <v>67</v>
          </cell>
        </row>
        <row r="28">
          <cell r="FE28">
            <v>44</v>
          </cell>
        </row>
        <row r="41">
          <cell r="EL41">
            <v>0</v>
          </cell>
          <cell r="EM41">
            <v>3315</v>
          </cell>
          <cell r="EN41">
            <v>5015</v>
          </cell>
          <cell r="EO41">
            <v>1154</v>
          </cell>
          <cell r="EP41">
            <v>1948</v>
          </cell>
          <cell r="EQ41">
            <v>3585</v>
          </cell>
          <cell r="EZ41">
            <v>1669</v>
          </cell>
          <cell r="FA41">
            <v>590</v>
          </cell>
          <cell r="FB41">
            <v>2493</v>
          </cell>
          <cell r="FC41">
            <v>133</v>
          </cell>
          <cell r="FD41">
            <v>433</v>
          </cell>
          <cell r="FE41">
            <v>3573</v>
          </cell>
        </row>
        <row r="47">
          <cell r="FE47"/>
        </row>
        <row r="48">
          <cell r="FE48"/>
        </row>
        <row r="52">
          <cell r="FE52"/>
        </row>
        <row r="53">
          <cell r="FE53"/>
        </row>
        <row r="57">
          <cell r="AJ57"/>
        </row>
        <row r="58">
          <cell r="AJ58"/>
        </row>
      </sheetData>
      <sheetData sheetId="38"/>
      <sheetData sheetId="39">
        <row r="4">
          <cell r="FE4">
            <v>144</v>
          </cell>
        </row>
        <row r="5">
          <cell r="FE5">
            <v>144</v>
          </cell>
        </row>
        <row r="8">
          <cell r="FE8"/>
        </row>
        <row r="9">
          <cell r="FE9"/>
        </row>
        <row r="19">
          <cell r="EL19">
            <v>156</v>
          </cell>
          <cell r="EM19">
            <v>202</v>
          </cell>
          <cell r="EN19">
            <v>246</v>
          </cell>
          <cell r="EO19">
            <v>192</v>
          </cell>
          <cell r="EP19">
            <v>232</v>
          </cell>
          <cell r="EQ19">
            <v>322</v>
          </cell>
          <cell r="EZ19">
            <v>308</v>
          </cell>
          <cell r="FA19">
            <v>274</v>
          </cell>
          <cell r="FB19">
            <v>366</v>
          </cell>
          <cell r="FC19">
            <v>306</v>
          </cell>
          <cell r="FD19">
            <v>304</v>
          </cell>
          <cell r="FE19">
            <v>288</v>
          </cell>
        </row>
        <row r="22">
          <cell r="FE22">
            <v>8820</v>
          </cell>
        </row>
        <row r="23">
          <cell r="FE23">
            <v>8427</v>
          </cell>
        </row>
        <row r="27">
          <cell r="FE27">
            <v>374</v>
          </cell>
        </row>
        <row r="28">
          <cell r="FE28">
            <v>308</v>
          </cell>
        </row>
        <row r="41">
          <cell r="EL41">
            <v>0</v>
          </cell>
          <cell r="EM41">
            <v>11308</v>
          </cell>
          <cell r="EN41">
            <v>14983</v>
          </cell>
          <cell r="EO41">
            <v>10339</v>
          </cell>
          <cell r="EP41">
            <v>14128</v>
          </cell>
          <cell r="EQ41">
            <v>22228</v>
          </cell>
          <cell r="EZ41">
            <v>18312</v>
          </cell>
          <cell r="FA41">
            <v>15679</v>
          </cell>
          <cell r="FB41">
            <v>22620</v>
          </cell>
          <cell r="FC41">
            <v>17625</v>
          </cell>
          <cell r="FD41">
            <v>14898</v>
          </cell>
          <cell r="FE41">
            <v>17247</v>
          </cell>
        </row>
        <row r="47">
          <cell r="FE47"/>
        </row>
        <row r="48">
          <cell r="FE48"/>
        </row>
        <row r="52">
          <cell r="FE52"/>
        </row>
        <row r="53">
          <cell r="FE53"/>
        </row>
        <row r="57">
          <cell r="FE57"/>
        </row>
        <row r="58">
          <cell r="FE58"/>
        </row>
      </sheetData>
      <sheetData sheetId="40">
        <row r="4">
          <cell r="FE4"/>
        </row>
        <row r="5">
          <cell r="FE5"/>
        </row>
        <row r="8">
          <cell r="FE8"/>
        </row>
        <row r="9">
          <cell r="FE9"/>
        </row>
        <row r="19">
          <cell r="EL19">
            <v>14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</row>
        <row r="22">
          <cell r="FE22"/>
        </row>
        <row r="23">
          <cell r="FE23"/>
        </row>
        <row r="27">
          <cell r="FE27"/>
        </row>
        <row r="28">
          <cell r="FE28"/>
        </row>
        <row r="41">
          <cell r="EL41">
            <v>1079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</row>
        <row r="47">
          <cell r="FE47"/>
        </row>
        <row r="48">
          <cell r="FE48"/>
        </row>
        <row r="52">
          <cell r="FE52"/>
        </row>
        <row r="53">
          <cell r="FE53"/>
        </row>
        <row r="57">
          <cell r="AJ57"/>
        </row>
        <row r="58">
          <cell r="AJ58"/>
        </row>
      </sheetData>
      <sheetData sheetId="41"/>
      <sheetData sheetId="42">
        <row r="4">
          <cell r="FE4">
            <v>1719</v>
          </cell>
        </row>
        <row r="5">
          <cell r="FE5">
            <v>1717</v>
          </cell>
        </row>
        <row r="8">
          <cell r="FE8"/>
        </row>
        <row r="9">
          <cell r="FE9">
            <v>1</v>
          </cell>
        </row>
        <row r="15">
          <cell r="EZ15">
            <v>103</v>
          </cell>
          <cell r="FA15">
            <v>92</v>
          </cell>
          <cell r="FB15">
            <v>168</v>
          </cell>
          <cell r="FC15">
            <v>1</v>
          </cell>
          <cell r="FD15">
            <v>33</v>
          </cell>
          <cell r="FE15">
            <v>66</v>
          </cell>
        </row>
        <row r="16">
          <cell r="EZ16">
            <v>102</v>
          </cell>
          <cell r="FA16">
            <v>97</v>
          </cell>
          <cell r="FB16">
            <v>166</v>
          </cell>
          <cell r="FC16">
            <v>1</v>
          </cell>
          <cell r="FD16">
            <v>31</v>
          </cell>
          <cell r="FE16">
            <v>66</v>
          </cell>
        </row>
        <row r="19">
          <cell r="EL19">
            <v>4125</v>
          </cell>
          <cell r="EM19">
            <v>3562</v>
          </cell>
          <cell r="EN19">
            <v>4028</v>
          </cell>
          <cell r="EO19">
            <v>3566</v>
          </cell>
          <cell r="EP19">
            <v>4422</v>
          </cell>
          <cell r="EQ19">
            <v>4183</v>
          </cell>
          <cell r="EZ19">
            <v>3344</v>
          </cell>
          <cell r="FA19">
            <v>2955</v>
          </cell>
          <cell r="FB19">
            <v>3574</v>
          </cell>
          <cell r="FC19">
            <v>2461</v>
          </cell>
          <cell r="FD19">
            <v>2959</v>
          </cell>
          <cell r="FE19">
            <v>3569</v>
          </cell>
        </row>
        <row r="22">
          <cell r="FE22">
            <v>90129</v>
          </cell>
        </row>
        <row r="23">
          <cell r="FE23">
            <v>88344</v>
          </cell>
        </row>
        <row r="27">
          <cell r="FE27">
            <v>3488</v>
          </cell>
        </row>
        <row r="28">
          <cell r="FE28">
            <v>3641</v>
          </cell>
        </row>
        <row r="32">
          <cell r="EZ32">
            <v>5986</v>
          </cell>
          <cell r="FA32">
            <v>5797</v>
          </cell>
          <cell r="FB32">
            <v>9922</v>
          </cell>
          <cell r="FC32">
            <v>56</v>
          </cell>
          <cell r="FD32">
            <v>1820</v>
          </cell>
          <cell r="FE32">
            <v>4341</v>
          </cell>
        </row>
        <row r="33">
          <cell r="EZ33">
            <v>6062</v>
          </cell>
          <cell r="FA33">
            <v>6157</v>
          </cell>
          <cell r="FB33">
            <v>9894</v>
          </cell>
          <cell r="FC33">
            <v>60</v>
          </cell>
          <cell r="FD33">
            <v>2119</v>
          </cell>
          <cell r="FE33">
            <v>4458</v>
          </cell>
        </row>
        <row r="37">
          <cell r="EZ37">
            <v>112</v>
          </cell>
          <cell r="FA37">
            <v>136</v>
          </cell>
          <cell r="FB37">
            <v>114</v>
          </cell>
          <cell r="FC37">
            <v>4</v>
          </cell>
          <cell r="FD37">
            <v>21</v>
          </cell>
          <cell r="FE37">
            <v>59</v>
          </cell>
        </row>
        <row r="38">
          <cell r="EZ38">
            <v>88</v>
          </cell>
          <cell r="FA38">
            <v>145</v>
          </cell>
          <cell r="FB38">
            <v>154</v>
          </cell>
          <cell r="FC38">
            <v>1</v>
          </cell>
          <cell r="FD38">
            <v>26</v>
          </cell>
          <cell r="FE38">
            <v>78</v>
          </cell>
        </row>
        <row r="41">
          <cell r="EL41">
            <v>216575</v>
          </cell>
          <cell r="EM41">
            <v>198370</v>
          </cell>
          <cell r="EN41">
            <v>234179</v>
          </cell>
          <cell r="EO41">
            <v>204267</v>
          </cell>
          <cell r="EP41">
            <v>243730</v>
          </cell>
          <cell r="EQ41">
            <v>221756</v>
          </cell>
          <cell r="EZ41">
            <v>162729</v>
          </cell>
          <cell r="FA41">
            <v>143573</v>
          </cell>
          <cell r="FB41">
            <v>178581</v>
          </cell>
          <cell r="FC41">
            <v>122227</v>
          </cell>
          <cell r="FD41">
            <v>148960</v>
          </cell>
          <cell r="FE41">
            <v>187272</v>
          </cell>
        </row>
        <row r="47">
          <cell r="FE47"/>
        </row>
        <row r="48">
          <cell r="FE48"/>
        </row>
        <row r="52">
          <cell r="FE52"/>
        </row>
        <row r="53">
          <cell r="FE53"/>
        </row>
        <row r="57">
          <cell r="FE57"/>
        </row>
        <row r="58">
          <cell r="FE58"/>
        </row>
        <row r="70">
          <cell r="FE70">
            <v>28358</v>
          </cell>
        </row>
        <row r="71">
          <cell r="FE71">
            <v>59986</v>
          </cell>
        </row>
        <row r="73">
          <cell r="FE73">
            <v>1431</v>
          </cell>
        </row>
        <row r="74">
          <cell r="FE74">
            <v>3027</v>
          </cell>
        </row>
      </sheetData>
      <sheetData sheetId="43">
        <row r="4">
          <cell r="FE4">
            <v>22</v>
          </cell>
        </row>
        <row r="5">
          <cell r="FE5">
            <v>22</v>
          </cell>
        </row>
        <row r="8">
          <cell r="FE8"/>
        </row>
        <row r="9">
          <cell r="FE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18</v>
          </cell>
          <cell r="EQ19">
            <v>32</v>
          </cell>
          <cell r="EZ19">
            <v>34</v>
          </cell>
          <cell r="FA19">
            <v>40</v>
          </cell>
          <cell r="FB19">
            <v>44</v>
          </cell>
          <cell r="FC19">
            <v>36</v>
          </cell>
          <cell r="FD19">
            <v>44</v>
          </cell>
          <cell r="FE19">
            <v>44</v>
          </cell>
        </row>
        <row r="22">
          <cell r="FE22">
            <v>1149</v>
          </cell>
        </row>
        <row r="23">
          <cell r="FE23">
            <v>1061</v>
          </cell>
        </row>
        <row r="27">
          <cell r="FE27">
            <v>41</v>
          </cell>
        </row>
        <row r="28">
          <cell r="FE28">
            <v>33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1087</v>
          </cell>
          <cell r="EQ41">
            <v>1997</v>
          </cell>
          <cell r="EZ41">
            <v>1314</v>
          </cell>
          <cell r="FA41">
            <v>1518</v>
          </cell>
          <cell r="FB41">
            <v>2139</v>
          </cell>
          <cell r="FC41">
            <v>1675</v>
          </cell>
          <cell r="FD41">
            <v>2094</v>
          </cell>
          <cell r="FE41">
            <v>2210</v>
          </cell>
        </row>
        <row r="47">
          <cell r="FE47"/>
        </row>
        <row r="48">
          <cell r="FE48"/>
        </row>
        <row r="52">
          <cell r="FE52"/>
        </row>
        <row r="53">
          <cell r="FE53"/>
        </row>
        <row r="57">
          <cell r="FE57"/>
        </row>
        <row r="58">
          <cell r="BG58"/>
        </row>
      </sheetData>
      <sheetData sheetId="44">
        <row r="4">
          <cell r="FE4">
            <v>222</v>
          </cell>
        </row>
        <row r="5">
          <cell r="FE5">
            <v>223</v>
          </cell>
        </row>
        <row r="8">
          <cell r="FE8"/>
        </row>
        <row r="9">
          <cell r="FE9"/>
        </row>
        <row r="19">
          <cell r="EL19">
            <v>156</v>
          </cell>
          <cell r="EM19">
            <v>202</v>
          </cell>
          <cell r="EN19">
            <v>284</v>
          </cell>
          <cell r="EO19">
            <v>430</v>
          </cell>
          <cell r="EP19">
            <v>364</v>
          </cell>
          <cell r="EQ19">
            <v>409</v>
          </cell>
          <cell r="EZ19">
            <v>270</v>
          </cell>
          <cell r="FA19">
            <v>242</v>
          </cell>
          <cell r="FB19">
            <v>276</v>
          </cell>
          <cell r="FC19">
            <v>422</v>
          </cell>
          <cell r="FD19">
            <v>475</v>
          </cell>
          <cell r="FE19">
            <v>445</v>
          </cell>
        </row>
        <row r="22">
          <cell r="FE22">
            <v>11977</v>
          </cell>
        </row>
        <row r="23">
          <cell r="FE23">
            <v>12225</v>
          </cell>
        </row>
        <row r="27">
          <cell r="FE27">
            <v>529</v>
          </cell>
        </row>
        <row r="28">
          <cell r="FE28">
            <v>604</v>
          </cell>
        </row>
        <row r="41">
          <cell r="EL41">
            <v>7148</v>
          </cell>
          <cell r="EM41">
            <v>9738</v>
          </cell>
          <cell r="EN41">
            <v>15784</v>
          </cell>
          <cell r="EO41">
            <v>24382</v>
          </cell>
          <cell r="EP41">
            <v>23692</v>
          </cell>
          <cell r="EQ41">
            <v>28709</v>
          </cell>
          <cell r="EZ41">
            <v>9578</v>
          </cell>
          <cell r="FA41">
            <v>10413</v>
          </cell>
          <cell r="FB41">
            <v>14235</v>
          </cell>
          <cell r="FC41">
            <v>22218</v>
          </cell>
          <cell r="FD41">
            <v>24030</v>
          </cell>
          <cell r="FE41">
            <v>24202</v>
          </cell>
        </row>
        <row r="47">
          <cell r="FE47"/>
        </row>
        <row r="48">
          <cell r="FE48">
            <v>300</v>
          </cell>
        </row>
        <row r="52">
          <cell r="FE52">
            <v>1620</v>
          </cell>
        </row>
        <row r="53">
          <cell r="FE53"/>
        </row>
        <row r="57">
          <cell r="FE57"/>
        </row>
        <row r="58">
          <cell r="FE58"/>
        </row>
      </sheetData>
      <sheetData sheetId="45">
        <row r="4">
          <cell r="FE4">
            <v>181</v>
          </cell>
        </row>
        <row r="5">
          <cell r="FE5">
            <v>181</v>
          </cell>
        </row>
        <row r="8">
          <cell r="FE8"/>
        </row>
        <row r="9">
          <cell r="FE9"/>
        </row>
        <row r="19">
          <cell r="EL19">
            <v>0</v>
          </cell>
          <cell r="EM19">
            <v>128</v>
          </cell>
          <cell r="EN19">
            <v>162</v>
          </cell>
          <cell r="EO19">
            <v>178</v>
          </cell>
          <cell r="EP19">
            <v>210</v>
          </cell>
          <cell r="EQ19">
            <v>200</v>
          </cell>
          <cell r="EZ19">
            <v>234</v>
          </cell>
          <cell r="FA19">
            <v>198</v>
          </cell>
          <cell r="FB19">
            <v>252</v>
          </cell>
          <cell r="FC19">
            <v>314</v>
          </cell>
          <cell r="FD19">
            <v>382</v>
          </cell>
          <cell r="FE19">
            <v>362</v>
          </cell>
        </row>
        <row r="22">
          <cell r="FE22">
            <v>10607</v>
          </cell>
        </row>
        <row r="23">
          <cell r="FE23">
            <v>11131</v>
          </cell>
        </row>
        <row r="27">
          <cell r="FE27">
            <v>466</v>
          </cell>
        </row>
        <row r="28">
          <cell r="FE28">
            <v>438</v>
          </cell>
        </row>
        <row r="41">
          <cell r="EL41">
            <v>0</v>
          </cell>
          <cell r="EM41">
            <v>6656</v>
          </cell>
          <cell r="EN41">
            <v>10406</v>
          </cell>
          <cell r="EO41">
            <v>10010</v>
          </cell>
          <cell r="EP41">
            <v>12571</v>
          </cell>
          <cell r="EQ41">
            <v>13071</v>
          </cell>
          <cell r="EZ41">
            <v>13131</v>
          </cell>
          <cell r="FA41">
            <v>10499</v>
          </cell>
          <cell r="FB41">
            <v>15128</v>
          </cell>
          <cell r="FC41">
            <v>18279</v>
          </cell>
          <cell r="FD41">
            <v>19962</v>
          </cell>
          <cell r="FE41">
            <v>21738</v>
          </cell>
        </row>
        <row r="47">
          <cell r="FE47"/>
        </row>
        <row r="48">
          <cell r="FE48"/>
        </row>
        <row r="52">
          <cell r="FE52"/>
        </row>
        <row r="53">
          <cell r="FE53"/>
        </row>
      </sheetData>
      <sheetData sheetId="46">
        <row r="8">
          <cell r="FE8"/>
        </row>
        <row r="9">
          <cell r="FE9"/>
        </row>
        <row r="15">
          <cell r="EZ15"/>
          <cell r="FA15"/>
          <cell r="FB15"/>
          <cell r="FC15"/>
          <cell r="FD15"/>
          <cell r="FE15">
            <v>51</v>
          </cell>
        </row>
        <row r="16">
          <cell r="EZ16"/>
          <cell r="FA16"/>
          <cell r="FB16"/>
          <cell r="FC16"/>
          <cell r="FD16"/>
          <cell r="FE16">
            <v>51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102</v>
          </cell>
        </row>
        <row r="32">
          <cell r="EZ32"/>
          <cell r="FA32"/>
          <cell r="FB32"/>
          <cell r="FC32"/>
          <cell r="FD32"/>
          <cell r="FE32">
            <v>3301</v>
          </cell>
        </row>
        <row r="33">
          <cell r="EZ33"/>
          <cell r="FA33"/>
          <cell r="FB33"/>
          <cell r="FC33"/>
          <cell r="FD33"/>
          <cell r="FE33">
            <v>3307</v>
          </cell>
        </row>
        <row r="37">
          <cell r="EZ37"/>
          <cell r="FA37"/>
          <cell r="FB37"/>
          <cell r="FC37"/>
          <cell r="FD37"/>
          <cell r="FE37">
            <v>15</v>
          </cell>
        </row>
        <row r="38">
          <cell r="EZ38"/>
          <cell r="FA38"/>
          <cell r="FB38"/>
          <cell r="FC38"/>
          <cell r="FD38"/>
          <cell r="FE38">
            <v>22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6608</v>
          </cell>
        </row>
        <row r="47">
          <cell r="FE47"/>
        </row>
        <row r="48">
          <cell r="FE48"/>
        </row>
        <row r="52">
          <cell r="FE52"/>
        </row>
        <row r="53">
          <cell r="FE53"/>
        </row>
      </sheetData>
      <sheetData sheetId="47">
        <row r="4">
          <cell r="FE4">
            <v>2830</v>
          </cell>
        </row>
        <row r="5">
          <cell r="FE5">
            <v>2827</v>
          </cell>
        </row>
        <row r="8">
          <cell r="FE8"/>
        </row>
        <row r="9">
          <cell r="FE9">
            <v>4</v>
          </cell>
        </row>
        <row r="15">
          <cell r="EZ15">
            <v>85</v>
          </cell>
          <cell r="FA15">
            <v>78</v>
          </cell>
          <cell r="FB15">
            <v>84</v>
          </cell>
          <cell r="FC15">
            <v>215</v>
          </cell>
          <cell r="FD15">
            <v>231</v>
          </cell>
          <cell r="FE15">
            <v>181</v>
          </cell>
        </row>
        <row r="16">
          <cell r="EZ16">
            <v>86</v>
          </cell>
          <cell r="FA16">
            <v>75</v>
          </cell>
          <cell r="FB16">
            <v>89</v>
          </cell>
          <cell r="FC16">
            <v>214</v>
          </cell>
          <cell r="FD16">
            <v>231</v>
          </cell>
          <cell r="FE16">
            <v>179</v>
          </cell>
        </row>
        <row r="19">
          <cell r="EL19">
            <v>5231</v>
          </cell>
          <cell r="EM19">
            <v>5242</v>
          </cell>
          <cell r="EN19">
            <v>5940</v>
          </cell>
          <cell r="EO19">
            <v>6009</v>
          </cell>
          <cell r="EP19">
            <v>5693</v>
          </cell>
          <cell r="EQ19">
            <v>5658</v>
          </cell>
          <cell r="EZ19">
            <v>4715</v>
          </cell>
          <cell r="FA19">
            <v>4481</v>
          </cell>
          <cell r="FB19">
            <v>6005</v>
          </cell>
          <cell r="FC19">
            <v>6054</v>
          </cell>
          <cell r="FD19">
            <v>6697</v>
          </cell>
          <cell r="FE19">
            <v>6021</v>
          </cell>
        </row>
        <row r="22">
          <cell r="FE22">
            <v>133121</v>
          </cell>
        </row>
        <row r="23">
          <cell r="FE23">
            <v>135452</v>
          </cell>
        </row>
        <row r="27">
          <cell r="FE27">
            <v>5245</v>
          </cell>
        </row>
        <row r="28">
          <cell r="FE28">
            <v>5288</v>
          </cell>
        </row>
        <row r="32">
          <cell r="EZ32">
            <v>5070</v>
          </cell>
          <cell r="FA32">
            <v>4680</v>
          </cell>
          <cell r="FB32">
            <v>4572</v>
          </cell>
          <cell r="FC32">
            <v>13276</v>
          </cell>
          <cell r="FD32">
            <v>14022</v>
          </cell>
          <cell r="FE32">
            <v>11083</v>
          </cell>
        </row>
        <row r="33">
          <cell r="EZ33">
            <v>4789</v>
          </cell>
          <cell r="FA33">
            <v>4349</v>
          </cell>
          <cell r="FB33">
            <v>5099</v>
          </cell>
          <cell r="FC33">
            <v>13409</v>
          </cell>
          <cell r="FD33">
            <v>14756</v>
          </cell>
          <cell r="FE33">
            <v>11381</v>
          </cell>
        </row>
        <row r="37">
          <cell r="EZ37">
            <v>36</v>
          </cell>
          <cell r="FA37">
            <v>50</v>
          </cell>
          <cell r="FB37">
            <v>42</v>
          </cell>
          <cell r="FC37">
            <v>155</v>
          </cell>
          <cell r="FD37">
            <v>151</v>
          </cell>
          <cell r="FE37">
            <v>119</v>
          </cell>
        </row>
        <row r="38">
          <cell r="EZ38">
            <v>41</v>
          </cell>
          <cell r="FA38">
            <v>52</v>
          </cell>
          <cell r="FB38">
            <v>46</v>
          </cell>
          <cell r="FC38">
            <v>124</v>
          </cell>
          <cell r="FD38">
            <v>9</v>
          </cell>
          <cell r="FE38">
            <v>176</v>
          </cell>
        </row>
        <row r="41">
          <cell r="EL41">
            <v>213188</v>
          </cell>
          <cell r="EM41">
            <v>226213</v>
          </cell>
          <cell r="EN41">
            <v>264975</v>
          </cell>
          <cell r="EO41">
            <v>283352</v>
          </cell>
          <cell r="EP41">
            <v>261904</v>
          </cell>
          <cell r="EQ41">
            <v>260919</v>
          </cell>
          <cell r="EZ41">
            <v>204085</v>
          </cell>
          <cell r="FA41">
            <v>198392</v>
          </cell>
          <cell r="FB41">
            <v>284341</v>
          </cell>
          <cell r="FC41">
            <v>280105</v>
          </cell>
          <cell r="FD41">
            <v>315999</v>
          </cell>
          <cell r="FE41">
            <v>291037</v>
          </cell>
        </row>
        <row r="47">
          <cell r="FE47"/>
        </row>
        <row r="48">
          <cell r="FE48"/>
        </row>
        <row r="52">
          <cell r="FE52"/>
        </row>
        <row r="53">
          <cell r="FE53"/>
        </row>
        <row r="57">
          <cell r="FE57"/>
        </row>
        <row r="58">
          <cell r="FE58"/>
        </row>
        <row r="70">
          <cell r="FE70">
            <v>36707</v>
          </cell>
        </row>
        <row r="71">
          <cell r="FE71">
            <v>98745</v>
          </cell>
        </row>
        <row r="73">
          <cell r="FE73">
            <v>3084</v>
          </cell>
        </row>
        <row r="74">
          <cell r="FE74">
            <v>8297</v>
          </cell>
        </row>
      </sheetData>
      <sheetData sheetId="48">
        <row r="4">
          <cell r="FE4">
            <v>113</v>
          </cell>
        </row>
        <row r="5">
          <cell r="FE5">
            <v>113</v>
          </cell>
        </row>
        <row r="8">
          <cell r="FE8"/>
        </row>
        <row r="9">
          <cell r="FE9"/>
        </row>
        <row r="19">
          <cell r="EL19">
            <v>0</v>
          </cell>
          <cell r="EM19">
            <v>362</v>
          </cell>
          <cell r="EN19">
            <v>436</v>
          </cell>
          <cell r="EO19">
            <v>456</v>
          </cell>
          <cell r="EP19">
            <v>454</v>
          </cell>
          <cell r="EQ19">
            <v>456</v>
          </cell>
          <cell r="EZ19">
            <v>274</v>
          </cell>
          <cell r="FA19">
            <v>252</v>
          </cell>
          <cell r="FB19">
            <v>274</v>
          </cell>
          <cell r="FC19">
            <v>280</v>
          </cell>
          <cell r="FD19">
            <v>302</v>
          </cell>
          <cell r="FE19">
            <v>226</v>
          </cell>
        </row>
        <row r="22">
          <cell r="FE22">
            <v>7169</v>
          </cell>
        </row>
        <row r="23">
          <cell r="FE23">
            <v>7044</v>
          </cell>
        </row>
        <row r="27">
          <cell r="FE27">
            <v>179</v>
          </cell>
        </row>
        <row r="28">
          <cell r="FE28">
            <v>195</v>
          </cell>
        </row>
        <row r="41">
          <cell r="EL41">
            <v>0</v>
          </cell>
          <cell r="EM41">
            <v>23445</v>
          </cell>
          <cell r="EN41">
            <v>28961</v>
          </cell>
          <cell r="EO41">
            <v>27967</v>
          </cell>
          <cell r="EP41">
            <v>28862</v>
          </cell>
          <cell r="EQ41">
            <v>31143</v>
          </cell>
          <cell r="EZ41">
            <v>18583</v>
          </cell>
          <cell r="FA41">
            <v>16596</v>
          </cell>
          <cell r="FB41">
            <v>19125</v>
          </cell>
          <cell r="FC41">
            <v>17549</v>
          </cell>
          <cell r="FD41">
            <v>18374</v>
          </cell>
          <cell r="FE41">
            <v>14213</v>
          </cell>
        </row>
        <row r="47">
          <cell r="FE47"/>
        </row>
        <row r="48">
          <cell r="FE48"/>
        </row>
        <row r="52">
          <cell r="FE52"/>
        </row>
        <row r="53">
          <cell r="FE53"/>
        </row>
        <row r="57">
          <cell r="FE57"/>
        </row>
        <row r="58">
          <cell r="FE58"/>
        </row>
      </sheetData>
      <sheetData sheetId="49"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</row>
      </sheetData>
      <sheetData sheetId="50">
        <row r="4">
          <cell r="FE4">
            <v>4</v>
          </cell>
        </row>
        <row r="5">
          <cell r="FE5">
            <v>6</v>
          </cell>
        </row>
        <row r="8">
          <cell r="FE8"/>
        </row>
        <row r="9">
          <cell r="FE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Z19">
            <v>0</v>
          </cell>
          <cell r="FA19">
            <v>4</v>
          </cell>
          <cell r="FB19">
            <v>10</v>
          </cell>
          <cell r="FC19">
            <v>20</v>
          </cell>
          <cell r="FD19">
            <v>9</v>
          </cell>
          <cell r="FE19">
            <v>10</v>
          </cell>
        </row>
        <row r="22">
          <cell r="FE22">
            <v>246</v>
          </cell>
        </row>
        <row r="23">
          <cell r="FE23">
            <v>236</v>
          </cell>
        </row>
        <row r="27">
          <cell r="FE27">
            <v>18</v>
          </cell>
        </row>
        <row r="28">
          <cell r="FE28">
            <v>17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Z41">
            <v>0</v>
          </cell>
          <cell r="FA41">
            <v>232</v>
          </cell>
          <cell r="FB41">
            <v>431</v>
          </cell>
          <cell r="FC41">
            <v>1089</v>
          </cell>
          <cell r="FD41">
            <v>453</v>
          </cell>
          <cell r="FE41">
            <v>482</v>
          </cell>
        </row>
        <row r="47">
          <cell r="FE47"/>
        </row>
        <row r="48">
          <cell r="FE48"/>
        </row>
        <row r="52">
          <cell r="FE52"/>
        </row>
        <row r="53">
          <cell r="FE53"/>
        </row>
        <row r="57">
          <cell r="FE57"/>
        </row>
        <row r="58">
          <cell r="FE58"/>
        </row>
      </sheetData>
      <sheetData sheetId="51">
        <row r="4">
          <cell r="FE4">
            <v>30</v>
          </cell>
        </row>
        <row r="5">
          <cell r="FE5">
            <v>30</v>
          </cell>
        </row>
        <row r="8">
          <cell r="FE8"/>
        </row>
        <row r="9">
          <cell r="FE9"/>
        </row>
        <row r="19">
          <cell r="EL19">
            <v>0</v>
          </cell>
          <cell r="EM19">
            <v>0</v>
          </cell>
          <cell r="EN19">
            <v>60</v>
          </cell>
          <cell r="EO19">
            <v>60</v>
          </cell>
          <cell r="EP19">
            <v>64</v>
          </cell>
          <cell r="EQ19">
            <v>60</v>
          </cell>
          <cell r="EZ19">
            <v>57</v>
          </cell>
          <cell r="FA19">
            <v>56</v>
          </cell>
          <cell r="FB19">
            <v>62</v>
          </cell>
          <cell r="FC19">
            <v>60</v>
          </cell>
          <cell r="FD19">
            <v>62</v>
          </cell>
          <cell r="FE19">
            <v>60</v>
          </cell>
        </row>
        <row r="22">
          <cell r="FE22">
            <v>2088</v>
          </cell>
        </row>
        <row r="23">
          <cell r="FE23">
            <v>1974</v>
          </cell>
        </row>
        <row r="27">
          <cell r="FE27">
            <v>100</v>
          </cell>
        </row>
        <row r="28">
          <cell r="FE28">
            <v>92</v>
          </cell>
        </row>
        <row r="41">
          <cell r="EL41">
            <v>0</v>
          </cell>
          <cell r="EM41">
            <v>0</v>
          </cell>
          <cell r="EN41">
            <v>3995</v>
          </cell>
          <cell r="EO41">
            <v>3924</v>
          </cell>
          <cell r="EP41">
            <v>4036</v>
          </cell>
          <cell r="EQ41">
            <v>4002</v>
          </cell>
          <cell r="EZ41">
            <v>3510</v>
          </cell>
          <cell r="FA41">
            <v>3407</v>
          </cell>
          <cell r="FB41">
            <v>4221</v>
          </cell>
          <cell r="FC41">
            <v>4073</v>
          </cell>
          <cell r="FD41">
            <v>4209</v>
          </cell>
          <cell r="FE41">
            <v>4062</v>
          </cell>
        </row>
        <row r="47">
          <cell r="FE47">
            <v>38</v>
          </cell>
        </row>
        <row r="48">
          <cell r="FE48">
            <v>18</v>
          </cell>
        </row>
        <row r="52">
          <cell r="FE52">
            <v>25</v>
          </cell>
        </row>
        <row r="53">
          <cell r="FE53"/>
        </row>
        <row r="57">
          <cell r="FE57"/>
        </row>
        <row r="58">
          <cell r="FE58"/>
        </row>
      </sheetData>
      <sheetData sheetId="52">
        <row r="4">
          <cell r="FE4"/>
        </row>
        <row r="5">
          <cell r="FE5"/>
        </row>
        <row r="8">
          <cell r="FE8"/>
        </row>
        <row r="9">
          <cell r="FE9"/>
        </row>
        <row r="19">
          <cell r="EL19">
            <v>136</v>
          </cell>
          <cell r="EM19">
            <v>138</v>
          </cell>
          <cell r="EN19">
            <v>140</v>
          </cell>
          <cell r="EO19">
            <v>18</v>
          </cell>
          <cell r="EP19">
            <v>126</v>
          </cell>
          <cell r="EQ19">
            <v>126</v>
          </cell>
          <cell r="EZ19">
            <v>138</v>
          </cell>
          <cell r="FA19">
            <v>6</v>
          </cell>
          <cell r="FB19">
            <v>10</v>
          </cell>
          <cell r="FC19">
            <v>4</v>
          </cell>
          <cell r="FD19">
            <v>0</v>
          </cell>
          <cell r="FE19">
            <v>0</v>
          </cell>
        </row>
        <row r="22">
          <cell r="FE22"/>
        </row>
        <row r="23">
          <cell r="FE23"/>
        </row>
        <row r="27">
          <cell r="FE27"/>
        </row>
        <row r="28">
          <cell r="FE28"/>
        </row>
        <row r="41">
          <cell r="EL41">
            <v>6152</v>
          </cell>
          <cell r="EM41">
            <v>6170</v>
          </cell>
          <cell r="EN41">
            <v>5888</v>
          </cell>
          <cell r="EO41">
            <v>687</v>
          </cell>
          <cell r="EP41">
            <v>7606</v>
          </cell>
          <cell r="EQ41">
            <v>7606</v>
          </cell>
          <cell r="EZ41">
            <v>7577</v>
          </cell>
          <cell r="FA41">
            <v>241</v>
          </cell>
          <cell r="FB41">
            <v>425</v>
          </cell>
          <cell r="FC41">
            <v>253</v>
          </cell>
          <cell r="FD41">
            <v>0</v>
          </cell>
          <cell r="FE41">
            <v>0</v>
          </cell>
        </row>
        <row r="47">
          <cell r="FE47"/>
        </row>
        <row r="48">
          <cell r="FE48"/>
        </row>
        <row r="52">
          <cell r="FE52"/>
        </row>
        <row r="53">
          <cell r="FE53"/>
        </row>
        <row r="57">
          <cell r="FE57"/>
        </row>
        <row r="58">
          <cell r="BH58"/>
        </row>
        <row r="70">
          <cell r="FE70"/>
        </row>
        <row r="71">
          <cell r="FE71"/>
        </row>
        <row r="73">
          <cell r="FE73"/>
        </row>
        <row r="74">
          <cell r="FE74"/>
        </row>
      </sheetData>
      <sheetData sheetId="53">
        <row r="4">
          <cell r="FE4"/>
        </row>
        <row r="5">
          <cell r="FE5"/>
        </row>
        <row r="8">
          <cell r="FE8"/>
        </row>
        <row r="9">
          <cell r="FE9"/>
        </row>
        <row r="19">
          <cell r="EL19">
            <v>0</v>
          </cell>
          <cell r="EM19">
            <v>176</v>
          </cell>
          <cell r="EN19">
            <v>152</v>
          </cell>
          <cell r="EO19">
            <v>74</v>
          </cell>
          <cell r="EP19">
            <v>86</v>
          </cell>
          <cell r="EQ19">
            <v>26</v>
          </cell>
          <cell r="EZ19">
            <v>24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</row>
        <row r="22">
          <cell r="FE22"/>
        </row>
        <row r="23">
          <cell r="FE23"/>
        </row>
        <row r="27">
          <cell r="FE27"/>
        </row>
        <row r="28">
          <cell r="FE28"/>
        </row>
        <row r="41">
          <cell r="EL41">
            <v>0</v>
          </cell>
          <cell r="EM41">
            <v>9540</v>
          </cell>
          <cell r="EN41">
            <v>9375</v>
          </cell>
          <cell r="EO41">
            <v>4300</v>
          </cell>
          <cell r="EP41">
            <v>5132</v>
          </cell>
          <cell r="EQ41">
            <v>1709</v>
          </cell>
          <cell r="EZ41">
            <v>1273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</row>
        <row r="47">
          <cell r="FE47"/>
        </row>
        <row r="48">
          <cell r="FE48"/>
        </row>
        <row r="52">
          <cell r="FE52"/>
        </row>
        <row r="53">
          <cell r="FE53"/>
        </row>
        <row r="57">
          <cell r="FE57"/>
        </row>
        <row r="58">
          <cell r="BG58"/>
        </row>
      </sheetData>
      <sheetData sheetId="54"/>
      <sheetData sheetId="55"/>
      <sheetData sheetId="56"/>
      <sheetData sheetId="57">
        <row r="4">
          <cell r="FE4"/>
        </row>
        <row r="5">
          <cell r="FE5"/>
        </row>
        <row r="15">
          <cell r="EZ15"/>
          <cell r="FA15"/>
          <cell r="FB15"/>
          <cell r="FC15"/>
          <cell r="FD15"/>
        </row>
        <row r="16">
          <cell r="EZ16"/>
          <cell r="FA16"/>
          <cell r="FB16"/>
          <cell r="FC16"/>
          <cell r="FD16"/>
        </row>
        <row r="22">
          <cell r="FE22"/>
        </row>
        <row r="23">
          <cell r="FE23"/>
        </row>
        <row r="32">
          <cell r="EZ32"/>
          <cell r="FA32"/>
          <cell r="FB32"/>
          <cell r="FC32"/>
          <cell r="FD32"/>
          <cell r="FE32"/>
        </row>
        <row r="33">
          <cell r="EZ33"/>
          <cell r="FA33"/>
          <cell r="FB33"/>
          <cell r="FC33"/>
          <cell r="FD33"/>
          <cell r="FE33"/>
        </row>
        <row r="37">
          <cell r="EZ37"/>
          <cell r="FA37"/>
          <cell r="FB37"/>
          <cell r="FC37"/>
          <cell r="FD37"/>
          <cell r="FE37"/>
        </row>
        <row r="38">
          <cell r="EZ38"/>
          <cell r="FA38"/>
          <cell r="FB38"/>
          <cell r="FC38"/>
          <cell r="FD38"/>
          <cell r="FE38"/>
        </row>
      </sheetData>
      <sheetData sheetId="58">
        <row r="4">
          <cell r="FE4"/>
        </row>
        <row r="5">
          <cell r="FE5"/>
        </row>
        <row r="22">
          <cell r="FE22"/>
        </row>
        <row r="23">
          <cell r="FE23"/>
        </row>
        <row r="32">
          <cell r="FE32"/>
        </row>
        <row r="33">
          <cell r="FE33"/>
        </row>
      </sheetData>
      <sheetData sheetId="59">
        <row r="15">
          <cell r="EZ15"/>
          <cell r="FA15">
            <v>1</v>
          </cell>
          <cell r="FB15"/>
          <cell r="FC15"/>
          <cell r="FD15"/>
        </row>
        <row r="16">
          <cell r="EZ16"/>
          <cell r="FA16">
            <v>1</v>
          </cell>
          <cell r="FB16"/>
          <cell r="FC16"/>
          <cell r="FD16"/>
        </row>
        <row r="32">
          <cell r="EZ32"/>
          <cell r="FA32">
            <v>103</v>
          </cell>
          <cell r="FB32"/>
          <cell r="FC32"/>
          <cell r="FD32"/>
          <cell r="FE32"/>
        </row>
        <row r="33">
          <cell r="EZ33"/>
          <cell r="FA33">
            <v>102</v>
          </cell>
          <cell r="FB33"/>
          <cell r="FC33"/>
          <cell r="FD33"/>
          <cell r="FE33"/>
        </row>
        <row r="37">
          <cell r="EZ37"/>
          <cell r="FA37"/>
          <cell r="FB37"/>
          <cell r="FC37"/>
          <cell r="FD37"/>
          <cell r="FE37"/>
        </row>
        <row r="38">
          <cell r="EZ38"/>
          <cell r="FA38"/>
          <cell r="FB38"/>
          <cell r="FC38"/>
          <cell r="FD38"/>
          <cell r="FE38"/>
        </row>
      </sheetData>
      <sheetData sheetId="60"/>
      <sheetData sheetId="61">
        <row r="4">
          <cell r="FE4">
            <v>3</v>
          </cell>
        </row>
        <row r="5">
          <cell r="FE5">
            <v>3</v>
          </cell>
        </row>
        <row r="15">
          <cell r="EZ15"/>
          <cell r="FA15"/>
          <cell r="FB15"/>
          <cell r="FC15"/>
          <cell r="FD15"/>
          <cell r="FE15">
            <v>1</v>
          </cell>
        </row>
        <row r="16">
          <cell r="EZ16"/>
          <cell r="FA16"/>
          <cell r="FB16"/>
          <cell r="FC16"/>
          <cell r="FD16">
            <v>1</v>
          </cell>
          <cell r="FE16">
            <v>2</v>
          </cell>
        </row>
        <row r="22">
          <cell r="FE22">
            <v>489</v>
          </cell>
        </row>
        <row r="23">
          <cell r="FE23">
            <v>475</v>
          </cell>
        </row>
        <row r="32">
          <cell r="EZ32"/>
          <cell r="FA32"/>
          <cell r="FB32"/>
          <cell r="FC32"/>
          <cell r="FD32"/>
          <cell r="FE32">
            <v>340</v>
          </cell>
        </row>
        <row r="33">
          <cell r="EZ33"/>
          <cell r="FA33"/>
          <cell r="FB33"/>
          <cell r="FC33"/>
          <cell r="FD33">
            <v>240</v>
          </cell>
          <cell r="FE33">
            <v>336</v>
          </cell>
        </row>
        <row r="37">
          <cell r="EZ37"/>
          <cell r="FA37"/>
          <cell r="FB37"/>
          <cell r="FC37"/>
          <cell r="FD37"/>
          <cell r="FE37"/>
        </row>
        <row r="38">
          <cell r="EZ38"/>
          <cell r="FA38"/>
          <cell r="FB38"/>
          <cell r="FC38"/>
          <cell r="FD38"/>
          <cell r="FE38"/>
        </row>
      </sheetData>
      <sheetData sheetId="62"/>
      <sheetData sheetId="63">
        <row r="4">
          <cell r="FE4">
            <v>23</v>
          </cell>
        </row>
        <row r="5">
          <cell r="FE5">
            <v>23</v>
          </cell>
        </row>
        <row r="12">
          <cell r="EL12">
            <v>42</v>
          </cell>
          <cell r="EM12">
            <v>42</v>
          </cell>
          <cell r="EN12">
            <v>46</v>
          </cell>
          <cell r="EO12">
            <v>42</v>
          </cell>
          <cell r="EP12">
            <v>44</v>
          </cell>
          <cell r="EQ12">
            <v>44</v>
          </cell>
          <cell r="EZ12">
            <v>44</v>
          </cell>
          <cell r="FA12">
            <v>40</v>
          </cell>
          <cell r="FB12">
            <v>44</v>
          </cell>
          <cell r="FC12">
            <v>40</v>
          </cell>
          <cell r="FD12">
            <v>44</v>
          </cell>
          <cell r="FE12">
            <v>46</v>
          </cell>
        </row>
        <row r="47">
          <cell r="FE47">
            <v>800135</v>
          </cell>
        </row>
        <row r="48">
          <cell r="FE48"/>
        </row>
        <row r="52">
          <cell r="FE52">
            <v>585643</v>
          </cell>
        </row>
        <row r="53">
          <cell r="FE53"/>
        </row>
        <row r="57">
          <cell r="FE57"/>
        </row>
        <row r="58">
          <cell r="FE58"/>
        </row>
        <row r="64">
          <cell r="EL64">
            <v>1034709</v>
          </cell>
          <cell r="EM64">
            <v>1004065</v>
          </cell>
          <cell r="EN64">
            <v>1166815</v>
          </cell>
          <cell r="EO64">
            <v>1192061</v>
          </cell>
          <cell r="EP64">
            <v>1131610</v>
          </cell>
          <cell r="EQ64">
            <v>1229056</v>
          </cell>
          <cell r="EZ64">
            <v>1093963</v>
          </cell>
          <cell r="FA64">
            <v>1067092</v>
          </cell>
          <cell r="FB64">
            <v>1346354</v>
          </cell>
          <cell r="FC64">
            <v>1210759</v>
          </cell>
          <cell r="FD64">
            <v>1377240</v>
          </cell>
          <cell r="FE64">
            <v>1385778</v>
          </cell>
        </row>
      </sheetData>
      <sheetData sheetId="64">
        <row r="4">
          <cell r="FE4">
            <v>23</v>
          </cell>
        </row>
        <row r="5">
          <cell r="FE5">
            <v>23</v>
          </cell>
        </row>
        <row r="12">
          <cell r="EL12">
            <v>60</v>
          </cell>
          <cell r="EM12">
            <v>60</v>
          </cell>
          <cell r="EN12">
            <v>72</v>
          </cell>
          <cell r="EO12">
            <v>68</v>
          </cell>
          <cell r="EP12">
            <v>64</v>
          </cell>
          <cell r="EQ12">
            <v>70</v>
          </cell>
          <cell r="EZ12">
            <v>62</v>
          </cell>
          <cell r="FA12">
            <v>64</v>
          </cell>
          <cell r="FB12">
            <v>72</v>
          </cell>
          <cell r="FC12">
            <v>60</v>
          </cell>
          <cell r="FD12">
            <v>66</v>
          </cell>
          <cell r="FE12">
            <v>46</v>
          </cell>
        </row>
        <row r="47">
          <cell r="FE47">
            <v>29127</v>
          </cell>
        </row>
        <row r="48">
          <cell r="FE48"/>
        </row>
        <row r="52">
          <cell r="FE52">
            <v>18378</v>
          </cell>
        </row>
        <row r="53">
          <cell r="FE53"/>
        </row>
        <row r="57">
          <cell r="FE57"/>
        </row>
        <row r="58">
          <cell r="FE58"/>
        </row>
        <row r="64">
          <cell r="EL64">
            <v>70629</v>
          </cell>
          <cell r="EM64">
            <v>72774</v>
          </cell>
          <cell r="EN64">
            <v>53492</v>
          </cell>
          <cell r="EO64">
            <v>80740</v>
          </cell>
          <cell r="EP64">
            <v>94852</v>
          </cell>
          <cell r="EQ64">
            <v>92211</v>
          </cell>
          <cell r="EZ64">
            <v>79728</v>
          </cell>
          <cell r="FA64">
            <v>82812</v>
          </cell>
          <cell r="FB64">
            <v>95553</v>
          </cell>
          <cell r="FC64">
            <v>85264</v>
          </cell>
          <cell r="FD64">
            <v>75044</v>
          </cell>
          <cell r="FE64">
            <v>47505</v>
          </cell>
        </row>
      </sheetData>
      <sheetData sheetId="65">
        <row r="12"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</row>
        <row r="15">
          <cell r="FE15">
            <v>23</v>
          </cell>
        </row>
        <row r="16">
          <cell r="FE16">
            <v>23</v>
          </cell>
        </row>
        <row r="47">
          <cell r="FE47">
            <v>29411</v>
          </cell>
        </row>
        <row r="48">
          <cell r="FE48"/>
        </row>
        <row r="52">
          <cell r="FE52">
            <v>69906</v>
          </cell>
        </row>
        <row r="53">
          <cell r="FE53"/>
        </row>
        <row r="57">
          <cell r="FE57"/>
        </row>
        <row r="58">
          <cell r="FE58"/>
        </row>
        <row r="64">
          <cell r="EL64">
            <v>82875</v>
          </cell>
          <cell r="EM64">
            <v>77642</v>
          </cell>
          <cell r="EN64">
            <v>83641</v>
          </cell>
          <cell r="EO64">
            <v>85495</v>
          </cell>
          <cell r="EP64">
            <v>98228</v>
          </cell>
          <cell r="EQ64">
            <v>96082</v>
          </cell>
          <cell r="EZ64">
            <v>91167</v>
          </cell>
          <cell r="FA64">
            <v>84036</v>
          </cell>
          <cell r="FB64">
            <v>106256</v>
          </cell>
          <cell r="FC64">
            <v>111141</v>
          </cell>
          <cell r="FD64">
            <v>102302</v>
          </cell>
          <cell r="FE64">
            <v>99317</v>
          </cell>
        </row>
      </sheetData>
      <sheetData sheetId="66">
        <row r="4">
          <cell r="FE4">
            <v>88</v>
          </cell>
        </row>
        <row r="5">
          <cell r="FE5">
            <v>88</v>
          </cell>
        </row>
        <row r="12">
          <cell r="EL12">
            <v>168</v>
          </cell>
          <cell r="EM12">
            <v>158</v>
          </cell>
          <cell r="EN12">
            <v>186</v>
          </cell>
          <cell r="EO12">
            <v>166</v>
          </cell>
          <cell r="EP12">
            <v>164</v>
          </cell>
          <cell r="EQ12">
            <v>180</v>
          </cell>
          <cell r="EZ12">
            <v>176</v>
          </cell>
          <cell r="FA12">
            <v>168</v>
          </cell>
          <cell r="FB12">
            <v>198</v>
          </cell>
          <cell r="FC12">
            <v>176</v>
          </cell>
          <cell r="FD12">
            <v>173</v>
          </cell>
          <cell r="FE12">
            <v>176</v>
          </cell>
        </row>
        <row r="47">
          <cell r="FE47">
            <v>8820963</v>
          </cell>
        </row>
        <row r="48">
          <cell r="FE48"/>
        </row>
        <row r="52">
          <cell r="FE52">
            <v>8417392</v>
          </cell>
        </row>
        <row r="53">
          <cell r="FE53"/>
        </row>
        <row r="57">
          <cell r="FE57"/>
        </row>
        <row r="58">
          <cell r="FE58"/>
        </row>
        <row r="64">
          <cell r="EL64">
            <v>13508046</v>
          </cell>
          <cell r="EM64">
            <v>13691560</v>
          </cell>
          <cell r="EN64">
            <v>17008175</v>
          </cell>
          <cell r="EO64">
            <v>18114314</v>
          </cell>
          <cell r="EP64">
            <v>16172210</v>
          </cell>
          <cell r="EQ64">
            <v>17428529</v>
          </cell>
          <cell r="EZ64">
            <v>16128912</v>
          </cell>
          <cell r="FA64">
            <v>15428532</v>
          </cell>
          <cell r="FB64">
            <v>18335805</v>
          </cell>
          <cell r="FC64">
            <v>16563701</v>
          </cell>
          <cell r="FD64">
            <v>16566746</v>
          </cell>
          <cell r="FE64">
            <v>17238355</v>
          </cell>
        </row>
      </sheetData>
      <sheetData sheetId="67">
        <row r="4">
          <cell r="FE4">
            <v>99</v>
          </cell>
        </row>
        <row r="5">
          <cell r="FE5">
            <v>99</v>
          </cell>
        </row>
        <row r="12">
          <cell r="EL12">
            <v>166</v>
          </cell>
          <cell r="EM12">
            <v>158</v>
          </cell>
          <cell r="EN12">
            <v>180</v>
          </cell>
          <cell r="EO12">
            <v>162</v>
          </cell>
          <cell r="EP12">
            <v>170</v>
          </cell>
          <cell r="EQ12">
            <v>180</v>
          </cell>
          <cell r="EZ12">
            <v>182</v>
          </cell>
          <cell r="FA12">
            <v>166</v>
          </cell>
          <cell r="FB12">
            <v>204</v>
          </cell>
          <cell r="FC12">
            <v>180</v>
          </cell>
          <cell r="FD12">
            <v>196</v>
          </cell>
          <cell r="FE12">
            <v>198</v>
          </cell>
        </row>
        <row r="15">
          <cell r="FE15">
            <v>17</v>
          </cell>
        </row>
        <row r="16">
          <cell r="FE16">
            <v>17</v>
          </cell>
        </row>
        <row r="47">
          <cell r="FE47">
            <v>6303420</v>
          </cell>
        </row>
        <row r="48">
          <cell r="FE48">
            <v>3345</v>
          </cell>
        </row>
        <row r="52">
          <cell r="FE52">
            <v>5369629</v>
          </cell>
        </row>
        <row r="53">
          <cell r="FE53">
            <v>591797</v>
          </cell>
        </row>
        <row r="57">
          <cell r="FE57"/>
        </row>
        <row r="58">
          <cell r="FE58"/>
        </row>
        <row r="64">
          <cell r="EL64">
            <v>4632931</v>
          </cell>
          <cell r="EM64">
            <v>8376226</v>
          </cell>
          <cell r="EN64">
            <v>10239742</v>
          </cell>
          <cell r="EO64">
            <v>9415305</v>
          </cell>
          <cell r="EP64">
            <v>9121506</v>
          </cell>
          <cell r="EQ64">
            <v>6118201</v>
          </cell>
          <cell r="EZ64">
            <v>8668992</v>
          </cell>
          <cell r="FA64">
            <v>9141105</v>
          </cell>
          <cell r="FB64">
            <v>11583602</v>
          </cell>
          <cell r="FC64">
            <v>9526510</v>
          </cell>
          <cell r="FD64">
            <v>11726316</v>
          </cell>
          <cell r="FE64">
            <v>12268191</v>
          </cell>
        </row>
      </sheetData>
      <sheetData sheetId="68"/>
      <sheetData sheetId="69"/>
      <sheetData sheetId="70"/>
      <sheetData sheetId="71">
        <row r="4">
          <cell r="FE4">
            <v>273</v>
          </cell>
        </row>
        <row r="5">
          <cell r="FE5">
            <v>273</v>
          </cell>
        </row>
        <row r="12">
          <cell r="EL12">
            <v>456</v>
          </cell>
          <cell r="EM12">
            <v>438</v>
          </cell>
          <cell r="EN12">
            <v>486</v>
          </cell>
          <cell r="EO12">
            <v>444</v>
          </cell>
          <cell r="EP12">
            <v>492</v>
          </cell>
          <cell r="EQ12">
            <v>514</v>
          </cell>
          <cell r="EZ12">
            <v>540</v>
          </cell>
          <cell r="FA12">
            <v>492</v>
          </cell>
          <cell r="FB12">
            <v>566</v>
          </cell>
          <cell r="FC12">
            <v>494</v>
          </cell>
          <cell r="FD12">
            <v>576</v>
          </cell>
          <cell r="FE12">
            <v>546</v>
          </cell>
        </row>
      </sheetData>
      <sheetData sheetId="72">
        <row r="4">
          <cell r="FE4">
            <v>2</v>
          </cell>
        </row>
        <row r="5">
          <cell r="FE5">
            <v>2</v>
          </cell>
        </row>
        <row r="12">
          <cell r="EL12">
            <v>42</v>
          </cell>
          <cell r="EM12">
            <v>40</v>
          </cell>
          <cell r="EN12">
            <v>48</v>
          </cell>
          <cell r="EO12">
            <v>42</v>
          </cell>
          <cell r="EP12">
            <v>46</v>
          </cell>
          <cell r="EQ12">
            <v>48</v>
          </cell>
          <cell r="EZ12">
            <v>40</v>
          </cell>
          <cell r="FA12">
            <v>42</v>
          </cell>
          <cell r="FB12">
            <v>48</v>
          </cell>
          <cell r="FC12">
            <v>40</v>
          </cell>
          <cell r="FD12">
            <v>48</v>
          </cell>
          <cell r="FE12">
            <v>4</v>
          </cell>
        </row>
        <row r="47">
          <cell r="FE47">
            <v>2098</v>
          </cell>
        </row>
        <row r="48">
          <cell r="FE48"/>
        </row>
        <row r="52">
          <cell r="FE52">
            <v>3741</v>
          </cell>
        </row>
        <row r="53">
          <cell r="FE53"/>
        </row>
        <row r="57">
          <cell r="FE57"/>
        </row>
        <row r="58">
          <cell r="FE58"/>
        </row>
        <row r="64">
          <cell r="EL64">
            <v>56525</v>
          </cell>
          <cell r="EM64">
            <v>55962</v>
          </cell>
          <cell r="EN64">
            <v>67121</v>
          </cell>
          <cell r="EO64">
            <v>59466</v>
          </cell>
          <cell r="EP64">
            <v>63422</v>
          </cell>
          <cell r="EQ64">
            <v>65327</v>
          </cell>
          <cell r="EZ64">
            <v>60838</v>
          </cell>
          <cell r="FA64">
            <v>59935</v>
          </cell>
          <cell r="FB64">
            <v>70245</v>
          </cell>
          <cell r="FC64">
            <v>56790</v>
          </cell>
          <cell r="FD64">
            <v>62797</v>
          </cell>
          <cell r="FE64">
            <v>5839</v>
          </cell>
        </row>
      </sheetData>
      <sheetData sheetId="73">
        <row r="4">
          <cell r="FE4">
            <v>22</v>
          </cell>
        </row>
        <row r="5">
          <cell r="FE5">
            <v>22</v>
          </cell>
        </row>
        <row r="12">
          <cell r="EL12">
            <v>42</v>
          </cell>
          <cell r="EM12">
            <v>38</v>
          </cell>
          <cell r="EN12">
            <v>46</v>
          </cell>
          <cell r="EO12">
            <v>42</v>
          </cell>
          <cell r="EP12">
            <v>40</v>
          </cell>
          <cell r="EQ12">
            <v>42</v>
          </cell>
          <cell r="EZ12">
            <v>40</v>
          </cell>
          <cell r="FA12">
            <v>34</v>
          </cell>
          <cell r="FB12">
            <v>46</v>
          </cell>
          <cell r="FC12">
            <v>42</v>
          </cell>
          <cell r="FD12">
            <v>42</v>
          </cell>
          <cell r="FE12">
            <v>44</v>
          </cell>
        </row>
        <row r="47">
          <cell r="FE47">
            <v>66705</v>
          </cell>
        </row>
        <row r="48">
          <cell r="FE48"/>
        </row>
        <row r="52">
          <cell r="FE52">
            <v>146005</v>
          </cell>
        </row>
        <row r="53">
          <cell r="FE53"/>
        </row>
        <row r="57">
          <cell r="FE57"/>
        </row>
        <row r="58">
          <cell r="FE58"/>
        </row>
        <row r="64">
          <cell r="EL64">
            <v>153663</v>
          </cell>
          <cell r="EM64">
            <v>138958</v>
          </cell>
          <cell r="EN64">
            <v>167837</v>
          </cell>
          <cell r="EO64">
            <v>179812</v>
          </cell>
          <cell r="EP64">
            <v>176293</v>
          </cell>
          <cell r="EQ64">
            <v>160643</v>
          </cell>
          <cell r="EZ64">
            <v>158796</v>
          </cell>
          <cell r="FA64">
            <v>143386</v>
          </cell>
          <cell r="FB64">
            <v>208041</v>
          </cell>
          <cell r="FC64">
            <v>147209</v>
          </cell>
          <cell r="FD64">
            <v>202827</v>
          </cell>
          <cell r="FE64">
            <v>212710</v>
          </cell>
        </row>
      </sheetData>
      <sheetData sheetId="74">
        <row r="4">
          <cell r="FE4">
            <v>22</v>
          </cell>
        </row>
        <row r="5">
          <cell r="FE5">
            <v>22</v>
          </cell>
        </row>
        <row r="8">
          <cell r="FE8"/>
        </row>
        <row r="9">
          <cell r="FE9"/>
        </row>
        <row r="12">
          <cell r="EL12">
            <v>40</v>
          </cell>
          <cell r="EM12">
            <v>42</v>
          </cell>
          <cell r="EN12">
            <v>46</v>
          </cell>
          <cell r="EO12">
            <v>42</v>
          </cell>
          <cell r="EP12">
            <v>42</v>
          </cell>
          <cell r="EQ12">
            <v>62</v>
          </cell>
          <cell r="EZ12">
            <v>43</v>
          </cell>
          <cell r="FA12">
            <v>40</v>
          </cell>
          <cell r="FB12">
            <v>46</v>
          </cell>
          <cell r="FC12">
            <v>40</v>
          </cell>
          <cell r="FD12">
            <v>46</v>
          </cell>
          <cell r="FE12">
            <v>44</v>
          </cell>
        </row>
        <row r="47">
          <cell r="FE47">
            <v>54705</v>
          </cell>
        </row>
        <row r="48">
          <cell r="FE48"/>
        </row>
        <row r="52">
          <cell r="FE52">
            <v>38129</v>
          </cell>
        </row>
        <row r="53">
          <cell r="FE53"/>
        </row>
        <row r="57">
          <cell r="FE57"/>
        </row>
        <row r="58">
          <cell r="FE58"/>
        </row>
        <row r="64">
          <cell r="EL64">
            <v>65087</v>
          </cell>
          <cell r="EM64">
            <v>64716</v>
          </cell>
          <cell r="EN64">
            <v>78072</v>
          </cell>
          <cell r="EO64">
            <v>78587</v>
          </cell>
          <cell r="EP64">
            <v>74510</v>
          </cell>
          <cell r="EQ64">
            <v>84472</v>
          </cell>
          <cell r="EZ64">
            <v>49029</v>
          </cell>
          <cell r="FA64">
            <v>86453</v>
          </cell>
          <cell r="FB64">
            <v>105620</v>
          </cell>
          <cell r="FC64">
            <v>87379</v>
          </cell>
          <cell r="FD64">
            <v>104850</v>
          </cell>
          <cell r="FE64">
            <v>92834</v>
          </cell>
        </row>
      </sheetData>
      <sheetData sheetId="75">
        <row r="4">
          <cell r="FE4">
            <v>34</v>
          </cell>
        </row>
        <row r="5">
          <cell r="FE5">
            <v>34</v>
          </cell>
        </row>
      </sheetData>
      <sheetData sheetId="76">
        <row r="4">
          <cell r="FE4">
            <v>975</v>
          </cell>
        </row>
        <row r="5">
          <cell r="FE5">
            <v>974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129673</v>
          </cell>
          <cell r="C21">
            <v>127074</v>
          </cell>
          <cell r="L21">
            <v>1335734</v>
          </cell>
          <cell r="M21">
            <v>1356692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268275</v>
          </cell>
          <cell r="I21">
            <v>2429109</v>
          </cell>
          <cell r="N21">
            <v>2697384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134960</v>
          </cell>
          <cell r="C22">
            <v>137503</v>
          </cell>
          <cell r="L22">
            <v>1297117</v>
          </cell>
          <cell r="M22">
            <v>1313305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281871</v>
          </cell>
          <cell r="I22">
            <v>2359956</v>
          </cell>
          <cell r="N22">
            <v>2641827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173394</v>
          </cell>
          <cell r="C23">
            <v>175057</v>
          </cell>
          <cell r="L23">
            <v>1700094</v>
          </cell>
          <cell r="M23">
            <v>1731587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340464</v>
          </cell>
          <cell r="I23">
            <v>2975759</v>
          </cell>
          <cell r="N23">
            <v>3316223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A3" sqref="A3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84">
        <v>42887</v>
      </c>
      <c r="B2" s="17"/>
      <c r="C2" s="17"/>
      <c r="D2" s="523" t="s">
        <v>196</v>
      </c>
      <c r="E2" s="523" t="s">
        <v>171</v>
      </c>
      <c r="F2" s="8"/>
      <c r="G2" s="8"/>
      <c r="H2" s="8"/>
      <c r="I2" s="8"/>
      <c r="J2" s="23"/>
    </row>
    <row r="3" spans="1:14" ht="13.5" thickBot="1" x14ac:dyDescent="0.25">
      <c r="A3" s="390"/>
      <c r="B3" s="8" t="s">
        <v>0</v>
      </c>
      <c r="C3" s="8" t="s">
        <v>1</v>
      </c>
      <c r="D3" s="524"/>
      <c r="E3" s="525"/>
      <c r="F3" s="8" t="s">
        <v>2</v>
      </c>
      <c r="G3" s="8" t="s">
        <v>197</v>
      </c>
      <c r="H3" s="8" t="s">
        <v>172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4">
        <f>'Major Airline Stats'!J4</f>
        <v>1360441</v>
      </c>
      <c r="C5" s="296">
        <f>'Major Airline Stats'!J5</f>
        <v>1341128</v>
      </c>
      <c r="D5" s="5">
        <f>'Major Airline Stats'!J6</f>
        <v>2701569</v>
      </c>
      <c r="E5" s="9">
        <f>'[1]Monthly Summary'!D5</f>
        <v>2600403</v>
      </c>
      <c r="F5" s="39">
        <f>(D5-E5)/E5</f>
        <v>3.8903969884667877E-2</v>
      </c>
      <c r="G5" s="9">
        <f>+D5+'[2]Monthly Summary'!G5</f>
        <v>14109531</v>
      </c>
      <c r="H5" s="9">
        <f>'[1]Monthly Summary'!G5</f>
        <v>13555333</v>
      </c>
      <c r="I5" s="85">
        <f>(G5-H5)/H5</f>
        <v>4.0884130253384408E-2</v>
      </c>
      <c r="J5" s="9"/>
    </row>
    <row r="6" spans="1:14" x14ac:dyDescent="0.2">
      <c r="A6" s="67" t="s">
        <v>5</v>
      </c>
      <c r="B6" s="294">
        <f>'Regional Major'!M5</f>
        <v>339365</v>
      </c>
      <c r="C6" s="294">
        <f>'Regional Major'!M6</f>
        <v>339927</v>
      </c>
      <c r="D6" s="5">
        <f>B6+C6</f>
        <v>679292</v>
      </c>
      <c r="E6" s="9">
        <f>'[1]Monthly Summary'!D6</f>
        <v>753772</v>
      </c>
      <c r="F6" s="39">
        <f>(D6-E6)/E6</f>
        <v>-9.8809719649973732E-2</v>
      </c>
      <c r="G6" s="9">
        <f>+D6+'[2]Monthly Summary'!G6</f>
        <v>3816336</v>
      </c>
      <c r="H6" s="9">
        <f>'[1]Monthly Summary'!G6</f>
        <v>4157625</v>
      </c>
      <c r="I6" s="85">
        <f>(G6-H6)/H6</f>
        <v>-8.2087489852980963E-2</v>
      </c>
      <c r="J6" s="20"/>
      <c r="K6" s="2"/>
    </row>
    <row r="7" spans="1:14" x14ac:dyDescent="0.2">
      <c r="A7" s="67" t="s">
        <v>6</v>
      </c>
      <c r="B7" s="9">
        <f>Charter!G5</f>
        <v>829</v>
      </c>
      <c r="C7" s="295">
        <f>Charter!G6</f>
        <v>811</v>
      </c>
      <c r="D7" s="5">
        <f>B7+C7</f>
        <v>1640</v>
      </c>
      <c r="E7" s="9">
        <f>'[1]Monthly Summary'!D7</f>
        <v>787</v>
      </c>
      <c r="F7" s="39">
        <f>(D7-E7)/E7</f>
        <v>1.0838627700127066</v>
      </c>
      <c r="G7" s="9">
        <f>+D7+'[2]Monthly Summary'!G7</f>
        <v>2915</v>
      </c>
      <c r="H7" s="9">
        <f>'[1]Monthly Summary'!G7</f>
        <v>2391</v>
      </c>
      <c r="I7" s="85">
        <f>(G7-H7)/H7</f>
        <v>0.219155165202844</v>
      </c>
      <c r="J7" s="20"/>
      <c r="K7" s="2"/>
    </row>
    <row r="8" spans="1:14" x14ac:dyDescent="0.2">
      <c r="A8" s="70" t="s">
        <v>7</v>
      </c>
      <c r="B8" s="148">
        <f>SUM(B5:B7)</f>
        <v>1700635</v>
      </c>
      <c r="C8" s="148">
        <f>SUM(C5:C7)</f>
        <v>1681866</v>
      </c>
      <c r="D8" s="148">
        <f>SUM(D5:D7)</f>
        <v>3382501</v>
      </c>
      <c r="E8" s="148">
        <f>SUM(E5:E7)</f>
        <v>3354962</v>
      </c>
      <c r="F8" s="92">
        <f>(D8-E8)/E8</f>
        <v>8.2084387244922598E-3</v>
      </c>
      <c r="G8" s="148">
        <f>SUM(G5:G7)</f>
        <v>17928782</v>
      </c>
      <c r="H8" s="148">
        <f>SUM(H5:H7)</f>
        <v>17715349</v>
      </c>
      <c r="I8" s="91">
        <f>(G8-H8)/H8</f>
        <v>1.2047913930456577E-2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297">
        <f>'Major Airline Stats'!J9+'Regional Major'!M10</f>
        <v>56209</v>
      </c>
      <c r="C10" s="297">
        <f>'Major Airline Stats'!J10+'Regional Major'!M11</f>
        <v>56892</v>
      </c>
      <c r="D10" s="120">
        <f>SUM(B10:C10)</f>
        <v>113101</v>
      </c>
      <c r="E10" s="120">
        <f>'[1]Monthly Summary'!D10</f>
        <v>101908</v>
      </c>
      <c r="F10" s="93">
        <f>(D10-E10)/E10</f>
        <v>0.1098343604035012</v>
      </c>
      <c r="G10" s="120">
        <f>+D10+'[2]Monthly Summary'!G10</f>
        <v>602091</v>
      </c>
      <c r="H10" s="120">
        <f>'[1]Monthly Summary'!G10</f>
        <v>564163</v>
      </c>
      <c r="I10" s="96">
        <f>(G10-H10)/H10</f>
        <v>6.7228797351120154E-2</v>
      </c>
      <c r="J10" s="264"/>
    </row>
    <row r="11" spans="1:14" ht="15.75" thickBot="1" x14ac:dyDescent="0.3">
      <c r="A11" s="69" t="s">
        <v>13</v>
      </c>
      <c r="B11" s="273">
        <f>B10+B8</f>
        <v>1756844</v>
      </c>
      <c r="C11" s="273">
        <f>C10+C8</f>
        <v>1738758</v>
      </c>
      <c r="D11" s="273">
        <f>D10+D8</f>
        <v>3495602</v>
      </c>
      <c r="E11" s="273">
        <f>E10+E8</f>
        <v>3456870</v>
      </c>
      <c r="F11" s="94">
        <f>(D11-E11)/E11</f>
        <v>1.1204355385073781E-2</v>
      </c>
      <c r="G11" s="273">
        <f>G8+G10</f>
        <v>18530873</v>
      </c>
      <c r="H11" s="273">
        <f>H8+H10</f>
        <v>18279512</v>
      </c>
      <c r="I11" s="97">
        <f>(G11-H11)/H11</f>
        <v>1.3750968844244857E-2</v>
      </c>
      <c r="J11" s="7"/>
      <c r="L11" s="130"/>
      <c r="M11" s="130"/>
    </row>
    <row r="12" spans="1:14" ht="15" x14ac:dyDescent="0.25">
      <c r="A12" s="15"/>
      <c r="B12" s="124"/>
      <c r="C12" s="124"/>
      <c r="D12" s="124"/>
      <c r="E12" s="124"/>
      <c r="F12" s="275"/>
      <c r="G12" s="124"/>
      <c r="H12" s="124"/>
      <c r="I12" s="276"/>
      <c r="J12" s="7"/>
      <c r="K12" s="130"/>
    </row>
    <row r="13" spans="1:14" ht="16.5" customHeight="1" x14ac:dyDescent="0.2">
      <c r="B13" s="17"/>
      <c r="C13" s="17"/>
      <c r="D13" s="523" t="s">
        <v>196</v>
      </c>
      <c r="E13" s="523" t="s">
        <v>171</v>
      </c>
      <c r="F13" s="465"/>
      <c r="G13" s="465"/>
      <c r="H13" s="465"/>
      <c r="I13" s="465"/>
    </row>
    <row r="14" spans="1:14" ht="13.5" thickBot="1" x14ac:dyDescent="0.25">
      <c r="A14" s="16"/>
      <c r="B14" s="465" t="s">
        <v>223</v>
      </c>
      <c r="C14" s="465" t="s">
        <v>224</v>
      </c>
      <c r="D14" s="524"/>
      <c r="E14" s="525"/>
      <c r="F14" s="465" t="s">
        <v>2</v>
      </c>
      <c r="G14" s="465" t="s">
        <v>197</v>
      </c>
      <c r="H14" s="465" t="s">
        <v>172</v>
      </c>
      <c r="I14" s="465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05">
        <f>'Major Airline Stats'!J15+'Major Airline Stats'!J19</f>
        <v>10209</v>
      </c>
      <c r="C16" s="305">
        <f>'Major Airline Stats'!J16+'Major Airline Stats'!J20</f>
        <v>10211</v>
      </c>
      <c r="D16" s="47">
        <f t="shared" ref="D16:D21" si="0">SUM(B16:C16)</f>
        <v>20420</v>
      </c>
      <c r="E16" s="9">
        <f>'[1]Monthly Summary'!D16</f>
        <v>18780</v>
      </c>
      <c r="F16" s="95">
        <f t="shared" ref="F16:F22" si="1">(D16-E16)/E16</f>
        <v>8.7326943556975511E-2</v>
      </c>
      <c r="G16" s="9">
        <f>+D16+'[2]Monthly Summary'!G16</f>
        <v>110389</v>
      </c>
      <c r="H16" s="9">
        <f>'[1]Monthly Summary'!G16</f>
        <v>102823</v>
      </c>
      <c r="I16" s="262">
        <f t="shared" ref="I16:I22" si="2">(G16-H16)/H16</f>
        <v>7.358275872129777E-2</v>
      </c>
      <c r="N16" s="130"/>
    </row>
    <row r="17" spans="1:12" x14ac:dyDescent="0.2">
      <c r="A17" s="68" t="s">
        <v>5</v>
      </c>
      <c r="B17" s="47">
        <f>'Regional Major'!M15+'Regional Major'!M18</f>
        <v>6475</v>
      </c>
      <c r="C17" s="47">
        <f>'Regional Major'!M16+'Regional Major'!M19</f>
        <v>6478</v>
      </c>
      <c r="D17" s="47">
        <f>SUM(B17:C17)</f>
        <v>12953</v>
      </c>
      <c r="E17" s="9">
        <f>'[1]Monthly Summary'!D17</f>
        <v>14145</v>
      </c>
      <c r="F17" s="95">
        <f t="shared" si="1"/>
        <v>-8.4270060091905269E-2</v>
      </c>
      <c r="G17" s="9">
        <f>+D17+'[2]Monthly Summary'!G17</f>
        <v>75947</v>
      </c>
      <c r="H17" s="9">
        <f>'[1]Monthly Summary'!G17</f>
        <v>80632</v>
      </c>
      <c r="I17" s="262">
        <f t="shared" si="2"/>
        <v>-5.8103482488342101E-2</v>
      </c>
    </row>
    <row r="18" spans="1:12" x14ac:dyDescent="0.2">
      <c r="A18" s="68" t="s">
        <v>10</v>
      </c>
      <c r="B18" s="47">
        <f>Charter!G10</f>
        <v>4</v>
      </c>
      <c r="C18" s="47">
        <f>Charter!G11</f>
        <v>5</v>
      </c>
      <c r="D18" s="47">
        <f t="shared" si="0"/>
        <v>9</v>
      </c>
      <c r="E18" s="9">
        <f>'[1]Monthly Summary'!D18</f>
        <v>16</v>
      </c>
      <c r="F18" s="95">
        <f t="shared" si="1"/>
        <v>-0.4375</v>
      </c>
      <c r="G18" s="9">
        <f>+D18+'[2]Monthly Summary'!G18</f>
        <v>22</v>
      </c>
      <c r="H18" s="9">
        <f>'[1]Monthly Summary'!G18</f>
        <v>35</v>
      </c>
      <c r="I18" s="262">
        <f t="shared" si="2"/>
        <v>-0.37142857142857144</v>
      </c>
    </row>
    <row r="19" spans="1:12" x14ac:dyDescent="0.2">
      <c r="A19" s="68" t="s">
        <v>11</v>
      </c>
      <c r="B19" s="47">
        <f>Cargo!M4</f>
        <v>592</v>
      </c>
      <c r="C19" s="47">
        <f>Cargo!M5</f>
        <v>592</v>
      </c>
      <c r="D19" s="47">
        <f t="shared" si="0"/>
        <v>1184</v>
      </c>
      <c r="E19" s="9">
        <f>'[1]Monthly Summary'!D19</f>
        <v>1220</v>
      </c>
      <c r="F19" s="95">
        <f t="shared" si="1"/>
        <v>-2.9508196721311476E-2</v>
      </c>
      <c r="G19" s="9">
        <f>+D19+'[2]Monthly Summary'!G19</f>
        <v>7222</v>
      </c>
      <c r="H19" s="9">
        <f>'[1]Monthly Summary'!G19</f>
        <v>6730</v>
      </c>
      <c r="I19" s="262">
        <f t="shared" si="2"/>
        <v>7.3105497771173852E-2</v>
      </c>
    </row>
    <row r="20" spans="1:12" x14ac:dyDescent="0.2">
      <c r="A20" s="68" t="s">
        <v>152</v>
      </c>
      <c r="B20" s="47">
        <f>'[3]General Avation'!$FE$4</f>
        <v>975</v>
      </c>
      <c r="C20" s="47">
        <f>'[3]General Avation'!$FE$5</f>
        <v>974</v>
      </c>
      <c r="D20" s="47">
        <f t="shared" si="0"/>
        <v>1949</v>
      </c>
      <c r="E20" s="9">
        <f>'[1]Monthly Summary'!D20</f>
        <v>2741</v>
      </c>
      <c r="F20" s="95">
        <f t="shared" si="1"/>
        <v>-0.28894564027727104</v>
      </c>
      <c r="G20" s="9">
        <f>+D20+'[2]Monthly Summary'!G20</f>
        <v>10937</v>
      </c>
      <c r="H20" s="9">
        <f>'[1]Monthly Summary'!G20</f>
        <v>11116</v>
      </c>
      <c r="I20" s="262">
        <f t="shared" si="2"/>
        <v>-1.6102914717524289E-2</v>
      </c>
    </row>
    <row r="21" spans="1:12" ht="12.75" customHeight="1" x14ac:dyDescent="0.2">
      <c r="A21" s="68" t="s">
        <v>12</v>
      </c>
      <c r="B21" s="18">
        <f>'[3]Military '!$FE$4</f>
        <v>34</v>
      </c>
      <c r="C21" s="18">
        <f>'[3]Military '!$FE$5</f>
        <v>34</v>
      </c>
      <c r="D21" s="18">
        <f t="shared" si="0"/>
        <v>68</v>
      </c>
      <c r="E21" s="120">
        <f>'[1]Monthly Summary'!D21</f>
        <v>132</v>
      </c>
      <c r="F21" s="260">
        <f t="shared" si="1"/>
        <v>-0.48484848484848486</v>
      </c>
      <c r="G21" s="120">
        <f>+D21+'[2]Monthly Summary'!G21</f>
        <v>275</v>
      </c>
      <c r="H21" s="120">
        <f>'[1]Monthly Summary'!G21</f>
        <v>649</v>
      </c>
      <c r="I21" s="263">
        <f t="shared" si="2"/>
        <v>-0.57627118644067798</v>
      </c>
    </row>
    <row r="22" spans="1:12" ht="15.75" thickBot="1" x14ac:dyDescent="0.3">
      <c r="A22" s="69" t="s">
        <v>28</v>
      </c>
      <c r="B22" s="274">
        <f>SUM(B16:B21)</f>
        <v>18289</v>
      </c>
      <c r="C22" s="274">
        <f>SUM(C16:C21)</f>
        <v>18294</v>
      </c>
      <c r="D22" s="274">
        <f>SUM(D16:D21)</f>
        <v>36583</v>
      </c>
      <c r="E22" s="274">
        <f>SUM(E16:E21)</f>
        <v>37034</v>
      </c>
      <c r="F22" s="270">
        <f t="shared" si="1"/>
        <v>-1.2177998595884863E-2</v>
      </c>
      <c r="G22" s="274">
        <f>SUM(G16:G21)</f>
        <v>204792</v>
      </c>
      <c r="H22" s="274">
        <f>SUM(H16:H21)</f>
        <v>201985</v>
      </c>
      <c r="I22" s="271">
        <f t="shared" si="2"/>
        <v>1.3897071564720153E-2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17"/>
      <c r="C24" s="17"/>
      <c r="D24" s="523" t="s">
        <v>196</v>
      </c>
      <c r="E24" s="523" t="s">
        <v>171</v>
      </c>
      <c r="F24" s="465"/>
      <c r="G24" s="465"/>
      <c r="H24" s="465"/>
      <c r="I24" s="465"/>
    </row>
    <row r="25" spans="1:12" ht="13.5" thickBot="1" x14ac:dyDescent="0.25">
      <c r="B25" s="465" t="s">
        <v>0</v>
      </c>
      <c r="C25" s="465" t="s">
        <v>1</v>
      </c>
      <c r="D25" s="524"/>
      <c r="E25" s="525"/>
      <c r="F25" s="465" t="s">
        <v>2</v>
      </c>
      <c r="G25" s="465" t="s">
        <v>197</v>
      </c>
      <c r="H25" s="465" t="s">
        <v>172</v>
      </c>
      <c r="I25" s="465" t="s">
        <v>2</v>
      </c>
    </row>
    <row r="26" spans="1:12" ht="15" x14ac:dyDescent="0.25">
      <c r="A26" s="65" t="s">
        <v>129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15</v>
      </c>
      <c r="B27" s="22">
        <f>(Cargo!M16+'Major Airline Stats'!J28+'Regional Major'!M25)*0.00045359237</f>
        <v>10335.441891135129</v>
      </c>
      <c r="C27" s="22">
        <f>(Cargo!M21+'Major Airline Stats'!J33+'Regional Major'!M30)*0.00045359237</f>
        <v>8211.2688224251306</v>
      </c>
      <c r="D27" s="22">
        <f>(SUM(B27:C27)+('Cargo Summary'!E17*0.00045359237))</f>
        <v>18546.71071356026</v>
      </c>
      <c r="E27" s="9">
        <f>'[1]Monthly Summary'!D27</f>
        <v>14776.93446358668</v>
      </c>
      <c r="F27" s="98">
        <f>(D27-E27)/E27</f>
        <v>0.25511219930379081</v>
      </c>
      <c r="G27" s="9">
        <f>+D27+'[2]Monthly Summary'!G27</f>
        <v>99971.453080334992</v>
      </c>
      <c r="H27" s="9">
        <f>'[1]Monthly Summary'!G27</f>
        <v>89287.182780936913</v>
      </c>
      <c r="I27" s="100">
        <f>(G27-H27)/H27</f>
        <v>0.1196618592571296</v>
      </c>
    </row>
    <row r="28" spans="1:12" x14ac:dyDescent="0.2">
      <c r="A28" s="62" t="s">
        <v>16</v>
      </c>
      <c r="B28" s="22">
        <f>(Cargo!M17+'Major Airline Stats'!J29+'Regional Major'!M26)*0.00045359237</f>
        <v>913.79584879275001</v>
      </c>
      <c r="C28" s="22">
        <f>(Cargo!M22+'Major Airline Stats'!J34+'Regional Major'!M31)*0.00045359237</f>
        <v>1399.3583162150899</v>
      </c>
      <c r="D28" s="22">
        <f>SUM(B28:C28)</f>
        <v>2313.1541650078398</v>
      </c>
      <c r="E28" s="9">
        <f>'[1]Monthly Summary'!D28</f>
        <v>1256.2830357231001</v>
      </c>
      <c r="F28" s="98">
        <f>(D28-E28)/E28</f>
        <v>0.84126832826045328</v>
      </c>
      <c r="G28" s="9">
        <f>+D28+'[2]Monthly Summary'!G28</f>
        <v>12189.56329925719</v>
      </c>
      <c r="H28" s="9">
        <f>'[1]Monthly Summary'!G28</f>
        <v>5675.9045389394232</v>
      </c>
      <c r="I28" s="100">
        <f>(G28-H28)/H28</f>
        <v>1.1475983635085736</v>
      </c>
    </row>
    <row r="29" spans="1:12" ht="15.75" thickBot="1" x14ac:dyDescent="0.3">
      <c r="A29" s="63" t="s">
        <v>62</v>
      </c>
      <c r="B29" s="54">
        <f>SUM(B27:B28)</f>
        <v>11249.237739927879</v>
      </c>
      <c r="C29" s="54">
        <f>SUM(C27:C28)</f>
        <v>9610.6271386402204</v>
      </c>
      <c r="D29" s="54">
        <f>SUM(D27:D28)</f>
        <v>20859.8648785681</v>
      </c>
      <c r="E29" s="54">
        <f>SUM(E27:E28)</f>
        <v>16033.21749930978</v>
      </c>
      <c r="F29" s="99">
        <f>(D29-E29)/E29</f>
        <v>0.30104047297219688</v>
      </c>
      <c r="G29" s="54">
        <f>SUM(G27:G28)</f>
        <v>112161.01637959218</v>
      </c>
      <c r="H29" s="54">
        <f>SUM(H27:H28)</f>
        <v>94963.087319876329</v>
      </c>
      <c r="I29" s="101">
        <f>(G29-H29)/H29</f>
        <v>0.18110119989871293</v>
      </c>
    </row>
    <row r="30" spans="1:12" s="7" customFormat="1" ht="4.5" customHeight="1" thickBot="1" x14ac:dyDescent="0.3">
      <c r="A30" s="59"/>
      <c r="B30" s="392"/>
      <c r="C30" s="392"/>
      <c r="D30" s="392"/>
      <c r="E30" s="392"/>
      <c r="F30" s="275"/>
      <c r="G30" s="392"/>
      <c r="H30" s="392"/>
      <c r="I30" s="275"/>
    </row>
    <row r="31" spans="1:12" ht="13.5" thickBot="1" x14ac:dyDescent="0.25">
      <c r="B31" s="522" t="s">
        <v>148</v>
      </c>
      <c r="C31" s="521"/>
      <c r="D31" s="522" t="s">
        <v>155</v>
      </c>
      <c r="E31" s="521"/>
      <c r="F31" s="415"/>
      <c r="G31" s="416"/>
      <c r="H31" s="414"/>
      <c r="I31" s="414"/>
    </row>
    <row r="32" spans="1:12" x14ac:dyDescent="0.2">
      <c r="A32" s="396" t="s">
        <v>149</v>
      </c>
      <c r="B32" s="397">
        <f>C8-B33</f>
        <v>982467</v>
      </c>
      <c r="C32" s="398">
        <f>B32/C8</f>
        <v>0.58415295867803974</v>
      </c>
      <c r="D32" s="399">
        <f>+B32+'[2]Monthly Summary'!D32</f>
        <v>5472754</v>
      </c>
      <c r="E32" s="400">
        <f>+D32/D34</f>
        <v>0.61265362927113665</v>
      </c>
      <c r="G32" s="422"/>
      <c r="H32" s="414"/>
      <c r="I32" s="413"/>
    </row>
    <row r="33" spans="1:14" ht="13.5" thickBot="1" x14ac:dyDescent="0.25">
      <c r="A33" s="401" t="s">
        <v>150</v>
      </c>
      <c r="B33" s="402">
        <f>'Major Airline Stats'!J51+'Regional Major'!M45</f>
        <v>699399</v>
      </c>
      <c r="C33" s="403">
        <f>+B33/C8</f>
        <v>0.41584704132196026</v>
      </c>
      <c r="D33" s="404">
        <f>+B33+'[2]Monthly Summary'!D33</f>
        <v>3460114</v>
      </c>
      <c r="E33" s="405">
        <f>+D33/D34</f>
        <v>0.38734637072886335</v>
      </c>
      <c r="G33" s="414"/>
      <c r="H33" s="414"/>
      <c r="I33" s="413"/>
    </row>
    <row r="34" spans="1:14" ht="13.5" thickBot="1" x14ac:dyDescent="0.25">
      <c r="B34" s="309"/>
      <c r="D34" s="406">
        <f>SUM(D32:D33)</f>
        <v>8932868</v>
      </c>
    </row>
    <row r="35" spans="1:14" ht="13.5" thickBot="1" x14ac:dyDescent="0.25">
      <c r="B35" s="520" t="s">
        <v>225</v>
      </c>
      <c r="C35" s="521"/>
      <c r="D35" s="522" t="s">
        <v>198</v>
      </c>
      <c r="E35" s="521"/>
    </row>
    <row r="36" spans="1:14" x14ac:dyDescent="0.2">
      <c r="A36" s="396" t="s">
        <v>149</v>
      </c>
      <c r="B36" s="397">
        <f>'[1]Monthly Summary'!$B$32</f>
        <v>920758</v>
      </c>
      <c r="C36" s="398">
        <f>+B36/B38</f>
        <v>0.54946843903385101</v>
      </c>
      <c r="D36" s="399">
        <f>'[1]Monthly Summary'!$D$32</f>
        <v>5130395</v>
      </c>
      <c r="E36" s="400">
        <f>+D36/D38</f>
        <v>0.58123939928718116</v>
      </c>
    </row>
    <row r="37" spans="1:14" ht="13.5" thickBot="1" x14ac:dyDescent="0.25">
      <c r="A37" s="401" t="s">
        <v>150</v>
      </c>
      <c r="B37" s="402">
        <f>'[1]Monthly Summary'!$B$33</f>
        <v>754967</v>
      </c>
      <c r="C37" s="405">
        <f>+B37/B38</f>
        <v>0.45053156096614899</v>
      </c>
      <c r="D37" s="404">
        <f>'[1]Monthly Summary'!$D$33</f>
        <v>3696252</v>
      </c>
      <c r="E37" s="405">
        <f>+D37/D38</f>
        <v>0.41876060071281879</v>
      </c>
    </row>
    <row r="38" spans="1:14" x14ac:dyDescent="0.2">
      <c r="B38" s="421">
        <f>+SUM(B36:B37)</f>
        <v>1675725</v>
      </c>
      <c r="D38" s="406">
        <f>SUM(D36:D37)</f>
        <v>8826647</v>
      </c>
    </row>
    <row r="39" spans="1:14" x14ac:dyDescent="0.2">
      <c r="A39" s="410" t="s">
        <v>151</v>
      </c>
    </row>
    <row r="40" spans="1:14" x14ac:dyDescent="0.2">
      <c r="A40" s="229" t="s">
        <v>153</v>
      </c>
      <c r="I40" s="2"/>
    </row>
    <row r="41" spans="1:14" x14ac:dyDescent="0.2">
      <c r="N41" s="411"/>
    </row>
    <row r="42" spans="1:14" x14ac:dyDescent="0.2">
      <c r="G42" s="2"/>
      <c r="N42" s="411"/>
    </row>
    <row r="43" spans="1:14" x14ac:dyDescent="0.2">
      <c r="J43" s="2"/>
      <c r="N43" s="411"/>
    </row>
    <row r="44" spans="1:14" x14ac:dyDescent="0.2">
      <c r="N44" s="411"/>
    </row>
    <row r="45" spans="1:14" x14ac:dyDescent="0.2">
      <c r="J45" s="2"/>
      <c r="N45" s="411"/>
    </row>
    <row r="46" spans="1:14" x14ac:dyDescent="0.2">
      <c r="B46" s="2"/>
      <c r="F46" s="309"/>
    </row>
    <row r="47" spans="1:14" x14ac:dyDescent="0.2">
      <c r="N47" s="411"/>
    </row>
    <row r="51" spans="12:12" x14ac:dyDescent="0.2">
      <c r="L51" s="412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B26:I30 F2:I12 B15:I22">
    <cfRule type="expression" dxfId="2" priority="7" stopIfTrue="1">
      <formula>"*.*"</formula>
    </cfRule>
  </conditionalFormatting>
  <conditionalFormatting sqref="B13:C13 E13 D13:D14 F13:I14">
    <cfRule type="expression" dxfId="1" priority="2" stopIfTrue="1">
      <formula>"*.*"</formula>
    </cfRule>
  </conditionalFormatting>
  <conditionalFormatting sqref="B24:C24 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June 2017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zoomScaleNormal="100" zoomScaleSheetLayoutView="100" workbookViewId="0">
      <selection activeCell="S29" sqref="S29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4" width="11.28515625" customWidth="1"/>
    <col min="15" max="15" width="8.5703125" bestFit="1" customWidth="1"/>
    <col min="16" max="16" width="13.85546875" customWidth="1"/>
    <col min="18" max="18" width="10.85546875" bestFit="1" customWidth="1"/>
  </cols>
  <sheetData>
    <row r="1" spans="1:16" ht="39" thickBot="1" x14ac:dyDescent="0.25">
      <c r="A1" s="384">
        <v>42887</v>
      </c>
      <c r="B1" s="12" t="s">
        <v>18</v>
      </c>
      <c r="C1" s="272" t="s">
        <v>192</v>
      </c>
      <c r="D1" s="433" t="s">
        <v>162</v>
      </c>
      <c r="E1" s="272" t="s">
        <v>169</v>
      </c>
      <c r="F1" s="272" t="s">
        <v>170</v>
      </c>
      <c r="G1" s="272" t="s">
        <v>168</v>
      </c>
      <c r="H1" s="272" t="s">
        <v>49</v>
      </c>
      <c r="I1" s="272" t="s">
        <v>116</v>
      </c>
      <c r="J1" s="272" t="s">
        <v>222</v>
      </c>
      <c r="K1" s="272" t="s">
        <v>208</v>
      </c>
      <c r="L1" s="272" t="s">
        <v>228</v>
      </c>
      <c r="M1" s="272" t="s">
        <v>167</v>
      </c>
      <c r="N1" s="272" t="s">
        <v>161</v>
      </c>
      <c r="O1" s="272" t="s">
        <v>142</v>
      </c>
      <c r="P1" s="272" t="s">
        <v>21</v>
      </c>
    </row>
    <row r="2" spans="1:16" ht="15" x14ac:dyDescent="0.25">
      <c r="A2" s="557" t="s">
        <v>143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9"/>
    </row>
    <row r="3" spans="1:16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55"/>
    </row>
    <row r="4" spans="1:16" x14ac:dyDescent="0.2">
      <c r="A4" s="62" t="s">
        <v>30</v>
      </c>
      <c r="B4" s="21">
        <f>[3]Delta!$FE$32</f>
        <v>71764</v>
      </c>
      <c r="C4" s="21">
        <f>'[3]Atlantic Southeast'!$FE$32</f>
        <v>598</v>
      </c>
      <c r="D4" s="21">
        <f>[3]Pinnacle!$FE$32</f>
        <v>4341</v>
      </c>
      <c r="E4" s="21">
        <f>[3]Compass!$FE$32</f>
        <v>5091</v>
      </c>
      <c r="F4" s="21">
        <f>'[3]Sky West'!$FE$32</f>
        <v>11083</v>
      </c>
      <c r="G4" s="21">
        <f>'[3]Go Jet'!$FE$32</f>
        <v>68</v>
      </c>
      <c r="H4" s="21">
        <f>'[3]Sun Country'!$FE$32</f>
        <v>1543</v>
      </c>
      <c r="I4" s="21">
        <f>[3]Icelandair!$FE$32</f>
        <v>6688</v>
      </c>
      <c r="J4" s="21">
        <f>[3]KLM!$FE$32</f>
        <v>2939</v>
      </c>
      <c r="K4" s="21">
        <f>'[3]Air Georgian'!$FE$32</f>
        <v>1648</v>
      </c>
      <c r="L4" s="21">
        <f>'[3]Sky Regional'!$FE$32</f>
        <v>3301</v>
      </c>
      <c r="M4" s="21">
        <f>[3]Condor!$FE$32</f>
        <v>3048</v>
      </c>
      <c r="N4" s="21">
        <f>'[3]Air France'!$FE$32</f>
        <v>7581</v>
      </c>
      <c r="O4" s="21">
        <f>'[3]Charter Misc'!$FE$32+[3]Ryan!$FE$32+[3]Omni!$FE$32</f>
        <v>340</v>
      </c>
      <c r="P4" s="281">
        <f>SUM(B4:O4)</f>
        <v>120033</v>
      </c>
    </row>
    <row r="5" spans="1:16" x14ac:dyDescent="0.2">
      <c r="A5" s="62" t="s">
        <v>31</v>
      </c>
      <c r="B5" s="14">
        <f>[3]Delta!$FE$33</f>
        <v>73788</v>
      </c>
      <c r="C5" s="14">
        <f>'[3]Atlantic Southeast'!$FE$33</f>
        <v>678</v>
      </c>
      <c r="D5" s="14">
        <f>[3]Pinnacle!$FE$33</f>
        <v>4458</v>
      </c>
      <c r="E5" s="14">
        <f>[3]Compass!$FE$33</f>
        <v>5266</v>
      </c>
      <c r="F5" s="14">
        <f>'[3]Sky West'!$FE$33</f>
        <v>11381</v>
      </c>
      <c r="G5" s="14">
        <f>'[3]Go Jet'!$FE$33</f>
        <v>68</v>
      </c>
      <c r="H5" s="14">
        <f>'[3]Sun Country'!$FE$33</f>
        <v>1588</v>
      </c>
      <c r="I5" s="14">
        <f>[3]Icelandair!$FE$33</f>
        <v>7011</v>
      </c>
      <c r="J5" s="14">
        <f>[3]KLM!$FE$33</f>
        <v>2986</v>
      </c>
      <c r="K5" s="14">
        <f>'[3]Air Georgian'!$FE$33</f>
        <v>1877</v>
      </c>
      <c r="L5" s="14">
        <f>'[3]Sky Regional'!$FE$33</f>
        <v>3307</v>
      </c>
      <c r="M5" s="14">
        <f>[3]Condor!$FE$33</f>
        <v>3496</v>
      </c>
      <c r="N5" s="14">
        <f>'[3]Air France'!$FE$33</f>
        <v>7429</v>
      </c>
      <c r="O5" s="14">
        <f>'[3]Charter Misc'!$FE$33++[3]Ryan!$FE$33+[3]Omni!$FE$33</f>
        <v>336</v>
      </c>
      <c r="P5" s="282">
        <f>SUM(B5:O5)</f>
        <v>123669</v>
      </c>
    </row>
    <row r="6" spans="1:16" ht="15" x14ac:dyDescent="0.25">
      <c r="A6" s="60" t="s">
        <v>7</v>
      </c>
      <c r="B6" s="34">
        <f t="shared" ref="B6:O6" si="0">SUM(B4:B5)</f>
        <v>145552</v>
      </c>
      <c r="C6" s="34">
        <f t="shared" si="0"/>
        <v>1276</v>
      </c>
      <c r="D6" s="34">
        <f t="shared" si="0"/>
        <v>8799</v>
      </c>
      <c r="E6" s="34">
        <f t="shared" si="0"/>
        <v>10357</v>
      </c>
      <c r="F6" s="34">
        <f t="shared" si="0"/>
        <v>22464</v>
      </c>
      <c r="G6" s="34">
        <f t="shared" ref="G6" si="1">SUM(G4:G5)</f>
        <v>136</v>
      </c>
      <c r="H6" s="34">
        <f t="shared" si="0"/>
        <v>3131</v>
      </c>
      <c r="I6" s="34">
        <f t="shared" si="0"/>
        <v>13699</v>
      </c>
      <c r="J6" s="34">
        <f t="shared" ref="J6:M6" si="2">SUM(J4:J5)</f>
        <v>5925</v>
      </c>
      <c r="K6" s="34">
        <f t="shared" si="0"/>
        <v>3525</v>
      </c>
      <c r="L6" s="34">
        <f t="shared" si="0"/>
        <v>6608</v>
      </c>
      <c r="M6" s="34">
        <f t="shared" si="2"/>
        <v>6544</v>
      </c>
      <c r="N6" s="34">
        <f t="shared" si="0"/>
        <v>15010</v>
      </c>
      <c r="O6" s="34">
        <f t="shared" si="0"/>
        <v>676</v>
      </c>
      <c r="P6" s="283">
        <f>SUM(B6:O6)</f>
        <v>243702</v>
      </c>
    </row>
    <row r="7" spans="1:16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81"/>
    </row>
    <row r="8" spans="1:16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81">
        <f>SUM(B8:O8)</f>
        <v>0</v>
      </c>
    </row>
    <row r="9" spans="1:16" x14ac:dyDescent="0.2">
      <c r="A9" s="62" t="s">
        <v>30</v>
      </c>
      <c r="B9" s="21">
        <f>[3]Delta!$FE$37</f>
        <v>2011</v>
      </c>
      <c r="C9" s="21">
        <f>'[3]Atlantic Southeast'!$FE$37</f>
        <v>10</v>
      </c>
      <c r="D9" s="21">
        <f>[3]Pinnacle!$FE$37</f>
        <v>59</v>
      </c>
      <c r="E9" s="21">
        <f>[3]Compass!$FE$37</f>
        <v>58</v>
      </c>
      <c r="F9" s="21">
        <f>'[3]Sky West'!$FE$37</f>
        <v>119</v>
      </c>
      <c r="G9" s="21">
        <f>'[3]Go Jet'!$FE$37</f>
        <v>0</v>
      </c>
      <c r="H9" s="21">
        <f>'[3]Sun Country'!$FE$37</f>
        <v>2</v>
      </c>
      <c r="I9" s="21">
        <f>[3]Icelandair!$FE$37</f>
        <v>31</v>
      </c>
      <c r="J9" s="21">
        <f>[3]KLM!$FE$37</f>
        <v>8</v>
      </c>
      <c r="K9" s="21">
        <f>'[3]Air Georgian'!$FE$37</f>
        <v>0</v>
      </c>
      <c r="L9" s="21">
        <f>'[3]Sky Regional'!$FE$37</f>
        <v>15</v>
      </c>
      <c r="M9" s="21">
        <f>[3]Condor!$FE$37</f>
        <v>39</v>
      </c>
      <c r="N9" s="21">
        <f>'[3]Air France'!$FE$37</f>
        <v>8</v>
      </c>
      <c r="O9" s="21">
        <f>'[3]Charter Misc'!$FE$37+[3]Ryan!$FE$37+[3]Omni!$FE$37</f>
        <v>0</v>
      </c>
      <c r="P9" s="281">
        <f>SUM(B9:O9)</f>
        <v>2360</v>
      </c>
    </row>
    <row r="10" spans="1:16" x14ac:dyDescent="0.2">
      <c r="A10" s="62" t="s">
        <v>33</v>
      </c>
      <c r="B10" s="14">
        <f>[3]Delta!$FE$38</f>
        <v>1967</v>
      </c>
      <c r="C10" s="14">
        <f>'[3]Atlantic Southeast'!$FE$38</f>
        <v>1</v>
      </c>
      <c r="D10" s="14">
        <f>[3]Pinnacle!$FE$38</f>
        <v>78</v>
      </c>
      <c r="E10" s="14">
        <f>[3]Compass!$FE$38</f>
        <v>67</v>
      </c>
      <c r="F10" s="14">
        <f>'[3]Sky West'!$FE$38</f>
        <v>176</v>
      </c>
      <c r="G10" s="14">
        <f>'[3]Go Jet'!$FE$38</f>
        <v>0</v>
      </c>
      <c r="H10" s="14">
        <f>'[3]Sun Country'!$FE$38</f>
        <v>3</v>
      </c>
      <c r="I10" s="14">
        <f>[3]Icelandair!$FE$38</f>
        <v>28</v>
      </c>
      <c r="J10" s="14">
        <f>[3]KLM!$FE$38</f>
        <v>13</v>
      </c>
      <c r="K10" s="14">
        <f>'[3]Air Georgian'!$FE$38</f>
        <v>0</v>
      </c>
      <c r="L10" s="14">
        <f>'[3]Sky Regional'!$FE$38</f>
        <v>22</v>
      </c>
      <c r="M10" s="14">
        <f>[3]Condor!$FE$38</f>
        <v>29</v>
      </c>
      <c r="N10" s="14">
        <f>'[3]Air France'!$FE$38</f>
        <v>5</v>
      </c>
      <c r="O10" s="14">
        <f>'[3]Charter Misc'!$FE$38+[3]Ryan!$FE$38+[3]Omni!$FE$38</f>
        <v>0</v>
      </c>
      <c r="P10" s="282">
        <f>SUM(B10:O10)</f>
        <v>2389</v>
      </c>
    </row>
    <row r="11" spans="1:16" ht="15.75" thickBot="1" x14ac:dyDescent="0.3">
      <c r="A11" s="63" t="s">
        <v>34</v>
      </c>
      <c r="B11" s="284">
        <f t="shared" ref="B11:H11" si="3">SUM(B9:B10)</f>
        <v>3978</v>
      </c>
      <c r="C11" s="284">
        <f t="shared" si="3"/>
        <v>11</v>
      </c>
      <c r="D11" s="284">
        <f t="shared" si="3"/>
        <v>137</v>
      </c>
      <c r="E11" s="284">
        <f t="shared" si="3"/>
        <v>125</v>
      </c>
      <c r="F11" s="284">
        <f t="shared" si="3"/>
        <v>295</v>
      </c>
      <c r="G11" s="284">
        <f t="shared" ref="G11" si="4">SUM(G9:G10)</f>
        <v>0</v>
      </c>
      <c r="H11" s="284">
        <f t="shared" si="3"/>
        <v>5</v>
      </c>
      <c r="I11" s="284">
        <f t="shared" ref="I11:O11" si="5">SUM(I9:I10)</f>
        <v>59</v>
      </c>
      <c r="J11" s="284">
        <f t="shared" ref="J11" si="6">SUM(J9:J10)</f>
        <v>21</v>
      </c>
      <c r="K11" s="284">
        <f t="shared" si="5"/>
        <v>0</v>
      </c>
      <c r="L11" s="284">
        <f t="shared" ref="L11" si="7">SUM(L9:L10)</f>
        <v>37</v>
      </c>
      <c r="M11" s="284">
        <f t="shared" si="5"/>
        <v>68</v>
      </c>
      <c r="N11" s="284">
        <f t="shared" si="5"/>
        <v>13</v>
      </c>
      <c r="O11" s="284">
        <f t="shared" si="5"/>
        <v>0</v>
      </c>
      <c r="P11" s="285">
        <f>SUM(B11:O11)</f>
        <v>4749</v>
      </c>
    </row>
    <row r="12" spans="1:16" ht="15" x14ac:dyDescent="0.25">
      <c r="A12" s="389"/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6"/>
    </row>
    <row r="13" spans="1:16" ht="39" thickBot="1" x14ac:dyDescent="0.25">
      <c r="B13" s="12" t="s">
        <v>18</v>
      </c>
      <c r="C13" s="272" t="s">
        <v>192</v>
      </c>
      <c r="D13" s="433" t="s">
        <v>162</v>
      </c>
      <c r="E13" s="272" t="s">
        <v>169</v>
      </c>
      <c r="F13" s="272" t="s">
        <v>170</v>
      </c>
      <c r="G13" s="272" t="s">
        <v>168</v>
      </c>
      <c r="H13" s="272" t="s">
        <v>49</v>
      </c>
      <c r="I13" s="272" t="s">
        <v>116</v>
      </c>
      <c r="J13" s="272" t="s">
        <v>222</v>
      </c>
      <c r="K13" s="272" t="s">
        <v>208</v>
      </c>
      <c r="L13" s="272" t="s">
        <v>228</v>
      </c>
      <c r="M13" s="272" t="s">
        <v>167</v>
      </c>
      <c r="N13" s="272" t="s">
        <v>161</v>
      </c>
      <c r="O13" s="272" t="s">
        <v>142</v>
      </c>
      <c r="P13" s="272" t="s">
        <v>144</v>
      </c>
    </row>
    <row r="14" spans="1:16" ht="15" x14ac:dyDescent="0.25">
      <c r="A14" s="560" t="s">
        <v>145</v>
      </c>
      <c r="B14" s="561"/>
      <c r="C14" s="561"/>
      <c r="D14" s="561"/>
      <c r="E14" s="561"/>
      <c r="F14" s="561"/>
      <c r="G14" s="561"/>
      <c r="H14" s="561"/>
      <c r="I14" s="561"/>
      <c r="J14" s="561"/>
      <c r="K14" s="561"/>
      <c r="L14" s="561"/>
      <c r="M14" s="561"/>
      <c r="N14" s="561"/>
      <c r="O14" s="561"/>
      <c r="P14" s="562"/>
    </row>
    <row r="15" spans="1:16" x14ac:dyDescent="0.2">
      <c r="A15" s="62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55"/>
    </row>
    <row r="16" spans="1:16" x14ac:dyDescent="0.2">
      <c r="A16" s="62" t="s">
        <v>30</v>
      </c>
      <c r="B16" s="21">
        <f>SUM([3]Delta!$EZ$32:$FE$32)</f>
        <v>462574</v>
      </c>
      <c r="C16" s="21">
        <f>SUM('[3]Atlantic Southeast'!$EZ$32:$FE$32)</f>
        <v>10480</v>
      </c>
      <c r="D16" s="21">
        <f>SUM([3]Pinnacle!$EZ$32:$FE$32)</f>
        <v>27922</v>
      </c>
      <c r="E16" s="21">
        <f>SUM([3]Compass!$EZ$32:$FE$32)</f>
        <v>32581</v>
      </c>
      <c r="F16" s="21">
        <f>SUM('[3]Sky West'!$EZ$32:$FE$32)</f>
        <v>52703</v>
      </c>
      <c r="G16" s="21">
        <f>SUM('[3]Go Jet'!$EZ$32:$FE$32)</f>
        <v>8992</v>
      </c>
      <c r="H16" s="21">
        <f>SUM('[3]Sun Country'!$EZ$32:$FE$32)</f>
        <v>122489</v>
      </c>
      <c r="I16" s="21">
        <f>SUM([3]Icelandair!$EZ$32:$FE$32)</f>
        <v>20991</v>
      </c>
      <c r="J16" s="21">
        <f>SUM([3]KLM!$EZ$32:$FE$32)</f>
        <v>9735</v>
      </c>
      <c r="K16" s="21">
        <f>SUM('[3]Air Georgian'!$EZ$32:$FE$32)</f>
        <v>18847</v>
      </c>
      <c r="L16" s="21">
        <f>SUM('[3]Sky Regional'!$EZ$32:$FE$32)</f>
        <v>3301</v>
      </c>
      <c r="M16" s="21">
        <f>SUM([3]Condor!$EZ$32:$FE$32)</f>
        <v>4459</v>
      </c>
      <c r="N16" s="21">
        <f>SUM('[3]Air France'!$EZ$32:$FE$32)</f>
        <v>12024</v>
      </c>
      <c r="O16" s="21">
        <f>SUM('[3]Charter Misc'!$EZ$32:$FE$32)+SUM([3]Ryan!$EZ$32:$FE$32)+SUM([3]Omni!$EZ$32:$FE$32)</f>
        <v>443</v>
      </c>
      <c r="P16" s="281">
        <f>SUM(B16:O16)</f>
        <v>787541</v>
      </c>
    </row>
    <row r="17" spans="1:19" x14ac:dyDescent="0.2">
      <c r="A17" s="62" t="s">
        <v>31</v>
      </c>
      <c r="B17" s="14">
        <f>SUM([3]Delta!$EZ$33:$FE$33)</f>
        <v>459781</v>
      </c>
      <c r="C17" s="14">
        <f>SUM('[3]Atlantic Southeast'!$EZ$33:$FE$33)</f>
        <v>10311</v>
      </c>
      <c r="D17" s="14">
        <f>SUM([3]Pinnacle!$EZ$33:$FE$33)</f>
        <v>28750</v>
      </c>
      <c r="E17" s="14">
        <f>SUM([3]Compass!$EZ$33:$FE$33)</f>
        <v>33408</v>
      </c>
      <c r="F17" s="14">
        <f>SUM('[3]Sky West'!$EZ$33:$FE$33)</f>
        <v>53783</v>
      </c>
      <c r="G17" s="14">
        <f>SUM('[3]Go Jet'!$EZ$33:$FE$33)</f>
        <v>9082</v>
      </c>
      <c r="H17" s="14">
        <f>SUM('[3]Sun Country'!$EZ$33:$FE$33)</f>
        <v>116881</v>
      </c>
      <c r="I17" s="14">
        <f>SUM([3]Icelandair!$EZ$33:$FE$33)</f>
        <v>23046</v>
      </c>
      <c r="J17" s="14">
        <f>SUM([3]KLM!$EZ$33:$FE$33)</f>
        <v>9145</v>
      </c>
      <c r="K17" s="14">
        <f>SUM('[3]Air Georgian'!$EZ$33:$FE$33)</f>
        <v>18302</v>
      </c>
      <c r="L17" s="14">
        <f>SUM('[3]Sky Regional'!$EZ$33:$FE$33)</f>
        <v>3307</v>
      </c>
      <c r="M17" s="14">
        <f>SUM([3]Condor!$EZ$33:$FE$33)</f>
        <v>5523</v>
      </c>
      <c r="N17" s="14">
        <f>SUM('[3]Air France'!$EZ$33:$FE$33)</f>
        <v>11690</v>
      </c>
      <c r="O17" s="14">
        <f>SUM('[3]Charter Misc'!$EZ$33:$FE$33)++SUM([3]Ryan!$EZ$33:$FE$33)+SUM([3]Omni!$EZ$33:$FE$33)</f>
        <v>678</v>
      </c>
      <c r="P17" s="282">
        <f>SUM(B17:O17)</f>
        <v>783687</v>
      </c>
    </row>
    <row r="18" spans="1:19" ht="15" x14ac:dyDescent="0.25">
      <c r="A18" s="60" t="s">
        <v>7</v>
      </c>
      <c r="B18" s="34">
        <f t="shared" ref="B18:O18" si="8">SUM(B16:B17)</f>
        <v>922355</v>
      </c>
      <c r="C18" s="34">
        <f t="shared" si="8"/>
        <v>20791</v>
      </c>
      <c r="D18" s="34">
        <f t="shared" si="8"/>
        <v>56672</v>
      </c>
      <c r="E18" s="34">
        <f t="shared" si="8"/>
        <v>65989</v>
      </c>
      <c r="F18" s="34">
        <f t="shared" si="8"/>
        <v>106486</v>
      </c>
      <c r="G18" s="34">
        <f t="shared" ref="G18" si="9">SUM(G16:G17)</f>
        <v>18074</v>
      </c>
      <c r="H18" s="34">
        <f t="shared" si="8"/>
        <v>239370</v>
      </c>
      <c r="I18" s="34">
        <f t="shared" si="8"/>
        <v>44037</v>
      </c>
      <c r="J18" s="34">
        <f t="shared" ref="J18:M18" si="10">SUM(J16:J17)</f>
        <v>18880</v>
      </c>
      <c r="K18" s="34">
        <f t="shared" si="8"/>
        <v>37149</v>
      </c>
      <c r="L18" s="34">
        <f t="shared" si="8"/>
        <v>6608</v>
      </c>
      <c r="M18" s="34">
        <f t="shared" si="10"/>
        <v>9982</v>
      </c>
      <c r="N18" s="34">
        <f t="shared" si="8"/>
        <v>23714</v>
      </c>
      <c r="O18" s="34">
        <f t="shared" si="8"/>
        <v>1121</v>
      </c>
      <c r="P18" s="283">
        <f>SUM(B18:O18)</f>
        <v>1571228</v>
      </c>
    </row>
    <row r="19" spans="1:19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81"/>
    </row>
    <row r="20" spans="1:19" x14ac:dyDescent="0.2">
      <c r="A20" s="62" t="s">
        <v>32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81">
        <f>SUM(B20:O20)</f>
        <v>0</v>
      </c>
    </row>
    <row r="21" spans="1:19" x14ac:dyDescent="0.2">
      <c r="A21" s="62" t="s">
        <v>30</v>
      </c>
      <c r="B21" s="21">
        <f>SUM([3]Delta!$EZ$37:$FE$37)</f>
        <v>12860</v>
      </c>
      <c r="C21" s="21">
        <f>SUM('[3]Atlantic Southeast'!$EZ$37:$FE$37)</f>
        <v>181</v>
      </c>
      <c r="D21" s="21">
        <f>SUM([3]Pinnacle!$EZ$37:$FE$37)</f>
        <v>446</v>
      </c>
      <c r="E21" s="21">
        <f>SUM([3]Compass!$EZ$37:$FE$37)</f>
        <v>448</v>
      </c>
      <c r="F21" s="21">
        <f>SUM('[3]Sky West'!$EZ$37:$FE$37)</f>
        <v>553</v>
      </c>
      <c r="G21" s="21">
        <f>SUM('[3]Go Jet'!$EZ$37:$FE$37)</f>
        <v>139</v>
      </c>
      <c r="H21" s="21">
        <f>SUM('[3]Sun Country'!$EZ$37:$FE$37)</f>
        <v>827</v>
      </c>
      <c r="I21" s="21">
        <f>SUM([3]Icelandair!$EZ$37:$FE$37)</f>
        <v>273</v>
      </c>
      <c r="J21" s="21">
        <f>SUM([3]KLM!$EZ$37:$FE$37)</f>
        <v>35</v>
      </c>
      <c r="K21" s="21">
        <f>SUM('[3]Air Georgian'!$EZ$37:$FE$37)</f>
        <v>0</v>
      </c>
      <c r="L21" s="21">
        <f>SUM('[3]Sky Regional'!$EZ$37:$FE$37)</f>
        <v>15</v>
      </c>
      <c r="M21" s="21">
        <f>SUM([3]Condor!$EZ$37:$FE$37)</f>
        <v>58</v>
      </c>
      <c r="N21" s="21">
        <f>SUM('[3]Air France'!$EZ$37:$FE$37)</f>
        <v>20</v>
      </c>
      <c r="O21" s="21">
        <f>SUM('[3]Charter Misc'!$EZ$37:$FE$37)++SUM([3]Ryan!$EZ$37:$FE$37)+SUM([3]Omni!$EZ$37:$FE$37)</f>
        <v>0</v>
      </c>
      <c r="P21" s="281">
        <f>SUM(B21:O21)</f>
        <v>15855</v>
      </c>
    </row>
    <row r="22" spans="1:19" x14ac:dyDescent="0.2">
      <c r="A22" s="62" t="s">
        <v>33</v>
      </c>
      <c r="B22" s="14">
        <f>SUM([3]Delta!$EZ$38:$FE$38)</f>
        <v>12698</v>
      </c>
      <c r="C22" s="14">
        <f>SUM('[3]Atlantic Southeast'!$EZ$38:$FE$38)</f>
        <v>136</v>
      </c>
      <c r="D22" s="14">
        <f>SUM([3]Pinnacle!$EZ$38:$FE$38)</f>
        <v>492</v>
      </c>
      <c r="E22" s="14">
        <f>SUM([3]Compass!$EZ$38:$FE$38)</f>
        <v>494</v>
      </c>
      <c r="F22" s="14">
        <f>SUM('[3]Sky West'!$EZ$38:$FE$38)</f>
        <v>448</v>
      </c>
      <c r="G22" s="14">
        <f>SUM('[3]Go Jet'!$EZ$38:$FE$38)</f>
        <v>119</v>
      </c>
      <c r="H22" s="14">
        <f>SUM('[3]Sun Country'!$EZ$38:$FE$38)</f>
        <v>1013</v>
      </c>
      <c r="I22" s="14">
        <f>SUM([3]Icelandair!$EZ$38:$FE$38)</f>
        <v>313</v>
      </c>
      <c r="J22" s="14">
        <f>SUM([3]KLM!$EZ$38:$FE$38)</f>
        <v>55</v>
      </c>
      <c r="K22" s="14">
        <f>SUM('[3]Air Georgian'!$EZ$38:$FE$38)</f>
        <v>0</v>
      </c>
      <c r="L22" s="14">
        <f>SUM('[3]Sky Regional'!$EZ$38:$FE$38)</f>
        <v>22</v>
      </c>
      <c r="M22" s="14">
        <f>SUM([3]Condor!$EZ$38:$FE$38)</f>
        <v>62</v>
      </c>
      <c r="N22" s="14">
        <f>SUM('[3]Air France'!$EZ$38:$FE$38)</f>
        <v>10</v>
      </c>
      <c r="O22" s="14">
        <f>SUM('[3]Charter Misc'!$EZ$38:$FE$38)++SUM([3]Ryan!$EZ$38:$FE$38)+SUM([3]Omni!$EZ$38:$FE$38)</f>
        <v>0</v>
      </c>
      <c r="P22" s="282">
        <f>SUM(B22:O22)</f>
        <v>15862</v>
      </c>
    </row>
    <row r="23" spans="1:19" ht="15.75" thickBot="1" x14ac:dyDescent="0.3">
      <c r="A23" s="63" t="s">
        <v>34</v>
      </c>
      <c r="B23" s="284">
        <f t="shared" ref="B23:O23" si="11">SUM(B21:B22)</f>
        <v>25558</v>
      </c>
      <c r="C23" s="284">
        <f t="shared" si="11"/>
        <v>317</v>
      </c>
      <c r="D23" s="284">
        <f t="shared" si="11"/>
        <v>938</v>
      </c>
      <c r="E23" s="284">
        <f t="shared" si="11"/>
        <v>942</v>
      </c>
      <c r="F23" s="284">
        <f t="shared" si="11"/>
        <v>1001</v>
      </c>
      <c r="G23" s="284">
        <f t="shared" ref="G23" si="12">SUM(G21:G22)</f>
        <v>258</v>
      </c>
      <c r="H23" s="284">
        <f t="shared" si="11"/>
        <v>1840</v>
      </c>
      <c r="I23" s="284">
        <f t="shared" si="11"/>
        <v>586</v>
      </c>
      <c r="J23" s="284">
        <f t="shared" ref="J23:M23" si="13">SUM(J21:J22)</f>
        <v>90</v>
      </c>
      <c r="K23" s="284">
        <f t="shared" si="11"/>
        <v>0</v>
      </c>
      <c r="L23" s="284">
        <f t="shared" si="11"/>
        <v>37</v>
      </c>
      <c r="M23" s="284">
        <f t="shared" si="13"/>
        <v>120</v>
      </c>
      <c r="N23" s="284">
        <f t="shared" si="11"/>
        <v>30</v>
      </c>
      <c r="O23" s="284">
        <f t="shared" si="11"/>
        <v>0</v>
      </c>
      <c r="P23" s="285">
        <f>SUM(B23:O23)</f>
        <v>31717</v>
      </c>
    </row>
    <row r="25" spans="1:19" ht="39" thickBot="1" x14ac:dyDescent="0.25">
      <c r="B25" s="12" t="s">
        <v>18</v>
      </c>
      <c r="C25" s="272" t="s">
        <v>192</v>
      </c>
      <c r="D25" s="433" t="s">
        <v>162</v>
      </c>
      <c r="E25" s="272" t="s">
        <v>169</v>
      </c>
      <c r="F25" s="272" t="s">
        <v>170</v>
      </c>
      <c r="G25" s="272" t="s">
        <v>168</v>
      </c>
      <c r="H25" s="272" t="s">
        <v>49</v>
      </c>
      <c r="I25" s="272" t="s">
        <v>116</v>
      </c>
      <c r="J25" s="272" t="s">
        <v>222</v>
      </c>
      <c r="K25" s="272" t="s">
        <v>208</v>
      </c>
      <c r="L25" s="272" t="s">
        <v>228</v>
      </c>
      <c r="M25" s="272" t="s">
        <v>167</v>
      </c>
      <c r="N25" s="272" t="s">
        <v>161</v>
      </c>
      <c r="O25" s="272" t="s">
        <v>142</v>
      </c>
      <c r="P25" s="272" t="s">
        <v>21</v>
      </c>
    </row>
    <row r="26" spans="1:19" ht="15" x14ac:dyDescent="0.25">
      <c r="A26" s="563" t="s">
        <v>146</v>
      </c>
      <c r="B26" s="564"/>
      <c r="C26" s="564"/>
      <c r="D26" s="564"/>
      <c r="E26" s="564"/>
      <c r="F26" s="564"/>
      <c r="G26" s="564"/>
      <c r="H26" s="564"/>
      <c r="I26" s="564"/>
      <c r="J26" s="564"/>
      <c r="K26" s="564"/>
      <c r="L26" s="564"/>
      <c r="M26" s="564"/>
      <c r="N26" s="564"/>
      <c r="O26" s="564"/>
      <c r="P26" s="565"/>
    </row>
    <row r="27" spans="1:19" x14ac:dyDescent="0.2">
      <c r="A27" s="62" t="s">
        <v>22</v>
      </c>
      <c r="B27" s="21">
        <f>[3]Delta!$FE$15</f>
        <v>403</v>
      </c>
      <c r="C27" s="21">
        <f>'[3]Atlantic Southeast'!$FE$15</f>
        <v>11</v>
      </c>
      <c r="D27" s="21">
        <f>[3]Pinnacle!$FE$15</f>
        <v>66</v>
      </c>
      <c r="E27" s="21">
        <f>[3]Compass!$FE$15</f>
        <v>82</v>
      </c>
      <c r="F27" s="21">
        <f>'[3]Sky West'!$FE$15</f>
        <v>181</v>
      </c>
      <c r="G27" s="21">
        <f>'[3]Go Jet'!$FE$15</f>
        <v>0</v>
      </c>
      <c r="H27" s="21">
        <f>'[3]Sun Country'!$FE$15</f>
        <v>8</v>
      </c>
      <c r="I27" s="21">
        <f>[3]Icelandair!$FE$15</f>
        <v>29</v>
      </c>
      <c r="J27" s="21">
        <f>[3]KLM!$FE$15</f>
        <v>12</v>
      </c>
      <c r="K27" s="21">
        <f>'[3]Air Georgian'!$FE$15</f>
        <v>39</v>
      </c>
      <c r="L27" s="21">
        <f>'[3]Sky Regional'!$FE$15</f>
        <v>51</v>
      </c>
      <c r="M27" s="21">
        <f>[3]Condor!$FE$15</f>
        <v>14</v>
      </c>
      <c r="N27" s="21">
        <f>'[3]Air France'!$FE$15</f>
        <v>29</v>
      </c>
      <c r="O27" s="21">
        <f>'[3]Charter Misc'!$FE$15+[3]Ryan!$FE$15+[3]Omni!$FE$15</f>
        <v>1</v>
      </c>
      <c r="P27" s="281">
        <f>SUM(B27:O27)</f>
        <v>926</v>
      </c>
      <c r="R27" s="518"/>
      <c r="S27" s="518"/>
    </row>
    <row r="28" spans="1:19" x14ac:dyDescent="0.2">
      <c r="A28" s="62" t="s">
        <v>23</v>
      </c>
      <c r="B28" s="21">
        <f>[3]Delta!$FE$16</f>
        <v>403</v>
      </c>
      <c r="C28" s="21">
        <f>'[3]Atlantic Southeast'!$FE$16</f>
        <v>11</v>
      </c>
      <c r="D28" s="21">
        <f>[3]Pinnacle!$FE$16</f>
        <v>66</v>
      </c>
      <c r="E28" s="21">
        <f>[3]Compass!$FE$16</f>
        <v>82</v>
      </c>
      <c r="F28" s="21">
        <f>'[3]Sky West'!$FE$16</f>
        <v>179</v>
      </c>
      <c r="G28" s="21">
        <f>'[3]Go Jet'!$FE$16</f>
        <v>1</v>
      </c>
      <c r="H28" s="21">
        <f>'[3]Sun Country'!$FE$16</f>
        <v>8</v>
      </c>
      <c r="I28" s="21">
        <f>[3]Icelandair!$FE$16</f>
        <v>29</v>
      </c>
      <c r="J28" s="21">
        <f>[3]KLM!$FE$16</f>
        <v>12</v>
      </c>
      <c r="K28" s="21">
        <f>'[3]Air Georgian'!$FE$16</f>
        <v>40</v>
      </c>
      <c r="L28" s="21">
        <f>'[3]Sky Regional'!$FE$16</f>
        <v>51</v>
      </c>
      <c r="M28" s="21">
        <f>[3]Condor!$FE$16</f>
        <v>14</v>
      </c>
      <c r="N28" s="21">
        <f>'[3]Air France'!$FE$16</f>
        <v>29</v>
      </c>
      <c r="O28" s="21">
        <f>'[3]Charter Misc'!$FE$16+[3]Ryan!$FE$16+[3]Omni!$FE$16</f>
        <v>2</v>
      </c>
      <c r="P28" s="281">
        <f>SUM(B28:O28)</f>
        <v>927</v>
      </c>
      <c r="R28" s="517"/>
      <c r="S28" s="517"/>
    </row>
    <row r="29" spans="1:19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81"/>
    </row>
    <row r="30" spans="1:19" ht="15.75" thickBot="1" x14ac:dyDescent="0.3">
      <c r="A30" s="63" t="s">
        <v>28</v>
      </c>
      <c r="B30" s="387">
        <f t="shared" ref="B30:K30" si="14">SUM(B27:B28)</f>
        <v>806</v>
      </c>
      <c r="C30" s="387">
        <f t="shared" si="14"/>
        <v>22</v>
      </c>
      <c r="D30" s="387">
        <f t="shared" si="14"/>
        <v>132</v>
      </c>
      <c r="E30" s="387">
        <f t="shared" si="14"/>
        <v>164</v>
      </c>
      <c r="F30" s="387">
        <f>SUM(F27:F28)</f>
        <v>360</v>
      </c>
      <c r="G30" s="387">
        <f>SUM(G27:G28)</f>
        <v>1</v>
      </c>
      <c r="H30" s="387">
        <f t="shared" si="14"/>
        <v>16</v>
      </c>
      <c r="I30" s="387">
        <f t="shared" si="14"/>
        <v>58</v>
      </c>
      <c r="J30" s="387">
        <f>SUM(J27:J28)</f>
        <v>24</v>
      </c>
      <c r="K30" s="387">
        <f t="shared" si="14"/>
        <v>79</v>
      </c>
      <c r="L30" s="387">
        <f>SUM(L27:L28)</f>
        <v>102</v>
      </c>
      <c r="M30" s="387">
        <f>SUM(M27:M28)</f>
        <v>28</v>
      </c>
      <c r="N30" s="387">
        <f>SUM(N27:N28)</f>
        <v>58</v>
      </c>
      <c r="O30" s="387">
        <f>SUM(O27:O28)</f>
        <v>3</v>
      </c>
      <c r="P30" s="388">
        <f>SUM(B30:O30)</f>
        <v>1853</v>
      </c>
    </row>
    <row r="31" spans="1:19" ht="15" x14ac:dyDescent="0.25">
      <c r="A31" s="389"/>
    </row>
    <row r="32" spans="1:19" ht="39" thickBot="1" x14ac:dyDescent="0.25">
      <c r="B32" s="12" t="s">
        <v>18</v>
      </c>
      <c r="C32" s="272" t="s">
        <v>192</v>
      </c>
      <c r="D32" s="433" t="s">
        <v>162</v>
      </c>
      <c r="E32" s="272" t="s">
        <v>169</v>
      </c>
      <c r="F32" s="272" t="s">
        <v>170</v>
      </c>
      <c r="G32" s="272" t="s">
        <v>168</v>
      </c>
      <c r="H32" s="272" t="s">
        <v>49</v>
      </c>
      <c r="I32" s="272" t="s">
        <v>116</v>
      </c>
      <c r="J32" s="272" t="s">
        <v>222</v>
      </c>
      <c r="K32" s="272" t="s">
        <v>208</v>
      </c>
      <c r="L32" s="272" t="s">
        <v>228</v>
      </c>
      <c r="M32" s="272" t="s">
        <v>167</v>
      </c>
      <c r="N32" s="272" t="s">
        <v>161</v>
      </c>
      <c r="O32" s="272" t="s">
        <v>142</v>
      </c>
      <c r="P32" s="272" t="s">
        <v>144</v>
      </c>
    </row>
    <row r="33" spans="1:16" ht="15" x14ac:dyDescent="0.25">
      <c r="A33" s="566" t="s">
        <v>147</v>
      </c>
      <c r="B33" s="567"/>
      <c r="C33" s="567"/>
      <c r="D33" s="567"/>
      <c r="E33" s="567"/>
      <c r="F33" s="567"/>
      <c r="G33" s="567"/>
      <c r="H33" s="567"/>
      <c r="I33" s="567"/>
      <c r="J33" s="567"/>
      <c r="K33" s="567"/>
      <c r="L33" s="567"/>
      <c r="M33" s="567"/>
      <c r="N33" s="567"/>
      <c r="O33" s="567"/>
      <c r="P33" s="568"/>
    </row>
    <row r="34" spans="1:16" x14ac:dyDescent="0.2">
      <c r="A34" s="62" t="s">
        <v>22</v>
      </c>
      <c r="B34" s="21">
        <f>SUM([3]Delta!$EZ$15:$FE$15)</f>
        <v>2744</v>
      </c>
      <c r="C34" s="21">
        <f>SUM('[3]Atlantic Southeast'!$EZ$15:$FE$15)</f>
        <v>165</v>
      </c>
      <c r="D34" s="21">
        <f>SUM([3]Pinnacle!$EZ$15:$FE$15)</f>
        <v>463</v>
      </c>
      <c r="E34" s="21">
        <f>SUM([3]Compass!$EZ$15:$FE$15)</f>
        <v>527</v>
      </c>
      <c r="F34" s="21">
        <f>SUM('[3]Sky West'!$EZ$15:$FE$15)</f>
        <v>874</v>
      </c>
      <c r="G34" s="21">
        <f>SUM('[3]Go Jet'!$EZ$15:$FE$15)</f>
        <v>165</v>
      </c>
      <c r="H34" s="21">
        <f>SUM('[3]Sun Country'!$EZ$15:$FE$15)</f>
        <v>1039</v>
      </c>
      <c r="I34" s="21">
        <f>SUM([3]Icelandair!$EZ$15:$FE$15)</f>
        <v>129</v>
      </c>
      <c r="J34" s="21">
        <f>SUM([3]KLM!$EZ$15:$FE$15)</f>
        <v>40</v>
      </c>
      <c r="K34" s="21">
        <f>SUM('[3]Air Georgian'!$EZ$15:$FE$15)</f>
        <v>467</v>
      </c>
      <c r="L34" s="21">
        <f>SUM('[3]Sky Regional'!$EZ$15:$FE$15)</f>
        <v>51</v>
      </c>
      <c r="M34" s="21">
        <f>SUM([3]Condor!$EZ$15:$FE$15)</f>
        <v>23</v>
      </c>
      <c r="N34" s="21">
        <f>SUM('[3]Air France'!$EZ$15:$FE$15)</f>
        <v>47</v>
      </c>
      <c r="O34" s="21">
        <f>SUM('[3]Charter Misc'!$EZ$15:$FE$15)+SUM([3]Ryan!$EZ$15:$FE$15)+SUM([3]Omni!$EZ$15:$FE$15)</f>
        <v>2</v>
      </c>
      <c r="P34" s="281">
        <f>SUM(B34:O34)</f>
        <v>6736</v>
      </c>
    </row>
    <row r="35" spans="1:16" x14ac:dyDescent="0.2">
      <c r="A35" s="62" t="s">
        <v>23</v>
      </c>
      <c r="B35" s="21">
        <f>SUM([3]Delta!$EZ$16:$FE$16)</f>
        <v>2747</v>
      </c>
      <c r="C35" s="21">
        <f>SUM('[3]Atlantic Southeast'!$EZ$16:$FE$16)</f>
        <v>161</v>
      </c>
      <c r="D35" s="21">
        <f>SUM([3]Pinnacle!$EZ$16:$FE$16)</f>
        <v>463</v>
      </c>
      <c r="E35" s="21">
        <f>SUM([3]Compass!$EZ$16:$FE$16)</f>
        <v>524</v>
      </c>
      <c r="F35" s="21">
        <f>SUM('[3]Sky West'!$EZ$16:$FE$16)</f>
        <v>874</v>
      </c>
      <c r="G35" s="21">
        <f>SUM('[3]Go Jet'!$EZ$16:$FE$16)</f>
        <v>164</v>
      </c>
      <c r="H35" s="21">
        <f>SUM('[3]Sun Country'!$EZ$16:$FE$16)</f>
        <v>1026</v>
      </c>
      <c r="I35" s="21">
        <f>SUM([3]Icelandair!$EZ$16:$FE$16)</f>
        <v>129</v>
      </c>
      <c r="J35" s="21">
        <f>SUM([3]KLM!$EZ$16:$FE$16)</f>
        <v>40</v>
      </c>
      <c r="K35" s="21">
        <f>SUM('[3]Air Georgian'!$EZ$16:$FE$16)</f>
        <v>468</v>
      </c>
      <c r="L35" s="21">
        <f>SUM('[3]Sky Regional'!$EZ$16:$FE$16)</f>
        <v>51</v>
      </c>
      <c r="M35" s="21">
        <f>SUM([3]Condor!$EZ$16:$FE$16)</f>
        <v>23</v>
      </c>
      <c r="N35" s="21">
        <f>SUM('[3]Air France'!$EZ$16:$FE$16)</f>
        <v>47</v>
      </c>
      <c r="O35" s="21">
        <f>SUM('[3]Charter Misc'!$EZ$16:$FE$16)+SUM([3]Ryan!$EZ$16:$FE$16)+SUM([3]Omni!$EZ$16:$FE$16)</f>
        <v>4</v>
      </c>
      <c r="P35" s="281">
        <f>SUM(B35:O35)</f>
        <v>6721</v>
      </c>
    </row>
    <row r="36" spans="1:16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81"/>
    </row>
    <row r="37" spans="1:16" ht="15.75" thickBot="1" x14ac:dyDescent="0.3">
      <c r="A37" s="63" t="s">
        <v>28</v>
      </c>
      <c r="B37" s="387">
        <f t="shared" ref="B37:K37" si="15">+SUM(B34:B35)</f>
        <v>5491</v>
      </c>
      <c r="C37" s="387">
        <f t="shared" si="15"/>
        <v>326</v>
      </c>
      <c r="D37" s="387">
        <f t="shared" si="15"/>
        <v>926</v>
      </c>
      <c r="E37" s="387">
        <f t="shared" si="15"/>
        <v>1051</v>
      </c>
      <c r="F37" s="387">
        <f>+SUM(F34:F35)</f>
        <v>1748</v>
      </c>
      <c r="G37" s="387">
        <f>+SUM(G34:G35)</f>
        <v>329</v>
      </c>
      <c r="H37" s="387">
        <f t="shared" si="15"/>
        <v>2065</v>
      </c>
      <c r="I37" s="387">
        <f t="shared" si="15"/>
        <v>258</v>
      </c>
      <c r="J37" s="387">
        <f>+SUM(J34:J35)</f>
        <v>80</v>
      </c>
      <c r="K37" s="387">
        <f t="shared" si="15"/>
        <v>935</v>
      </c>
      <c r="L37" s="387">
        <f>+SUM(L34:L35)</f>
        <v>102</v>
      </c>
      <c r="M37" s="387">
        <f>+SUM(M34:M35)</f>
        <v>46</v>
      </c>
      <c r="N37" s="387">
        <f>+SUM(N34:N35)</f>
        <v>94</v>
      </c>
      <c r="O37" s="387">
        <f>+SUM(O34:O35)</f>
        <v>6</v>
      </c>
      <c r="P37" s="388">
        <f>SUM(B37:O37)</f>
        <v>13457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&amp;"Arial,Bold"June 2017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11"/>
  <sheetViews>
    <sheetView zoomScaleNormal="100" zoomScaleSheetLayoutView="85" workbookViewId="0">
      <selection activeCell="C70" sqref="C70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8.85546875" style="3" bestFit="1" customWidth="1"/>
    <col min="6" max="6" width="8.5703125" style="225" bestFit="1" customWidth="1"/>
    <col min="7" max="7" width="8.5703125" style="2" bestFit="1" customWidth="1"/>
    <col min="8" max="8" width="9.28515625" style="3" bestFit="1" customWidth="1"/>
    <col min="9" max="9" width="8.7109375" style="3" bestFit="1" customWidth="1"/>
    <col min="10" max="10" width="4.140625" style="37" customWidth="1"/>
    <col min="11" max="11" width="19.85546875" style="232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8.85546875" bestFit="1" customWidth="1"/>
    <col min="18" max="18" width="8.28515625" bestFit="1" customWidth="1"/>
    <col min="19" max="19" width="21.85546875" customWidth="1"/>
  </cols>
  <sheetData>
    <row r="1" spans="1:19" s="224" customFormat="1" ht="26.25" thickBot="1" x14ac:dyDescent="0.25">
      <c r="A1" s="572" t="s">
        <v>135</v>
      </c>
      <c r="B1" s="573"/>
      <c r="C1" s="468" t="s">
        <v>201</v>
      </c>
      <c r="D1" s="469" t="s">
        <v>175</v>
      </c>
      <c r="E1" s="267" t="s">
        <v>98</v>
      </c>
      <c r="F1" s="266" t="s">
        <v>202</v>
      </c>
      <c r="G1" s="469" t="s">
        <v>176</v>
      </c>
      <c r="H1" s="265" t="s">
        <v>99</v>
      </c>
      <c r="I1" s="267" t="s">
        <v>140</v>
      </c>
      <c r="J1" s="578" t="s">
        <v>139</v>
      </c>
      <c r="K1" s="579"/>
      <c r="L1" s="466" t="s">
        <v>203</v>
      </c>
      <c r="M1" s="467" t="s">
        <v>177</v>
      </c>
      <c r="N1" s="345" t="s">
        <v>99</v>
      </c>
      <c r="O1" s="507" t="s">
        <v>204</v>
      </c>
      <c r="P1" s="268" t="s">
        <v>178</v>
      </c>
      <c r="Q1" s="503" t="s">
        <v>99</v>
      </c>
      <c r="R1" s="508" t="s">
        <v>216</v>
      </c>
    </row>
    <row r="2" spans="1:19" s="224" customFormat="1" ht="13.5" customHeight="1" thickBot="1" x14ac:dyDescent="0.25">
      <c r="A2" s="574">
        <v>42887</v>
      </c>
      <c r="B2" s="575"/>
      <c r="C2" s="576" t="s">
        <v>9</v>
      </c>
      <c r="D2" s="577"/>
      <c r="E2" s="577"/>
      <c r="F2" s="577"/>
      <c r="G2" s="577"/>
      <c r="H2" s="577"/>
      <c r="I2" s="470"/>
      <c r="J2" s="574">
        <f>+A2</f>
        <v>42887</v>
      </c>
      <c r="K2" s="575"/>
      <c r="L2" s="569" t="s">
        <v>141</v>
      </c>
      <c r="M2" s="570"/>
      <c r="N2" s="570"/>
      <c r="O2" s="570"/>
      <c r="P2" s="570"/>
      <c r="Q2" s="570"/>
      <c r="R2" s="571"/>
    </row>
    <row r="3" spans="1:19" x14ac:dyDescent="0.2">
      <c r="A3" s="346"/>
      <c r="B3" s="347"/>
      <c r="C3" s="348"/>
      <c r="D3" s="349"/>
      <c r="E3" s="350"/>
      <c r="F3" s="417"/>
      <c r="G3" s="418"/>
      <c r="H3" s="500"/>
      <c r="I3" s="350"/>
      <c r="J3" s="351"/>
      <c r="K3" s="347"/>
      <c r="L3" s="509"/>
      <c r="M3" s="5"/>
      <c r="N3" s="85"/>
      <c r="O3" s="346"/>
      <c r="P3" s="352"/>
      <c r="Q3" s="352"/>
      <c r="R3" s="347"/>
    </row>
    <row r="4" spans="1:19" ht="14.1" customHeight="1" x14ac:dyDescent="0.2">
      <c r="A4" s="353" t="s">
        <v>101</v>
      </c>
      <c r="B4" s="55"/>
      <c r="C4" s="354">
        <f>SUM(C5:C8)</f>
        <v>181</v>
      </c>
      <c r="D4" s="356">
        <f>SUM(D5:D8)</f>
        <v>0</v>
      </c>
      <c r="E4" s="357" t="e">
        <f>(C4-D4)/D4</f>
        <v>#DIV/0!</v>
      </c>
      <c r="F4" s="354">
        <f>SUM(F5:F8)</f>
        <v>1037</v>
      </c>
      <c r="G4" s="356">
        <f>SUM(G5:G8)</f>
        <v>910</v>
      </c>
      <c r="H4" s="355">
        <f>(F4-G4)/G4</f>
        <v>0.13956043956043956</v>
      </c>
      <c r="I4" s="357">
        <f>F4/$F$67</f>
        <v>5.5652155246436541E-3</v>
      </c>
      <c r="J4" s="353" t="s">
        <v>101</v>
      </c>
      <c r="K4" s="55"/>
      <c r="L4" s="354">
        <f>SUM(L5:L8)</f>
        <v>10133</v>
      </c>
      <c r="M4" s="356">
        <f>SUM(M5:M8)</f>
        <v>0</v>
      </c>
      <c r="N4" s="357" t="e">
        <f>(L4-M4)/M4</f>
        <v>#DIV/0!</v>
      </c>
      <c r="O4" s="354">
        <f>SUM(O5:O8)</f>
        <v>43757</v>
      </c>
      <c r="P4" s="356">
        <f>SUM(P5:P8)</f>
        <v>36017</v>
      </c>
      <c r="Q4" s="355">
        <f>(O4-P4)/P4</f>
        <v>0.21489852014326569</v>
      </c>
      <c r="R4" s="357">
        <f>O4/$O$67</f>
        <v>2.4409976934448973E-3</v>
      </c>
      <c r="S4" s="20"/>
    </row>
    <row r="5" spans="1:19" ht="14.1" customHeight="1" x14ac:dyDescent="0.2">
      <c r="A5" s="353"/>
      <c r="B5" s="435" t="s">
        <v>101</v>
      </c>
      <c r="C5" s="9">
        <f>+[3]AirCanada!$FE$19</f>
        <v>0</v>
      </c>
      <c r="D5" s="9">
        <v>0</v>
      </c>
      <c r="E5" s="86" t="e">
        <f>(C5-D5)/D5</f>
        <v>#DIV/0!</v>
      </c>
      <c r="F5" s="295">
        <v>0</v>
      </c>
      <c r="G5" s="295">
        <v>0</v>
      </c>
      <c r="H5" s="442" t="e">
        <f>(F5-G5)/G5</f>
        <v>#DIV/0!</v>
      </c>
      <c r="I5" s="86">
        <f>F5/$F$67</f>
        <v>0</v>
      </c>
      <c r="J5" s="353"/>
      <c r="K5" s="435" t="s">
        <v>101</v>
      </c>
      <c r="L5" s="441">
        <v>0</v>
      </c>
      <c r="M5" s="295">
        <v>0</v>
      </c>
      <c r="N5" s="443" t="e">
        <f>(L5-M5)/M5</f>
        <v>#DIV/0!</v>
      </c>
      <c r="O5" s="441">
        <v>0</v>
      </c>
      <c r="P5" s="295">
        <v>0</v>
      </c>
      <c r="Q5" s="442" t="e">
        <f>(O5-P5)/P5</f>
        <v>#DIV/0!</v>
      </c>
      <c r="R5" s="443">
        <f>O5/$O$67</f>
        <v>0</v>
      </c>
      <c r="S5" s="20"/>
    </row>
    <row r="6" spans="1:19" ht="14.1" customHeight="1" x14ac:dyDescent="0.2">
      <c r="A6" s="353"/>
      <c r="B6" s="464" t="s">
        <v>179</v>
      </c>
      <c r="C6" s="441">
        <f>'[3]Jazz Air'!$FE$19</f>
        <v>0</v>
      </c>
      <c r="D6" s="295">
        <f>'[3]Jazz Air'!$EQ$19</f>
        <v>0</v>
      </c>
      <c r="E6" s="443" t="e">
        <f>(C6-D6)/D6</f>
        <v>#DIV/0!</v>
      </c>
      <c r="F6" s="295">
        <f>SUM('[3]Jazz Air'!$EZ$19:$FE$19)</f>
        <v>0</v>
      </c>
      <c r="G6" s="295">
        <f>SUM('[3]Jazz Air'!$EL$19:$EQ$19)</f>
        <v>185</v>
      </c>
      <c r="H6" s="442">
        <f>(F6-G6)/G6</f>
        <v>-1</v>
      </c>
      <c r="I6" s="443">
        <f>F6/$F$67</f>
        <v>0</v>
      </c>
      <c r="J6" s="444"/>
      <c r="K6" s="435" t="s">
        <v>179</v>
      </c>
      <c r="L6" s="441">
        <f>'[3]Jazz Air'!$FE$41</f>
        <v>0</v>
      </c>
      <c r="M6" s="295">
        <f>'[3]Jazz Air'!$EQ$41</f>
        <v>0</v>
      </c>
      <c r="N6" s="443" t="e">
        <f>(L6-M6)/M6</f>
        <v>#DIV/0!</v>
      </c>
      <c r="O6" s="441">
        <f>SUM('[3]Jazz Air'!$EZ$41:$FE$41)</f>
        <v>0</v>
      </c>
      <c r="P6" s="295">
        <f>SUM('[3]Jazz Air'!$EL$41:$EQ$41)</f>
        <v>6759</v>
      </c>
      <c r="Q6" s="442">
        <f>(O6-P6)/P6</f>
        <v>-1</v>
      </c>
      <c r="R6" s="443">
        <f>O6/$O$67</f>
        <v>0</v>
      </c>
      <c r="S6" s="20"/>
    </row>
    <row r="7" spans="1:19" ht="14.1" customHeight="1" x14ac:dyDescent="0.2">
      <c r="A7" s="353"/>
      <c r="B7" s="435" t="s">
        <v>180</v>
      </c>
      <c r="C7" s="358">
        <f>'[3]Air Georgian'!$FE$19</f>
        <v>79</v>
      </c>
      <c r="D7" s="9">
        <f>'[3]Air Georgian'!$EQ$19</f>
        <v>0</v>
      </c>
      <c r="E7" s="86" t="e">
        <f>(C7-D7)/D7</f>
        <v>#DIV/0!</v>
      </c>
      <c r="F7" s="295">
        <f>SUM('[3]Air Georgian'!$EZ$19:$FE$19)</f>
        <v>935</v>
      </c>
      <c r="G7" s="295">
        <f>SUM('[3]Air Georgian'!$EL$19:$EQ$19)</f>
        <v>725</v>
      </c>
      <c r="H7" s="442">
        <f>(F7-G7)/G7</f>
        <v>0.28965517241379313</v>
      </c>
      <c r="I7" s="86">
        <f>F7/$F$67</f>
        <v>5.0178172763180491E-3</v>
      </c>
      <c r="J7" s="353"/>
      <c r="K7" s="435" t="s">
        <v>180</v>
      </c>
      <c r="L7" s="358">
        <f>'[3]Air Georgian'!$FE$41</f>
        <v>3525</v>
      </c>
      <c r="M7" s="9">
        <f>'[3]Air Georgian'!$EQ$41</f>
        <v>0</v>
      </c>
      <c r="N7" s="86" t="e">
        <f>(L7-M7)/M7</f>
        <v>#DIV/0!</v>
      </c>
      <c r="O7" s="358">
        <f>SUM('[3]Air Georgian'!$EZ$41:$FE$41)</f>
        <v>37149</v>
      </c>
      <c r="P7" s="9">
        <f>SUM('[3]Air Georgian'!$EL$41:$EQ$41)</f>
        <v>29258</v>
      </c>
      <c r="Q7" s="39">
        <f>(O7-P7)/P7</f>
        <v>0.2697040125777565</v>
      </c>
      <c r="R7" s="86">
        <f>O7/$O$67</f>
        <v>2.0723683825167286E-3</v>
      </c>
      <c r="S7" s="20"/>
    </row>
    <row r="8" spans="1:19" ht="14.1" customHeight="1" x14ac:dyDescent="0.2">
      <c r="A8" s="353"/>
      <c r="B8" s="435" t="s">
        <v>227</v>
      </c>
      <c r="C8" s="358">
        <f>'[3]Sky Regional'!$FE$19</f>
        <v>102</v>
      </c>
      <c r="D8" s="9">
        <f>'[3]Sky Regional'!$EQ$19</f>
        <v>0</v>
      </c>
      <c r="E8" s="86" t="e">
        <f>(C8-D8)/D8</f>
        <v>#DIV/0!</v>
      </c>
      <c r="F8" s="295">
        <f>SUM('[3]Sky Regional'!$EZ$19:$FE$19)</f>
        <v>102</v>
      </c>
      <c r="G8" s="295">
        <f>SUM('[3]Sky Regional'!$EL$19:$EQ$19)</f>
        <v>0</v>
      </c>
      <c r="H8" s="442" t="e">
        <f>(F8-G8)/G8</f>
        <v>#DIV/0!</v>
      </c>
      <c r="I8" s="86">
        <f>F8/$F$67</f>
        <v>5.4739824832560535E-4</v>
      </c>
      <c r="J8" s="353"/>
      <c r="K8" s="435" t="s">
        <v>227</v>
      </c>
      <c r="L8" s="358">
        <f>'[3]Sky Regional'!$FE$41</f>
        <v>6608</v>
      </c>
      <c r="M8" s="9">
        <f>'[3]Sky Regional'!$EQ$41</f>
        <v>0</v>
      </c>
      <c r="N8" s="86" t="e">
        <f>(L8-M8)/M8</f>
        <v>#DIV/0!</v>
      </c>
      <c r="O8" s="358">
        <f>SUM('[3]Sky Regional'!$EZ$41:$FE$41)</f>
        <v>6608</v>
      </c>
      <c r="P8" s="9">
        <f>SUM('[3]Sky Regional'!$EL$41:$EQ$41)</f>
        <v>0</v>
      </c>
      <c r="Q8" s="39" t="e">
        <f>(O8-P8)/P8</f>
        <v>#DIV/0!</v>
      </c>
      <c r="R8" s="86">
        <f>O8/$O$67</f>
        <v>3.6862931092816877E-4</v>
      </c>
      <c r="S8" s="20"/>
    </row>
    <row r="9" spans="1:19" ht="14.1" customHeight="1" x14ac:dyDescent="0.2">
      <c r="A9" s="353"/>
      <c r="B9" s="55"/>
      <c r="C9" s="354"/>
      <c r="D9" s="356"/>
      <c r="E9" s="357"/>
      <c r="F9" s="356"/>
      <c r="G9" s="356"/>
      <c r="H9" s="355"/>
      <c r="I9" s="357"/>
      <c r="J9" s="353"/>
      <c r="K9" s="55"/>
      <c r="L9" s="358"/>
      <c r="M9" s="9"/>
      <c r="N9" s="86"/>
      <c r="O9" s="358"/>
      <c r="P9" s="9"/>
      <c r="Q9" s="39"/>
      <c r="R9" s="86"/>
      <c r="S9" s="20"/>
    </row>
    <row r="10" spans="1:19" ht="14.1" customHeight="1" x14ac:dyDescent="0.2">
      <c r="A10" s="353" t="s">
        <v>205</v>
      </c>
      <c r="B10" s="55"/>
      <c r="C10" s="354">
        <f>'[3]Air Choice One'!$FE$19</f>
        <v>250</v>
      </c>
      <c r="D10" s="356">
        <f>'[3]Air Choice One'!$EQ$19</f>
        <v>44</v>
      </c>
      <c r="E10" s="357">
        <f>(C10-D10)/D10</f>
        <v>4.6818181818181817</v>
      </c>
      <c r="F10" s="356">
        <f>SUM('[3]Air Choice One'!$EZ$19:$FE$19)</f>
        <v>1468</v>
      </c>
      <c r="G10" s="356">
        <f>SUM('[3]Air Choice One'!$EL$19:$EQ$19)</f>
        <v>44</v>
      </c>
      <c r="H10" s="355">
        <f>(F10-G10)/G10</f>
        <v>32.363636363636367</v>
      </c>
      <c r="I10" s="357">
        <f>F10/$F$67</f>
        <v>7.8782414562940072E-3</v>
      </c>
      <c r="J10" s="353" t="s">
        <v>205</v>
      </c>
      <c r="K10" s="55"/>
      <c r="L10" s="354">
        <f>'[3]Air Choice One'!$FE$41</f>
        <v>923</v>
      </c>
      <c r="M10" s="356">
        <f>'[3]Air Choice One'!$EQ$41</f>
        <v>276</v>
      </c>
      <c r="N10" s="357">
        <f>(L10-M10)/M10</f>
        <v>2.3442028985507246</v>
      </c>
      <c r="O10" s="354">
        <f>SUM('[3]Air Choice One'!$EZ$41:$FE$41)</f>
        <v>4837</v>
      </c>
      <c r="P10" s="356">
        <f>SUM('[3]Air Choice One'!$EL$41:$EQ$41)</f>
        <v>276</v>
      </c>
      <c r="Q10" s="355">
        <f>(O10-P10)/P10</f>
        <v>16.525362318840578</v>
      </c>
      <c r="R10" s="357">
        <f>O10/$O$67</f>
        <v>2.6983353162220831E-4</v>
      </c>
      <c r="S10" s="20"/>
    </row>
    <row r="11" spans="1:19" ht="14.1" customHeight="1" x14ac:dyDescent="0.2">
      <c r="A11" s="353"/>
      <c r="B11" s="55"/>
      <c r="C11" s="354"/>
      <c r="D11" s="356"/>
      <c r="E11" s="357"/>
      <c r="F11" s="356"/>
      <c r="G11" s="356"/>
      <c r="H11" s="355"/>
      <c r="I11" s="357"/>
      <c r="J11" s="353"/>
      <c r="K11" s="55"/>
      <c r="L11" s="358"/>
      <c r="M11" s="9"/>
      <c r="N11" s="86"/>
      <c r="O11" s="358"/>
      <c r="P11" s="9"/>
      <c r="Q11" s="39"/>
      <c r="R11" s="86"/>
      <c r="S11" s="20"/>
    </row>
    <row r="12" spans="1:19" ht="14.1" customHeight="1" x14ac:dyDescent="0.2">
      <c r="A12" s="353" t="s">
        <v>161</v>
      </c>
      <c r="B12" s="55"/>
      <c r="C12" s="354">
        <f>'[3]Air France'!$FE$19</f>
        <v>58</v>
      </c>
      <c r="D12" s="356">
        <f>'[3]Air France'!$EQ$19</f>
        <v>54</v>
      </c>
      <c r="E12" s="357">
        <f>(C12-D12)/D12</f>
        <v>7.407407407407407E-2</v>
      </c>
      <c r="F12" s="356">
        <f>SUM('[3]Air France'!$EZ$19:$FE$19)</f>
        <v>94</v>
      </c>
      <c r="G12" s="356">
        <f>SUM('[3]Air France'!$EL$19:$EQ$19)</f>
        <v>90</v>
      </c>
      <c r="H12" s="355">
        <f>(F12-G12)/G12</f>
        <v>4.4444444444444446E-2</v>
      </c>
      <c r="I12" s="357">
        <f>F12/$F$67</f>
        <v>5.0446505237849906E-4</v>
      </c>
      <c r="J12" s="353" t="s">
        <v>161</v>
      </c>
      <c r="K12" s="55"/>
      <c r="L12" s="354">
        <f>'[3]Air France'!$FE$41</f>
        <v>15010</v>
      </c>
      <c r="M12" s="356">
        <f>'[3]Air France'!$EQ$41</f>
        <v>13120</v>
      </c>
      <c r="N12" s="357">
        <f>(L12-M12)/M12</f>
        <v>0.14405487804878048</v>
      </c>
      <c r="O12" s="354">
        <f>SUM('[3]Air France'!$EZ$41:$FE$41)</f>
        <v>23714</v>
      </c>
      <c r="P12" s="356">
        <f>SUM('[3]Air France'!$EL$41:$EQ$41)</f>
        <v>17157</v>
      </c>
      <c r="Q12" s="355">
        <f>(O12-P12)/P12</f>
        <v>0.38217637116045927</v>
      </c>
      <c r="R12" s="357">
        <f>O12/$O$67</f>
        <v>1.3228927783520874E-3</v>
      </c>
      <c r="S12" s="20"/>
    </row>
    <row r="13" spans="1:19" ht="14.1" customHeight="1" x14ac:dyDescent="0.2">
      <c r="A13" s="353"/>
      <c r="B13" s="55"/>
      <c r="C13" s="354"/>
      <c r="D13" s="356"/>
      <c r="E13" s="357"/>
      <c r="F13" s="356"/>
      <c r="G13" s="356"/>
      <c r="H13" s="355"/>
      <c r="I13" s="357"/>
      <c r="J13" s="353"/>
      <c r="K13" s="55"/>
      <c r="L13" s="358"/>
      <c r="M13" s="9"/>
      <c r="N13" s="86"/>
      <c r="O13" s="358"/>
      <c r="P13" s="9"/>
      <c r="Q13" s="39"/>
      <c r="R13" s="86"/>
      <c r="S13" s="20"/>
    </row>
    <row r="14" spans="1:19" ht="14.1" customHeight="1" x14ac:dyDescent="0.2">
      <c r="A14" s="353" t="s">
        <v>131</v>
      </c>
      <c r="B14" s="55"/>
      <c r="C14" s="354">
        <f>SUM(C15:C16)</f>
        <v>238</v>
      </c>
      <c r="D14" s="356">
        <f>SUM(D15:D16)</f>
        <v>216</v>
      </c>
      <c r="E14" s="357">
        <f>(C14-D14)/D14</f>
        <v>0.10185185185185185</v>
      </c>
      <c r="F14" s="356">
        <f>SUM(F15:F16)</f>
        <v>1092</v>
      </c>
      <c r="G14" s="356">
        <f>SUM(G15:G16)</f>
        <v>1036</v>
      </c>
      <c r="H14" s="355">
        <f>(F14-G14)/G14</f>
        <v>5.4054054054054057E-2</v>
      </c>
      <c r="I14" s="357">
        <f>F14/$F$67</f>
        <v>5.8603812467800101E-3</v>
      </c>
      <c r="J14" s="353" t="s">
        <v>131</v>
      </c>
      <c r="K14" s="55"/>
      <c r="L14" s="354">
        <f>SUM(L15:L16)</f>
        <v>31358</v>
      </c>
      <c r="M14" s="356">
        <f>SUM(M15:M16)</f>
        <v>27809</v>
      </c>
      <c r="N14" s="357">
        <f>(L14-M14)/M14</f>
        <v>0.12762055449674567</v>
      </c>
      <c r="O14" s="354">
        <f>SUM(O15:O16)</f>
        <v>130257</v>
      </c>
      <c r="P14" s="356">
        <f>SUM(P15:P16)</f>
        <v>129617</v>
      </c>
      <c r="Q14" s="355">
        <f>(O14-P14)/P14</f>
        <v>4.9376239227879055E-3</v>
      </c>
      <c r="R14" s="357">
        <f>O14/$O$67</f>
        <v>7.2664267786880267E-3</v>
      </c>
      <c r="S14" s="20"/>
    </row>
    <row r="15" spans="1:19" ht="14.1" customHeight="1" x14ac:dyDescent="0.2">
      <c r="A15" s="353"/>
      <c r="B15" s="435" t="s">
        <v>131</v>
      </c>
      <c r="C15" s="441">
        <f>[3]Alaska!$FE$19</f>
        <v>178</v>
      </c>
      <c r="D15" s="295">
        <f>[3]Alaska!$EQ$19</f>
        <v>156</v>
      </c>
      <c r="E15" s="443">
        <f>(C15-D15)/D15</f>
        <v>0.14102564102564102</v>
      </c>
      <c r="F15" s="295">
        <f>SUM([3]Alaska!$EZ$19:$FE$19)</f>
        <v>735</v>
      </c>
      <c r="G15" s="295">
        <f>SUM([3]Alaska!$EL$19:$EQ$19)</f>
        <v>792</v>
      </c>
      <c r="H15" s="442">
        <f>(F15-G15)/G15</f>
        <v>-7.1969696969696975E-2</v>
      </c>
      <c r="I15" s="443">
        <f>F15/$F$67</f>
        <v>3.9444873776403912E-3</v>
      </c>
      <c r="J15" s="353"/>
      <c r="K15" s="435" t="s">
        <v>131</v>
      </c>
      <c r="L15" s="441">
        <f>[3]Alaska!$FE$41</f>
        <v>27296</v>
      </c>
      <c r="M15" s="295">
        <f>[3]Alaska!$EQ$41</f>
        <v>23807</v>
      </c>
      <c r="N15" s="443">
        <f>(L15-M15)/M15</f>
        <v>0.14655353467467552</v>
      </c>
      <c r="O15" s="441">
        <f>SUM([3]Alaska!$EZ$41:$FE$41)</f>
        <v>106775</v>
      </c>
      <c r="P15" s="295">
        <f>SUM([3]Alaska!$EL$41:$EQ$41)</f>
        <v>113660</v>
      </c>
      <c r="Q15" s="442">
        <f>(O15-P15)/P15</f>
        <v>-6.057540031673412E-2</v>
      </c>
      <c r="R15" s="443">
        <f>O15/$O$67</f>
        <v>5.9564761916397124E-3</v>
      </c>
      <c r="S15" s="20"/>
    </row>
    <row r="16" spans="1:19" ht="14.1" customHeight="1" x14ac:dyDescent="0.2">
      <c r="A16" s="353"/>
      <c r="B16" s="435" t="s">
        <v>100</v>
      </c>
      <c r="C16" s="358">
        <f>'[3]Sky West_AS'!$FE$19</f>
        <v>60</v>
      </c>
      <c r="D16" s="9">
        <f>'[3]Sky West_AS'!$EQ$19</f>
        <v>60</v>
      </c>
      <c r="E16" s="86">
        <f>(C16-D16)/D16</f>
        <v>0</v>
      </c>
      <c r="F16" s="9">
        <f>SUM('[3]Sky West_AS'!$EZ$19:$FE$19)</f>
        <v>357</v>
      </c>
      <c r="G16" s="9">
        <f>SUM('[3]Sky West_AS'!$EL$19:$EQ$19)</f>
        <v>244</v>
      </c>
      <c r="H16" s="39">
        <f>(F16-G16)/G16</f>
        <v>0.46311475409836067</v>
      </c>
      <c r="I16" s="86">
        <f>F16/$F$67</f>
        <v>1.9158938691396187E-3</v>
      </c>
      <c r="J16" s="353"/>
      <c r="K16" s="435" t="s">
        <v>100</v>
      </c>
      <c r="L16" s="358">
        <f>'[3]Sky West_AS'!$FE$41</f>
        <v>4062</v>
      </c>
      <c r="M16" s="9">
        <f>'[3]Sky West_AS'!$EQ$41</f>
        <v>4002</v>
      </c>
      <c r="N16" s="86">
        <f>(L16-M16)/M16</f>
        <v>1.4992503748125937E-2</v>
      </c>
      <c r="O16" s="358">
        <f>SUM('[3]Sky West_AS'!$EZ$41:$FE$41)</f>
        <v>23482</v>
      </c>
      <c r="P16" s="9">
        <f>SUM('[3]Sky West_AS'!$EL$41:$EQ$41)</f>
        <v>15957</v>
      </c>
      <c r="Q16" s="39">
        <f>(O16-P16)/P16</f>
        <v>0.47157987090305198</v>
      </c>
      <c r="R16" s="443">
        <f>O16/$O$67</f>
        <v>1.3099505870483141E-3</v>
      </c>
      <c r="S16" s="20"/>
    </row>
    <row r="17" spans="1:22" ht="14.1" customHeight="1" x14ac:dyDescent="0.2">
      <c r="A17" s="353"/>
      <c r="B17" s="55"/>
      <c r="C17" s="354"/>
      <c r="D17" s="359"/>
      <c r="E17" s="357"/>
      <c r="F17" s="359"/>
      <c r="G17" s="359"/>
      <c r="H17" s="355"/>
      <c r="I17" s="357"/>
      <c r="J17" s="353"/>
      <c r="K17" s="55"/>
      <c r="L17" s="360"/>
      <c r="M17" s="146"/>
      <c r="N17" s="86"/>
      <c r="O17" s="360"/>
      <c r="P17" s="146"/>
      <c r="Q17" s="39"/>
      <c r="R17" s="86"/>
      <c r="S17" s="20"/>
    </row>
    <row r="18" spans="1:22" ht="14.1" customHeight="1" x14ac:dyDescent="0.2">
      <c r="A18" s="353" t="s">
        <v>17</v>
      </c>
      <c r="B18" s="366"/>
      <c r="C18" s="354">
        <f>SUM(C19:C25)</f>
        <v>2029</v>
      </c>
      <c r="D18" s="356">
        <f>SUM(D19:D25)</f>
        <v>1905</v>
      </c>
      <c r="E18" s="357">
        <f t="shared" ref="E18:E25" si="0">(C18-D18)/D18</f>
        <v>6.5091863517060367E-2</v>
      </c>
      <c r="F18" s="354">
        <f>SUM(F19:F25)</f>
        <v>11555</v>
      </c>
      <c r="G18" s="356">
        <f>SUM(G19:G25)</f>
        <v>10640</v>
      </c>
      <c r="H18" s="355">
        <f t="shared" ref="H18:H25" si="1">(F18-G18)/G18</f>
        <v>8.5996240601503765E-2</v>
      </c>
      <c r="I18" s="357">
        <f t="shared" ref="I18:I25" si="2">F18/$F$67</f>
        <v>6.2011634896101668E-2</v>
      </c>
      <c r="J18" s="353" t="s">
        <v>17</v>
      </c>
      <c r="K18" s="361"/>
      <c r="L18" s="354">
        <f>SUM(L19:L25)</f>
        <v>213970</v>
      </c>
      <c r="M18" s="356">
        <f>SUM(M19:M25)</f>
        <v>226569</v>
      </c>
      <c r="N18" s="357">
        <f t="shared" ref="N18:N25" si="3">(L18-M18)/M18</f>
        <v>-5.5607783942198626E-2</v>
      </c>
      <c r="O18" s="354">
        <f>SUM(O19:O25)</f>
        <v>1182404</v>
      </c>
      <c r="P18" s="356">
        <f>SUM(P19:P25)</f>
        <v>1207918</v>
      </c>
      <c r="Q18" s="355">
        <f t="shared" ref="Q18:Q25" si="4">(O18-P18)/P18</f>
        <v>-2.1122294725304202E-2</v>
      </c>
      <c r="R18" s="357">
        <f t="shared" ref="R18:R25" si="5">O18/$O$67</f>
        <v>6.5960770544599048E-2</v>
      </c>
      <c r="S18" s="20"/>
    </row>
    <row r="19" spans="1:22" ht="14.1" customHeight="1" x14ac:dyDescent="0.2">
      <c r="A19" s="53"/>
      <c r="B19" s="363" t="s">
        <v>17</v>
      </c>
      <c r="C19" s="358">
        <f>[3]American!$FE$19</f>
        <v>1522</v>
      </c>
      <c r="D19" s="9">
        <f>[3]American!$EQ$19</f>
        <v>1464</v>
      </c>
      <c r="E19" s="86">
        <f t="shared" si="0"/>
        <v>3.9617486338797817E-2</v>
      </c>
      <c r="F19" s="9">
        <f>SUM([3]American!$EZ$19:$FE$19)</f>
        <v>9020</v>
      </c>
      <c r="G19" s="9">
        <f>SUM([3]American!$EL$19:$EQ$19)</f>
        <v>8543</v>
      </c>
      <c r="H19" s="39">
        <f t="shared" si="1"/>
        <v>5.5835186702563502E-2</v>
      </c>
      <c r="I19" s="86">
        <f t="shared" si="2"/>
        <v>4.8407178430362359E-2</v>
      </c>
      <c r="J19" s="53"/>
      <c r="K19" s="362" t="s">
        <v>17</v>
      </c>
      <c r="L19" s="358">
        <f>[3]American!$FE$41</f>
        <v>186633</v>
      </c>
      <c r="M19" s="9">
        <f>[3]American!$EQ$41</f>
        <v>195863</v>
      </c>
      <c r="N19" s="86">
        <f t="shared" si="3"/>
        <v>-4.7124775991381734E-2</v>
      </c>
      <c r="O19" s="358">
        <f>SUM([3]American!$EZ$41:$FE$41)</f>
        <v>1058458</v>
      </c>
      <c r="P19" s="9">
        <f>SUM([3]American!$EL$41:$EQ$41)</f>
        <v>1086396</v>
      </c>
      <c r="Q19" s="39">
        <f t="shared" si="4"/>
        <v>-2.5716221341021139E-2</v>
      </c>
      <c r="R19" s="86">
        <f t="shared" si="5"/>
        <v>5.9046404840558057E-2</v>
      </c>
      <c r="S19" s="20"/>
    </row>
    <row r="20" spans="1:22" ht="14.1" customHeight="1" x14ac:dyDescent="0.2">
      <c r="A20" s="53"/>
      <c r="B20" s="436" t="s">
        <v>181</v>
      </c>
      <c r="C20" s="358">
        <f>'[3]American Eagle'!$FE$19</f>
        <v>8</v>
      </c>
      <c r="D20" s="9">
        <f>'[3]American Eagle'!$EQ$19</f>
        <v>0</v>
      </c>
      <c r="E20" s="86" t="e">
        <f t="shared" si="0"/>
        <v>#DIV/0!</v>
      </c>
      <c r="F20" s="9">
        <f>SUM('[3]American Eagle'!$EZ$19:$FE$19)</f>
        <v>108</v>
      </c>
      <c r="G20" s="9">
        <f>SUM('[3]American Eagle'!$EL$19:$EQ$19)</f>
        <v>82</v>
      </c>
      <c r="H20" s="39">
        <f t="shared" si="1"/>
        <v>0.31707317073170732</v>
      </c>
      <c r="I20" s="86">
        <f t="shared" si="2"/>
        <v>5.7959814528593505E-4</v>
      </c>
      <c r="J20" s="53"/>
      <c r="K20" s="434" t="s">
        <v>181</v>
      </c>
      <c r="L20" s="358">
        <f>'[3]American Eagle'!$FE$41</f>
        <v>443</v>
      </c>
      <c r="M20" s="9">
        <f>'[3]American Eagle'!$EQ$41</f>
        <v>0</v>
      </c>
      <c r="N20" s="86" t="e">
        <f t="shared" si="3"/>
        <v>#DIV/0!</v>
      </c>
      <c r="O20" s="358">
        <f>SUM('[3]American Eagle'!$EZ$41:$FE$41)</f>
        <v>5543</v>
      </c>
      <c r="P20" s="9">
        <f>SUM('[3]American Eagle'!$EL$41:$EQ$41)</f>
        <v>4094</v>
      </c>
      <c r="Q20" s="39">
        <f t="shared" si="4"/>
        <v>0.3539325842696629</v>
      </c>
      <c r="R20" s="86">
        <f t="shared" si="5"/>
        <v>3.0921795860696722E-4</v>
      </c>
      <c r="S20" s="20"/>
    </row>
    <row r="21" spans="1:22" ht="14.1" customHeight="1" x14ac:dyDescent="0.2">
      <c r="A21" s="53"/>
      <c r="B21" s="436" t="s">
        <v>52</v>
      </c>
      <c r="C21" s="358">
        <f>[3]Republic!$FE$19</f>
        <v>445</v>
      </c>
      <c r="D21" s="9">
        <f>[3]Republic!$EQ$19</f>
        <v>409</v>
      </c>
      <c r="E21" s="86">
        <f t="shared" si="0"/>
        <v>8.8019559902200492E-2</v>
      </c>
      <c r="F21" s="9">
        <f>SUM([3]Republic!$EZ$19:$FE$19)</f>
        <v>2130</v>
      </c>
      <c r="G21" s="9">
        <f>SUM([3]Republic!$EL$19:$EQ$19)</f>
        <v>1845</v>
      </c>
      <c r="H21" s="39">
        <f t="shared" si="1"/>
        <v>0.15447154471544716</v>
      </c>
      <c r="I21" s="86">
        <f t="shared" si="2"/>
        <v>1.1430963420917054E-2</v>
      </c>
      <c r="J21" s="369"/>
      <c r="K21" s="364" t="s">
        <v>52</v>
      </c>
      <c r="L21" s="358">
        <f>[3]Republic!$FE$41</f>
        <v>24202</v>
      </c>
      <c r="M21" s="9">
        <f>[3]Republic!$EQ$41</f>
        <v>28709</v>
      </c>
      <c r="N21" s="86">
        <f t="shared" si="3"/>
        <v>-0.15698909749555889</v>
      </c>
      <c r="O21" s="358">
        <f>SUM([3]Republic!$EZ$41:$FE$41)</f>
        <v>104676</v>
      </c>
      <c r="P21" s="9">
        <f>SUM([3]Republic!$EL$41:$EQ$41)</f>
        <v>109453</v>
      </c>
      <c r="Q21" s="39">
        <f t="shared" si="4"/>
        <v>-4.3644303947813219E-2</v>
      </c>
      <c r="R21" s="86">
        <f t="shared" si="5"/>
        <v>5.8393828315249693E-3</v>
      </c>
      <c r="S21" s="20"/>
    </row>
    <row r="22" spans="1:22" ht="14.1" customHeight="1" x14ac:dyDescent="0.2">
      <c r="A22" s="53"/>
      <c r="B22" s="436" t="s">
        <v>210</v>
      </c>
      <c r="C22" s="358">
        <f>[3]PSA!$FE$19</f>
        <v>44</v>
      </c>
      <c r="D22" s="9">
        <f>[3]PSA!$EQ$19</f>
        <v>32</v>
      </c>
      <c r="E22" s="86">
        <f t="shared" si="0"/>
        <v>0.375</v>
      </c>
      <c r="F22" s="9">
        <f>SUM([3]PSA!$EZ$19:$FE$19)</f>
        <v>242</v>
      </c>
      <c r="G22" s="9">
        <f>SUM([3]PSA!$EL$19:$EQ$19)</f>
        <v>50</v>
      </c>
      <c r="H22" s="39">
        <f t="shared" ref="H22" si="6">(F22-G22)/G22</f>
        <v>3.84</v>
      </c>
      <c r="I22" s="86">
        <f t="shared" si="2"/>
        <v>1.2987291773999656E-3</v>
      </c>
      <c r="J22" s="369"/>
      <c r="K22" s="436" t="s">
        <v>210</v>
      </c>
      <c r="L22" s="358">
        <f>[3]PSA!$FE$41</f>
        <v>2210</v>
      </c>
      <c r="M22" s="9">
        <f>[3]PSA!$EQ$41</f>
        <v>1997</v>
      </c>
      <c r="N22" s="86">
        <f t="shared" si="3"/>
        <v>0.10665998998497747</v>
      </c>
      <c r="O22" s="358">
        <f>SUM([3]PSA!$EZ$41:$FE$41)</f>
        <v>10950</v>
      </c>
      <c r="P22" s="9">
        <f>SUM([3]PSA!$EL$41:$EQ$41)</f>
        <v>3084</v>
      </c>
      <c r="Q22" s="39">
        <f t="shared" ref="Q22" si="7">(O22-P22)/P22</f>
        <v>2.5505836575875485</v>
      </c>
      <c r="R22" s="86">
        <f t="shared" si="5"/>
        <v>6.108491154151707E-4</v>
      </c>
      <c r="S22" s="20"/>
    </row>
    <row r="23" spans="1:22" ht="14.1" customHeight="1" x14ac:dyDescent="0.2">
      <c r="A23" s="53"/>
      <c r="B23" s="435" t="s">
        <v>100</v>
      </c>
      <c r="C23" s="358">
        <f>'[3]Sky West_AA'!$FE$19</f>
        <v>10</v>
      </c>
      <c r="D23" s="9">
        <f>'[3]Sky West_AA'!$EQ$19</f>
        <v>0</v>
      </c>
      <c r="E23" s="86" t="e">
        <f>(C23-D23)/D23</f>
        <v>#DIV/0!</v>
      </c>
      <c r="F23" s="9">
        <f>SUM('[3]Sky West_AA'!$EZ$19:$FE$19)</f>
        <v>53</v>
      </c>
      <c r="G23" s="9">
        <f>SUM('[3]Sky West_AA'!$EL$19:$EQ$19)</f>
        <v>0</v>
      </c>
      <c r="H23" s="39" t="e">
        <f>(F23-G23)/G23</f>
        <v>#DIV/0!</v>
      </c>
      <c r="I23" s="86">
        <f t="shared" si="2"/>
        <v>2.8443242314957928E-4</v>
      </c>
      <c r="J23" s="369"/>
      <c r="K23" s="435" t="s">
        <v>100</v>
      </c>
      <c r="L23" s="358">
        <f>'[3]Sky West_AA'!$FE$41</f>
        <v>482</v>
      </c>
      <c r="M23" s="9">
        <f>'[3]Sky West_AA'!$EQ$41</f>
        <v>0</v>
      </c>
      <c r="N23" s="86" t="e">
        <f>(L23-M23)/M23</f>
        <v>#DIV/0!</v>
      </c>
      <c r="O23" s="358">
        <f>SUM('[3]Sky West_AA'!$EZ$41:$FE$41)</f>
        <v>2687</v>
      </c>
      <c r="P23" s="9">
        <f>SUM('[3]Sky West_AA'!$EL$41:$EQ$41)</f>
        <v>0</v>
      </c>
      <c r="Q23" s="39" t="e">
        <f>(O23-P23)/P23</f>
        <v>#DIV/0!</v>
      </c>
      <c r="R23" s="443">
        <f t="shared" si="5"/>
        <v>1.498951208329282E-4</v>
      </c>
      <c r="S23" s="20"/>
    </row>
    <row r="24" spans="1:22" ht="14.1" customHeight="1" x14ac:dyDescent="0.2">
      <c r="A24" s="53"/>
      <c r="B24" s="436" t="s">
        <v>51</v>
      </c>
      <c r="C24" s="358">
        <f>[3]MESA!$FE$19</f>
        <v>0</v>
      </c>
      <c r="D24" s="9">
        <f>[3]MESA!$EQ$19</f>
        <v>0</v>
      </c>
      <c r="E24" s="86" t="e">
        <f t="shared" si="0"/>
        <v>#DIV/0!</v>
      </c>
      <c r="F24" s="9">
        <f>SUM([3]MESA!$EZ$19:$FE$19)</f>
        <v>0</v>
      </c>
      <c r="G24" s="9">
        <f>SUM([3]MESA!$EL$19:$EQ$19)</f>
        <v>14</v>
      </c>
      <c r="H24" s="39">
        <f t="shared" si="1"/>
        <v>-1</v>
      </c>
      <c r="I24" s="86">
        <f t="shared" si="2"/>
        <v>0</v>
      </c>
      <c r="J24" s="369"/>
      <c r="K24" s="434" t="s">
        <v>51</v>
      </c>
      <c r="L24" s="358">
        <f>[3]MESA!$FE$41</f>
        <v>0</v>
      </c>
      <c r="M24" s="9">
        <f>[3]MESA!$EQ$41</f>
        <v>0</v>
      </c>
      <c r="N24" s="86" t="e">
        <f t="shared" si="3"/>
        <v>#DIV/0!</v>
      </c>
      <c r="O24" s="358">
        <f>SUM([3]MESA!$EZ$41:$FE$41)</f>
        <v>0</v>
      </c>
      <c r="P24" s="9">
        <f>SUM([3]MESA!$EL$41:$EQ$41)</f>
        <v>1079</v>
      </c>
      <c r="Q24" s="39">
        <f t="shared" si="4"/>
        <v>-1</v>
      </c>
      <c r="R24" s="86">
        <f t="shared" si="5"/>
        <v>0</v>
      </c>
      <c r="S24" s="20"/>
    </row>
    <row r="25" spans="1:22" ht="14.1" customHeight="1" x14ac:dyDescent="0.2">
      <c r="A25" s="53"/>
      <c r="B25" s="436" t="s">
        <v>50</v>
      </c>
      <c r="C25" s="358">
        <f>'[3]Air Wisconsin'!$FE$19</f>
        <v>0</v>
      </c>
      <c r="D25" s="9">
        <f>'[3]Air Wisconsin'!$EQ$19</f>
        <v>0</v>
      </c>
      <c r="E25" s="86" t="e">
        <f t="shared" si="0"/>
        <v>#DIV/0!</v>
      </c>
      <c r="F25" s="9">
        <f>SUM('[3]Air Wisconsin'!$EZ$19:$FE$19)</f>
        <v>2</v>
      </c>
      <c r="G25" s="9">
        <f>SUM('[3]Air Wisconsin'!$EL$19:$EQ$19)</f>
        <v>106</v>
      </c>
      <c r="H25" s="501">
        <f t="shared" si="1"/>
        <v>-0.98113207547169812</v>
      </c>
      <c r="I25" s="86">
        <f t="shared" si="2"/>
        <v>1.0733298986776576E-5</v>
      </c>
      <c r="J25" s="53"/>
      <c r="K25" s="437" t="s">
        <v>50</v>
      </c>
      <c r="L25" s="358">
        <f>'[3]Air Wisconsin'!$FE$41</f>
        <v>0</v>
      </c>
      <c r="M25" s="9">
        <f>'[3]Air Wisconsin'!$EQ$41</f>
        <v>0</v>
      </c>
      <c r="N25" s="86" t="e">
        <f t="shared" si="3"/>
        <v>#DIV/0!</v>
      </c>
      <c r="O25" s="358">
        <f>SUM('[3]Air Wisconsin'!$EZ$41:$FE$41)</f>
        <v>90</v>
      </c>
      <c r="P25" s="9">
        <f>SUM('[3]Air Wisconsin'!$EL$41:$EQ$41)</f>
        <v>3812</v>
      </c>
      <c r="Q25" s="39">
        <f t="shared" si="4"/>
        <v>-0.97639034627492127</v>
      </c>
      <c r="R25" s="86">
        <f t="shared" si="5"/>
        <v>5.0206776609466084E-6</v>
      </c>
      <c r="S25" s="20"/>
    </row>
    <row r="26" spans="1:22" ht="14.1" customHeight="1" x14ac:dyDescent="0.2">
      <c r="A26" s="53"/>
      <c r="B26" s="363"/>
      <c r="C26" s="358"/>
      <c r="D26" s="9"/>
      <c r="E26" s="86"/>
      <c r="F26" s="9"/>
      <c r="G26" s="9"/>
      <c r="H26" s="39"/>
      <c r="I26" s="86"/>
      <c r="J26" s="53"/>
      <c r="K26" s="363"/>
      <c r="L26" s="358"/>
      <c r="M26" s="9"/>
      <c r="N26" s="86"/>
      <c r="O26" s="358"/>
      <c r="P26" s="9"/>
      <c r="Q26" s="39"/>
      <c r="R26" s="86"/>
      <c r="S26" s="20"/>
      <c r="T26" s="9"/>
      <c r="U26" s="11"/>
      <c r="V26" s="11"/>
    </row>
    <row r="27" spans="1:22" ht="14.1" customHeight="1" x14ac:dyDescent="0.2">
      <c r="A27" s="353" t="s">
        <v>206</v>
      </c>
      <c r="B27" s="363"/>
      <c r="C27" s="354">
        <f>'[3]Boutique Air'!$FE$19</f>
        <v>150</v>
      </c>
      <c r="D27" s="356">
        <f>'[3]Boutique Air'!$EQ$19</f>
        <v>36</v>
      </c>
      <c r="E27" s="357">
        <f>(C27-D27)/D27</f>
        <v>3.1666666666666665</v>
      </c>
      <c r="F27" s="356">
        <f>SUM('[3]Boutique Air'!$EZ$19:$FE$19)</f>
        <v>924</v>
      </c>
      <c r="G27" s="356">
        <f>SUM('[3]Boutique Air'!$EL$19:$EQ$19)</f>
        <v>36</v>
      </c>
      <c r="H27" s="355">
        <f>(F27-G27)/G27</f>
        <v>24.666666666666668</v>
      </c>
      <c r="I27" s="357">
        <f>F27/$F$67</f>
        <v>4.9587841318907777E-3</v>
      </c>
      <c r="J27" s="353" t="s">
        <v>206</v>
      </c>
      <c r="K27" s="363"/>
      <c r="L27" s="354">
        <f>'[3]Boutique Air'!$FE$41</f>
        <v>960</v>
      </c>
      <c r="M27" s="356">
        <f>'[3]Boutique Air'!$EQ$41</f>
        <v>109</v>
      </c>
      <c r="N27" s="357">
        <f>(L27-M27)/M27</f>
        <v>7.807339449541284</v>
      </c>
      <c r="O27" s="354">
        <f>SUM('[3]Boutique Air'!$EZ$41:$FE$41)</f>
        <v>6016</v>
      </c>
      <c r="P27" s="356">
        <f>SUM('[3]Boutique Air'!$EL$41:$EQ$41)</f>
        <v>109</v>
      </c>
      <c r="Q27" s="355">
        <f>(O27-P27)/P27</f>
        <v>54.192660550458719</v>
      </c>
      <c r="R27" s="357">
        <f>O27/$O$67</f>
        <v>3.3560440898060885E-4</v>
      </c>
      <c r="S27" s="20"/>
      <c r="T27" s="9"/>
      <c r="U27" s="11"/>
      <c r="V27" s="11"/>
    </row>
    <row r="28" spans="1:22" ht="14.1" customHeight="1" x14ac:dyDescent="0.2">
      <c r="A28" s="53"/>
      <c r="B28" s="363"/>
      <c r="C28" s="358"/>
      <c r="D28" s="9"/>
      <c r="E28" s="86"/>
      <c r="F28" s="9"/>
      <c r="G28" s="9"/>
      <c r="H28" s="39"/>
      <c r="I28" s="86"/>
      <c r="J28" s="53"/>
      <c r="K28" s="363"/>
      <c r="L28" s="358"/>
      <c r="M28" s="9"/>
      <c r="N28" s="86"/>
      <c r="O28" s="358"/>
      <c r="P28" s="9"/>
      <c r="Q28" s="39"/>
      <c r="R28" s="86"/>
      <c r="S28" s="20"/>
      <c r="T28" s="9"/>
      <c r="U28" s="11"/>
      <c r="V28" s="11"/>
    </row>
    <row r="29" spans="1:22" ht="14.1" customHeight="1" x14ac:dyDescent="0.2">
      <c r="A29" s="353" t="s">
        <v>167</v>
      </c>
      <c r="B29" s="363"/>
      <c r="C29" s="354">
        <f>[3]Condor!$FE$19</f>
        <v>28</v>
      </c>
      <c r="D29" s="356">
        <f>[3]Condor!$EQ$19</f>
        <v>26</v>
      </c>
      <c r="E29" s="357">
        <f>(C29-D29)/D29</f>
        <v>7.6923076923076927E-2</v>
      </c>
      <c r="F29" s="356">
        <f>SUM([3]Condor!$EZ$19:$FE$19)</f>
        <v>46</v>
      </c>
      <c r="G29" s="356">
        <f>SUM([3]Condor!$EL$19:$EQ$19)</f>
        <v>26</v>
      </c>
      <c r="H29" s="355">
        <f>(F29-G29)/G29</f>
        <v>0.76923076923076927</v>
      </c>
      <c r="I29" s="357">
        <f>F29/$F$67</f>
        <v>2.4686587669586123E-4</v>
      </c>
      <c r="J29" s="353" t="s">
        <v>167</v>
      </c>
      <c r="K29" s="363"/>
      <c r="L29" s="354">
        <f>[3]Condor!$FE$41</f>
        <v>6544</v>
      </c>
      <c r="M29" s="356">
        <f>[3]Condor!$EQ$41</f>
        <v>5728</v>
      </c>
      <c r="N29" s="357">
        <f>(L29-M29)/M29</f>
        <v>0.14245810055865921</v>
      </c>
      <c r="O29" s="354">
        <f>SUM([3]Condor!$EZ$41:$FE$41)</f>
        <v>9982</v>
      </c>
      <c r="P29" s="356">
        <f>SUM([3]Condor!$EL$41:$EQ$41)</f>
        <v>5728</v>
      </c>
      <c r="Q29" s="355">
        <f>(O29-P29)/P29</f>
        <v>0.74266759776536317</v>
      </c>
      <c r="R29" s="357">
        <f>O29/$O$67</f>
        <v>5.5684893790632279E-4</v>
      </c>
      <c r="S29" s="20"/>
      <c r="T29" s="9"/>
      <c r="U29" s="11"/>
      <c r="V29" s="11"/>
    </row>
    <row r="30" spans="1:22" ht="14.1" customHeight="1" x14ac:dyDescent="0.2">
      <c r="A30" s="53"/>
      <c r="B30" s="363"/>
      <c r="C30" s="358"/>
      <c r="D30" s="9"/>
      <c r="E30" s="86"/>
      <c r="F30" s="9"/>
      <c r="G30" s="9"/>
      <c r="H30" s="39"/>
      <c r="I30" s="86"/>
      <c r="J30" s="53"/>
      <c r="K30" s="363"/>
      <c r="L30" s="358"/>
      <c r="M30" s="9"/>
      <c r="N30" s="86"/>
      <c r="O30" s="358"/>
      <c r="P30" s="9"/>
      <c r="Q30" s="39"/>
      <c r="R30" s="86"/>
      <c r="S30" s="20"/>
      <c r="T30" s="9"/>
      <c r="U30" s="11"/>
      <c r="V30" s="11"/>
    </row>
    <row r="31" spans="1:22" ht="14.1" customHeight="1" x14ac:dyDescent="0.2">
      <c r="A31" s="353" t="s">
        <v>18</v>
      </c>
      <c r="B31" s="366"/>
      <c r="C31" s="354">
        <f>SUM(C32:C38)</f>
        <v>24453</v>
      </c>
      <c r="D31" s="356">
        <f>SUM(D32:D38)</f>
        <v>24789</v>
      </c>
      <c r="E31" s="357">
        <f t="shared" ref="E31:E38" si="8">(C31-D31)/D31</f>
        <v>-1.3554399128645771E-2</v>
      </c>
      <c r="F31" s="359">
        <f>SUM(F32:F38)</f>
        <v>134358</v>
      </c>
      <c r="G31" s="359">
        <f>SUM(G32:G38)</f>
        <v>136832</v>
      </c>
      <c r="H31" s="355">
        <f>(F31-G31)/G31</f>
        <v>-1.80805659494855E-2</v>
      </c>
      <c r="I31" s="357">
        <f t="shared" ref="I31:I38" si="9">F31/$F$67</f>
        <v>0.72105229263266357</v>
      </c>
      <c r="J31" s="353" t="s">
        <v>18</v>
      </c>
      <c r="K31" s="366"/>
      <c r="L31" s="354">
        <f>SUM(L32:L38)</f>
        <v>2419125</v>
      </c>
      <c r="M31" s="356">
        <f>SUM(M32:M38)</f>
        <v>2403472</v>
      </c>
      <c r="N31" s="357">
        <f t="shared" ref="N31:N38" si="10">(L31-M31)/M31</f>
        <v>6.5126616827655987E-3</v>
      </c>
      <c r="O31" s="354">
        <f>SUM(O32:O38)</f>
        <v>12567918</v>
      </c>
      <c r="P31" s="356">
        <f>SUM(P32:P38)</f>
        <v>12622880</v>
      </c>
      <c r="Q31" s="355">
        <f t="shared" ref="Q31:Q38" si="11">(O31-P31)/P31</f>
        <v>-4.3541568960490792E-3</v>
      </c>
      <c r="R31" s="357">
        <f t="shared" ref="R31:R38" si="12">O31/$O$67</f>
        <v>0.70110516830231973</v>
      </c>
      <c r="S31" s="420"/>
      <c r="U31" s="11"/>
      <c r="V31" s="11"/>
    </row>
    <row r="32" spans="1:22" ht="14.1" customHeight="1" x14ac:dyDescent="0.2">
      <c r="A32" s="53"/>
      <c r="B32" s="362" t="s">
        <v>18</v>
      </c>
      <c r="C32" s="358">
        <f>[3]Delta!$FE$19</f>
        <v>13186</v>
      </c>
      <c r="D32" s="9">
        <f>[3]Delta!$EQ$19</f>
        <v>12231</v>
      </c>
      <c r="E32" s="86">
        <f t="shared" si="8"/>
        <v>7.8080287793312081E-2</v>
      </c>
      <c r="F32" s="9">
        <f>SUM([3]Delta!$EZ$19:$FE$19)</f>
        <v>67820</v>
      </c>
      <c r="G32" s="9">
        <f>SUM([3]Delta!$EL$19:$EQ$19)</f>
        <v>65701</v>
      </c>
      <c r="H32" s="39">
        <f t="shared" ref="H32:H38" si="13">(F32-G32)/G32</f>
        <v>3.2252172721876381E-2</v>
      </c>
      <c r="I32" s="86">
        <f t="shared" si="9"/>
        <v>0.3639661686415937</v>
      </c>
      <c r="J32" s="53"/>
      <c r="K32" s="362" t="s">
        <v>18</v>
      </c>
      <c r="L32" s="358">
        <f>[3]Delta!$FE$41</f>
        <v>1838429</v>
      </c>
      <c r="M32" s="9">
        <f>[3]Delta!$EQ$41</f>
        <v>1757305</v>
      </c>
      <c r="N32" s="86">
        <f t="shared" si="10"/>
        <v>4.6163870244493699E-2</v>
      </c>
      <c r="O32" s="358">
        <f>SUM([3]Delta!$EZ$41:$FE$41)</f>
        <v>9267352</v>
      </c>
      <c r="P32" s="9">
        <f>SUM([3]Delta!$EL$41:$EQ$41)</f>
        <v>9022890</v>
      </c>
      <c r="Q32" s="39">
        <f t="shared" si="11"/>
        <v>2.7093536549819403E-2</v>
      </c>
      <c r="R32" s="86">
        <f t="shared" si="12"/>
        <v>0.51698207958365416</v>
      </c>
      <c r="S32" s="20"/>
      <c r="T32" s="9"/>
      <c r="U32" s="11"/>
      <c r="V32" s="11"/>
    </row>
    <row r="33" spans="1:22" ht="14.1" customHeight="1" x14ac:dyDescent="0.2">
      <c r="A33" s="53"/>
      <c r="B33" s="364" t="s">
        <v>120</v>
      </c>
      <c r="C33" s="358">
        <f>[3]Compass!$FE$19</f>
        <v>928</v>
      </c>
      <c r="D33" s="9">
        <f>[3]Compass!$EQ$19</f>
        <v>1632</v>
      </c>
      <c r="E33" s="86">
        <f t="shared" si="8"/>
        <v>-0.43137254901960786</v>
      </c>
      <c r="F33" s="9">
        <f>SUM([3]Compass!$EZ$19:$FE$19)</f>
        <v>6365</v>
      </c>
      <c r="G33" s="9">
        <f>SUM([3]Compass!$EL$19:$EQ$19)</f>
        <v>8404</v>
      </c>
      <c r="H33" s="39">
        <f t="shared" si="13"/>
        <v>-0.2426225606853879</v>
      </c>
      <c r="I33" s="86">
        <f t="shared" si="9"/>
        <v>3.4158724025416455E-2</v>
      </c>
      <c r="J33" s="53"/>
      <c r="K33" s="364" t="s">
        <v>120</v>
      </c>
      <c r="L33" s="358">
        <f>[3]Compass!$FE$41</f>
        <v>58464</v>
      </c>
      <c r="M33" s="9">
        <f>[3]Compass!$EQ$41</f>
        <v>99088</v>
      </c>
      <c r="N33" s="86">
        <f t="shared" si="10"/>
        <v>-0.40997900855804942</v>
      </c>
      <c r="O33" s="358">
        <f>SUM([3]Compass!$EZ$41:$FE$41)</f>
        <v>370320</v>
      </c>
      <c r="P33" s="9">
        <f>SUM([3]Compass!$EL$41:$EQ$41)</f>
        <v>499571</v>
      </c>
      <c r="Q33" s="39">
        <f t="shared" si="11"/>
        <v>-0.2587239851792838</v>
      </c>
      <c r="R33" s="86">
        <f t="shared" si="12"/>
        <v>2.0658415015574978E-2</v>
      </c>
      <c r="S33" s="9"/>
      <c r="T33" s="9"/>
      <c r="U33" s="11"/>
      <c r="V33" s="11"/>
    </row>
    <row r="34" spans="1:22" ht="14.1" customHeight="1" x14ac:dyDescent="0.2">
      <c r="A34" s="53"/>
      <c r="B34" s="363" t="s">
        <v>163</v>
      </c>
      <c r="C34" s="358">
        <f>[3]Pinnacle!$FE$19</f>
        <v>3569</v>
      </c>
      <c r="D34" s="9">
        <f>[3]Pinnacle!$EQ$19</f>
        <v>4183</v>
      </c>
      <c r="E34" s="86">
        <f t="shared" si="8"/>
        <v>-0.14678460435094429</v>
      </c>
      <c r="F34" s="9">
        <f>SUM([3]Pinnacle!$EZ$19:$FE$19)</f>
        <v>18862</v>
      </c>
      <c r="G34" s="9">
        <f>SUM([3]Pinnacle!$EL$19:$EQ$19)</f>
        <v>23886</v>
      </c>
      <c r="H34" s="39">
        <f t="shared" si="13"/>
        <v>-0.21033241229171901</v>
      </c>
      <c r="I34" s="86">
        <f t="shared" si="9"/>
        <v>0.10122574274428989</v>
      </c>
      <c r="J34" s="53"/>
      <c r="K34" s="363" t="s">
        <v>163</v>
      </c>
      <c r="L34" s="358">
        <f>[3]Pinnacle!$FE$41</f>
        <v>187272</v>
      </c>
      <c r="M34" s="9">
        <f>[3]Pinnacle!$EQ$41</f>
        <v>221756</v>
      </c>
      <c r="N34" s="86">
        <f t="shared" si="10"/>
        <v>-0.15550424791211961</v>
      </c>
      <c r="O34" s="358">
        <f>SUM([3]Pinnacle!$EZ$41:$FE$41)</f>
        <v>943342</v>
      </c>
      <c r="P34" s="9">
        <f>SUM([3]Pinnacle!$EL$41:$EQ$41)</f>
        <v>1318877</v>
      </c>
      <c r="Q34" s="39">
        <f t="shared" si="11"/>
        <v>-0.28473845551935473</v>
      </c>
      <c r="R34" s="86">
        <f t="shared" si="12"/>
        <v>5.2624623400363287E-2</v>
      </c>
      <c r="S34" s="20"/>
      <c r="T34" s="11"/>
    </row>
    <row r="35" spans="1:22" ht="14.1" customHeight="1" x14ac:dyDescent="0.2">
      <c r="A35" s="53"/>
      <c r="B35" s="363" t="s">
        <v>159</v>
      </c>
      <c r="C35" s="358">
        <f>'[3]Go Jet'!$FE$19</f>
        <v>281</v>
      </c>
      <c r="D35" s="9">
        <f>'[3]Go Jet'!$EQ$19</f>
        <v>130</v>
      </c>
      <c r="E35" s="86">
        <f t="shared" si="8"/>
        <v>1.1615384615384616</v>
      </c>
      <c r="F35" s="9">
        <f>SUM('[3]Go Jet'!$EZ$19:$FE$19)</f>
        <v>3136</v>
      </c>
      <c r="G35" s="9">
        <f>SUM('[3]Go Jet'!$EL$19:$EQ$19)</f>
        <v>130</v>
      </c>
      <c r="H35" s="39">
        <f>(F35-G35)/G35</f>
        <v>23.123076923076923</v>
      </c>
      <c r="I35" s="86">
        <f t="shared" si="9"/>
        <v>1.6829812811265672E-2</v>
      </c>
      <c r="J35" s="53"/>
      <c r="K35" s="362" t="s">
        <v>159</v>
      </c>
      <c r="L35" s="358">
        <f>'[3]Go Jet'!$FE$41</f>
        <v>17051</v>
      </c>
      <c r="M35" s="9">
        <f>'[3]Go Jet'!$EQ$41</f>
        <v>8319</v>
      </c>
      <c r="N35" s="86">
        <f t="shared" si="10"/>
        <v>1.0496453900709219</v>
      </c>
      <c r="O35" s="358">
        <f>SUM('[3]Go Jet'!$EZ$41:$FE$41)</f>
        <v>174914</v>
      </c>
      <c r="P35" s="9">
        <f>SUM('[3]Go Jet'!$EL$41:$EQ$41)</f>
        <v>8319</v>
      </c>
      <c r="Q35" s="39">
        <f>(O35-P35)/P35</f>
        <v>20.025844452458227</v>
      </c>
      <c r="R35" s="86">
        <f t="shared" si="12"/>
        <v>9.7576312487423905E-3</v>
      </c>
      <c r="S35" s="331"/>
      <c r="T35" s="329"/>
    </row>
    <row r="36" spans="1:22" ht="14.1" customHeight="1" x14ac:dyDescent="0.2">
      <c r="A36" s="53"/>
      <c r="B36" s="363" t="s">
        <v>100</v>
      </c>
      <c r="C36" s="358">
        <f>'[3]Sky West'!$FE$19</f>
        <v>6021</v>
      </c>
      <c r="D36" s="9">
        <f>'[3]Sky West'!$EQ$19</f>
        <v>5658</v>
      </c>
      <c r="E36" s="86">
        <f t="shared" si="8"/>
        <v>6.4156945917285255E-2</v>
      </c>
      <c r="F36" s="9">
        <f>SUM('[3]Sky West'!$EZ$19:$FE$19)</f>
        <v>33973</v>
      </c>
      <c r="G36" s="9">
        <f>SUM('[3]Sky West'!$EL$19:$EQ$19)</f>
        <v>33773</v>
      </c>
      <c r="H36" s="39">
        <f t="shared" si="13"/>
        <v>5.9218902673733457E-3</v>
      </c>
      <c r="I36" s="86">
        <f t="shared" si="9"/>
        <v>0.1823211832388803</v>
      </c>
      <c r="J36" s="53"/>
      <c r="K36" s="363" t="s">
        <v>100</v>
      </c>
      <c r="L36" s="358">
        <f>'[3]Sky West'!$FE$41</f>
        <v>291037</v>
      </c>
      <c r="M36" s="9">
        <f>'[3]Sky West'!$EQ$41</f>
        <v>260919</v>
      </c>
      <c r="N36" s="86">
        <f t="shared" si="10"/>
        <v>0.11543045926130331</v>
      </c>
      <c r="O36" s="358">
        <f>SUM('[3]Sky West'!$EZ$41:$FE$41)</f>
        <v>1573959</v>
      </c>
      <c r="P36" s="9">
        <f>SUM('[3]Sky West'!$EL$41:$EQ$41)</f>
        <v>1510551</v>
      </c>
      <c r="Q36" s="39">
        <f t="shared" si="11"/>
        <v>4.1976735641497703E-2</v>
      </c>
      <c r="R36" s="86">
        <f t="shared" si="12"/>
        <v>8.7803786561620703E-2</v>
      </c>
      <c r="S36" s="20"/>
    </row>
    <row r="37" spans="1:22" ht="14.1" customHeight="1" x14ac:dyDescent="0.2">
      <c r="A37" s="53"/>
      <c r="B37" s="363" t="s">
        <v>134</v>
      </c>
      <c r="C37" s="358">
        <f>'[3]Shuttle America_Delta'!$FE$19</f>
        <v>0</v>
      </c>
      <c r="D37" s="9">
        <f>'[3]Shuttle America_Delta'!$EQ$19</f>
        <v>126</v>
      </c>
      <c r="E37" s="86">
        <f t="shared" si="8"/>
        <v>-1</v>
      </c>
      <c r="F37" s="9">
        <f>SUM('[3]Shuttle America_Delta'!$EZ$19:$FE$19)</f>
        <v>158</v>
      </c>
      <c r="G37" s="9">
        <f>SUM('[3]Shuttle America_Delta'!$EL$19:$EQ$19)</f>
        <v>684</v>
      </c>
      <c r="H37" s="39">
        <f t="shared" si="13"/>
        <v>-0.76900584795321636</v>
      </c>
      <c r="I37" s="86">
        <f t="shared" si="9"/>
        <v>8.4793061995534953E-4</v>
      </c>
      <c r="J37" s="53"/>
      <c r="K37" s="363" t="s">
        <v>134</v>
      </c>
      <c r="L37" s="358">
        <f>'[3]Shuttle America_Delta'!$FE$41</f>
        <v>0</v>
      </c>
      <c r="M37" s="9">
        <f>'[3]Shuttle America_Delta'!$EQ$41</f>
        <v>7606</v>
      </c>
      <c r="N37" s="86">
        <f t="shared" si="10"/>
        <v>-1</v>
      </c>
      <c r="O37" s="358">
        <f>SUM('[3]Shuttle America_Delta'!$EZ$41:$FE$41)</f>
        <v>8496</v>
      </c>
      <c r="P37" s="9">
        <f>SUM('[3]Shuttle America_Delta'!$EL$41:$EQ$41)</f>
        <v>34109</v>
      </c>
      <c r="Q37" s="39">
        <f t="shared" si="11"/>
        <v>-0.75091618048022513</v>
      </c>
      <c r="R37" s="86">
        <f t="shared" si="12"/>
        <v>4.7395197119335985E-4</v>
      </c>
      <c r="S37" s="20"/>
    </row>
    <row r="38" spans="1:22" ht="14.1" customHeight="1" x14ac:dyDescent="0.2">
      <c r="A38" s="53"/>
      <c r="B38" s="436" t="s">
        <v>182</v>
      </c>
      <c r="C38" s="358">
        <f>'[3]Atlantic Southeast'!$FE$19</f>
        <v>468</v>
      </c>
      <c r="D38" s="9">
        <f>'[3]Atlantic Southeast'!$EQ$19</f>
        <v>829</v>
      </c>
      <c r="E38" s="86">
        <f t="shared" si="8"/>
        <v>-0.43546441495778043</v>
      </c>
      <c r="F38" s="9">
        <f>SUM('[3]Atlantic Southeast'!$EZ$19:$FE$19)</f>
        <v>4044</v>
      </c>
      <c r="G38" s="9">
        <f>SUM('[3]Atlantic Southeast'!$EL$19:$EQ$19)</f>
        <v>4254</v>
      </c>
      <c r="H38" s="39">
        <f t="shared" si="13"/>
        <v>-4.9365303244005641E-2</v>
      </c>
      <c r="I38" s="86">
        <f t="shared" si="9"/>
        <v>2.1702730551262237E-2</v>
      </c>
      <c r="J38" s="53"/>
      <c r="K38" s="436" t="s">
        <v>182</v>
      </c>
      <c r="L38" s="358">
        <f>'[3]Atlantic Southeast'!$FE$41</f>
        <v>26872</v>
      </c>
      <c r="M38" s="9">
        <f>'[3]Atlantic Southeast'!$EQ$41</f>
        <v>48479</v>
      </c>
      <c r="N38" s="86">
        <f t="shared" si="10"/>
        <v>-0.44569813733781638</v>
      </c>
      <c r="O38" s="358">
        <f>SUM('[3]Atlantic Southeast'!$EZ$41:$FE$41)</f>
        <v>229535</v>
      </c>
      <c r="P38" s="9">
        <f>SUM('[3]Atlantic Southeast'!$EL$41:$EQ$41)</f>
        <v>228563</v>
      </c>
      <c r="Q38" s="39">
        <f t="shared" si="11"/>
        <v>4.2526568167201165E-3</v>
      </c>
      <c r="R38" s="86">
        <f t="shared" si="12"/>
        <v>1.2804680521170887E-2</v>
      </c>
      <c r="S38" s="328"/>
    </row>
    <row r="39" spans="1:22" ht="14.1" customHeight="1" x14ac:dyDescent="0.2">
      <c r="A39" s="53"/>
      <c r="B39" s="367"/>
      <c r="C39" s="358"/>
      <c r="D39" s="9"/>
      <c r="E39" s="86"/>
      <c r="F39" s="9"/>
      <c r="G39" s="9"/>
      <c r="H39" s="39"/>
      <c r="I39" s="86"/>
      <c r="J39" s="53"/>
      <c r="K39" s="367"/>
      <c r="L39" s="358"/>
      <c r="M39" s="9"/>
      <c r="N39" s="86"/>
      <c r="O39" s="358"/>
      <c r="P39" s="9"/>
      <c r="Q39" s="39"/>
      <c r="R39" s="86"/>
      <c r="S39" s="328"/>
    </row>
    <row r="40" spans="1:22" s="7" customFormat="1" ht="14.1" customHeight="1" x14ac:dyDescent="0.2">
      <c r="A40" s="353" t="s">
        <v>47</v>
      </c>
      <c r="B40" s="368"/>
      <c r="C40" s="354">
        <f>[3]Frontier!$FE$19</f>
        <v>180</v>
      </c>
      <c r="D40" s="356">
        <f>[3]Frontier!$EQ$19</f>
        <v>200</v>
      </c>
      <c r="E40" s="357">
        <f>(C40-D40)/D40</f>
        <v>-0.1</v>
      </c>
      <c r="F40" s="356">
        <f>SUM([3]Frontier!$EZ$19:$FE$19)</f>
        <v>1051</v>
      </c>
      <c r="G40" s="356">
        <f>SUM([3]Frontier!$EL$19:$EQ$19)</f>
        <v>1078</v>
      </c>
      <c r="H40" s="355">
        <f>(F40-G40)/G40</f>
        <v>-2.5046382189239332E-2</v>
      </c>
      <c r="I40" s="357">
        <f>F40/$F$67</f>
        <v>5.6403486175510909E-3</v>
      </c>
      <c r="J40" s="353" t="s">
        <v>47</v>
      </c>
      <c r="K40" s="368"/>
      <c r="L40" s="354">
        <f>[3]Frontier!$FE$41</f>
        <v>22777</v>
      </c>
      <c r="M40" s="356">
        <f>[3]Frontier!$EQ$41</f>
        <v>29721</v>
      </c>
      <c r="N40" s="357">
        <f>(L40-M40)/M40</f>
        <v>-0.23363951414824535</v>
      </c>
      <c r="O40" s="354">
        <f>SUM([3]Frontier!$EZ$41:$FE$41)</f>
        <v>161223</v>
      </c>
      <c r="P40" s="356">
        <f>SUM([3]Frontier!$EL$41:$EQ$41)</f>
        <v>157381</v>
      </c>
      <c r="Q40" s="355">
        <f>(O40-P40)/P40</f>
        <v>2.4412095488019519E-2</v>
      </c>
      <c r="R40" s="357">
        <f>O40/$O$67</f>
        <v>8.9938746058977233E-3</v>
      </c>
      <c r="S40" s="330"/>
      <c r="T40"/>
    </row>
    <row r="41" spans="1:22" s="7" customFormat="1" ht="14.1" customHeight="1" x14ac:dyDescent="0.2">
      <c r="A41" s="353"/>
      <c r="B41" s="368"/>
      <c r="C41" s="354"/>
      <c r="D41" s="356"/>
      <c r="E41" s="357"/>
      <c r="F41" s="356"/>
      <c r="G41" s="356"/>
      <c r="H41" s="355"/>
      <c r="I41" s="357"/>
      <c r="J41" s="353"/>
      <c r="K41" s="368"/>
      <c r="L41" s="358"/>
      <c r="M41" s="9"/>
      <c r="N41" s="86"/>
      <c r="O41" s="358"/>
      <c r="P41" s="9"/>
      <c r="Q41" s="39"/>
      <c r="R41" s="86"/>
      <c r="S41" s="330"/>
    </row>
    <row r="42" spans="1:22" s="7" customFormat="1" ht="14.1" customHeight="1" x14ac:dyDescent="0.2">
      <c r="A42" s="353" t="s">
        <v>158</v>
      </c>
      <c r="B42" s="368"/>
      <c r="C42" s="354">
        <f>'[3]Great Lakes'!$FE$19</f>
        <v>0</v>
      </c>
      <c r="D42" s="356">
        <f>'[3]Great Lakes'!$EQ$19</f>
        <v>4</v>
      </c>
      <c r="E42" s="357">
        <f>(C42-D42)/D42</f>
        <v>-1</v>
      </c>
      <c r="F42" s="356">
        <f>SUM('[3]Great Lakes'!$EZ$19:$FE$19)</f>
        <v>0</v>
      </c>
      <c r="G42" s="356">
        <f>SUM('[3]Great Lakes'!$EL$19:$EQ$19)</f>
        <v>571</v>
      </c>
      <c r="H42" s="355">
        <f>(F42-G42)/G42</f>
        <v>-1</v>
      </c>
      <c r="I42" s="357">
        <f>F42/$F$67</f>
        <v>0</v>
      </c>
      <c r="J42" s="353" t="s">
        <v>158</v>
      </c>
      <c r="K42" s="368"/>
      <c r="L42" s="354">
        <f>'[3]Great Lakes'!$FE$41</f>
        <v>0</v>
      </c>
      <c r="M42" s="356">
        <f>'[3]Great Lakes'!$EQ$41</f>
        <v>13</v>
      </c>
      <c r="N42" s="357">
        <f>(L42-M42)/M42</f>
        <v>-1</v>
      </c>
      <c r="O42" s="354">
        <f>SUM('[3]Great Lakes'!$EZ$41:$FE$41)</f>
        <v>0</v>
      </c>
      <c r="P42" s="356">
        <f>SUM('[3]Great Lakes'!$EL$41:$EQ$41)</f>
        <v>1557</v>
      </c>
      <c r="Q42" s="355">
        <f>(O42-P42)/P42</f>
        <v>-1</v>
      </c>
      <c r="R42" s="357">
        <f>O42/$O$67</f>
        <v>0</v>
      </c>
      <c r="S42" s="330"/>
    </row>
    <row r="43" spans="1:22" s="7" customFormat="1" ht="14.1" customHeight="1" x14ac:dyDescent="0.2">
      <c r="A43" s="353"/>
      <c r="B43" s="368"/>
      <c r="C43" s="354"/>
      <c r="D43" s="356"/>
      <c r="E43" s="357"/>
      <c r="F43" s="356"/>
      <c r="G43" s="356"/>
      <c r="H43" s="355"/>
      <c r="I43" s="357"/>
      <c r="J43" s="353"/>
      <c r="K43" s="368"/>
      <c r="L43" s="358"/>
      <c r="M43" s="9"/>
      <c r="N43" s="86"/>
      <c r="O43" s="358"/>
      <c r="P43" s="9"/>
      <c r="Q43" s="39"/>
      <c r="R43" s="86"/>
      <c r="S43" s="330"/>
    </row>
    <row r="44" spans="1:22" s="7" customFormat="1" ht="14.1" customHeight="1" x14ac:dyDescent="0.2">
      <c r="A44" s="353" t="s">
        <v>48</v>
      </c>
      <c r="B44" s="368"/>
      <c r="C44" s="354">
        <f>[3]Icelandair!$FE$19</f>
        <v>58</v>
      </c>
      <c r="D44" s="356">
        <f>[3]Icelandair!$EQ$19</f>
        <v>60</v>
      </c>
      <c r="E44" s="357">
        <f>(C44-D44)/D44</f>
        <v>-3.3333333333333333E-2</v>
      </c>
      <c r="F44" s="356">
        <f>SUM([3]Icelandair!$EZ$19:$FE$19)</f>
        <v>258</v>
      </c>
      <c r="G44" s="356">
        <f>SUM([3]Icelandair!$EL$19:$EQ$19)</f>
        <v>126</v>
      </c>
      <c r="H44" s="355">
        <f>(F44-G44)/G44</f>
        <v>1.0476190476190477</v>
      </c>
      <c r="I44" s="357">
        <f>F44/$F$67</f>
        <v>1.3845955692941782E-3</v>
      </c>
      <c r="J44" s="353" t="s">
        <v>48</v>
      </c>
      <c r="K44" s="368"/>
      <c r="L44" s="354">
        <f>[3]Icelandair!$FE$41</f>
        <v>13699</v>
      </c>
      <c r="M44" s="356">
        <f>[3]Icelandair!$EQ$41</f>
        <v>11790</v>
      </c>
      <c r="N44" s="357">
        <f>(L44-M44)/M44</f>
        <v>0.16191687871077184</v>
      </c>
      <c r="O44" s="354">
        <f>SUM([3]Icelandair!$EZ$41:$FE$41)</f>
        <v>44037</v>
      </c>
      <c r="P44" s="356">
        <f>SUM([3]Icelandair!$EL$41:$EQ$41)</f>
        <v>21602</v>
      </c>
      <c r="Q44" s="355">
        <f>(O44-P44)/P44</f>
        <v>1.0385612443292287</v>
      </c>
      <c r="R44" s="357">
        <f>O44/$O$67</f>
        <v>2.4566175795011757E-3</v>
      </c>
      <c r="S44" s="20"/>
    </row>
    <row r="45" spans="1:22" s="7" customFormat="1" ht="14.1" customHeight="1" x14ac:dyDescent="0.2">
      <c r="A45" s="353"/>
      <c r="B45" s="368"/>
      <c r="C45" s="354"/>
      <c r="D45" s="356"/>
      <c r="E45" s="357"/>
      <c r="F45" s="356"/>
      <c r="G45" s="356"/>
      <c r="H45" s="355"/>
      <c r="I45" s="357"/>
      <c r="J45" s="353"/>
      <c r="K45" s="368"/>
      <c r="L45" s="358"/>
      <c r="M45" s="9"/>
      <c r="N45" s="86"/>
      <c r="O45" s="358"/>
      <c r="P45" s="9"/>
      <c r="Q45" s="39"/>
      <c r="R45" s="86"/>
      <c r="S45" s="20"/>
    </row>
    <row r="46" spans="1:22" s="7" customFormat="1" ht="14.1" customHeight="1" x14ac:dyDescent="0.2">
      <c r="A46" s="353" t="s">
        <v>222</v>
      </c>
      <c r="B46" s="368"/>
      <c r="C46" s="354">
        <f>[3]KLM!$FE$19</f>
        <v>24</v>
      </c>
      <c r="D46" s="356">
        <f>[3]KLM!$EQ$19</f>
        <v>0</v>
      </c>
      <c r="E46" s="357" t="e">
        <f>(C46-D46)/D46</f>
        <v>#DIV/0!</v>
      </c>
      <c r="F46" s="356">
        <f>SUM([3]KLM!$EZ$19:$FE$19)</f>
        <v>80</v>
      </c>
      <c r="G46" s="356">
        <f>SUM([3]KLM!$EL$19:$EQ$19)</f>
        <v>0</v>
      </c>
      <c r="H46" s="355" t="e">
        <f>(F46-G46)/G46</f>
        <v>#DIV/0!</v>
      </c>
      <c r="I46" s="357">
        <f>F46/$F$67</f>
        <v>4.2933195947106301E-4</v>
      </c>
      <c r="J46" s="353" t="s">
        <v>222</v>
      </c>
      <c r="K46" s="368"/>
      <c r="L46" s="354">
        <f>[3]KLM!$FE$41</f>
        <v>5925</v>
      </c>
      <c r="M46" s="356">
        <f>[3]KLM!$EQ$41</f>
        <v>0</v>
      </c>
      <c r="N46" s="357" t="e">
        <f>(L46-M46)/M46</f>
        <v>#DIV/0!</v>
      </c>
      <c r="O46" s="354">
        <f>SUM([3]KLM!$EZ$41:$FE$41)</f>
        <v>18880</v>
      </c>
      <c r="P46" s="356">
        <f>SUM([3]KLM!$EL$41:$EQ$41)</f>
        <v>0</v>
      </c>
      <c r="Q46" s="355" t="e">
        <f>(O46-P46)/P46</f>
        <v>#DIV/0!</v>
      </c>
      <c r="R46" s="357">
        <f>O46/$O$67</f>
        <v>1.0532266026519108E-3</v>
      </c>
      <c r="S46" s="20"/>
    </row>
    <row r="47" spans="1:22" s="7" customFormat="1" ht="14.1" customHeight="1" x14ac:dyDescent="0.2">
      <c r="A47" s="353"/>
      <c r="B47" s="368"/>
      <c r="C47" s="354"/>
      <c r="D47" s="356"/>
      <c r="E47" s="357"/>
      <c r="F47" s="356"/>
      <c r="G47" s="356"/>
      <c r="H47" s="355"/>
      <c r="I47" s="357"/>
      <c r="J47" s="353"/>
      <c r="K47" s="368"/>
      <c r="L47" s="358"/>
      <c r="M47" s="9"/>
      <c r="N47" s="86"/>
      <c r="O47" s="358"/>
      <c r="P47" s="9"/>
      <c r="Q47" s="39"/>
      <c r="R47" s="86"/>
      <c r="S47" s="20"/>
    </row>
    <row r="48" spans="1:22" ht="14.1" customHeight="1" x14ac:dyDescent="0.2">
      <c r="A48" s="365" t="s">
        <v>132</v>
      </c>
      <c r="B48" s="55"/>
      <c r="C48" s="354">
        <f>SUM(C49:C49)</f>
        <v>1509</v>
      </c>
      <c r="D48" s="356">
        <f>SUM(D49:D49)</f>
        <v>1490</v>
      </c>
      <c r="E48" s="357">
        <f>(C48-D48)/D48</f>
        <v>1.2751677852348993E-2</v>
      </c>
      <c r="F48" s="354">
        <f>SUM(F49:F49)</f>
        <v>8988</v>
      </c>
      <c r="G48" s="356">
        <f>SUM(G49:G49)</f>
        <v>8262</v>
      </c>
      <c r="H48" s="355">
        <f>(F48-G48)/G48</f>
        <v>8.7872185911401599E-2</v>
      </c>
      <c r="I48" s="357">
        <f>F48/$F$67</f>
        <v>4.8235445646573928E-2</v>
      </c>
      <c r="J48" s="353" t="s">
        <v>132</v>
      </c>
      <c r="K48" s="55"/>
      <c r="L48" s="354">
        <f>SUM(L49:L49)</f>
        <v>182823</v>
      </c>
      <c r="M48" s="356">
        <f>SUM(M49:M49)</f>
        <v>190056</v>
      </c>
      <c r="N48" s="357">
        <f>(L48-M48)/M48</f>
        <v>-3.805720419244854E-2</v>
      </c>
      <c r="O48" s="354">
        <f>SUM(O49:O49)</f>
        <v>1031723</v>
      </c>
      <c r="P48" s="356">
        <f>SUM(P49:P49)</f>
        <v>1000861</v>
      </c>
      <c r="Q48" s="355">
        <f>(O48-P48)/P48</f>
        <v>3.0835450676967132E-2</v>
      </c>
      <c r="R48" s="357">
        <f>O48/$O$67</f>
        <v>5.7554984648720199E-2</v>
      </c>
      <c r="S48" s="20"/>
    </row>
    <row r="49" spans="1:20" ht="14.1" customHeight="1" x14ac:dyDescent="0.2">
      <c r="A49" s="365"/>
      <c r="B49" s="55" t="s">
        <v>132</v>
      </c>
      <c r="C49" s="430">
        <f>[3]Southwest!$FE$19</f>
        <v>1509</v>
      </c>
      <c r="D49" s="296">
        <f>[3]Southwest!$EQ$19</f>
        <v>1490</v>
      </c>
      <c r="E49" s="432">
        <f>(C49-D49)/D49</f>
        <v>1.2751677852348993E-2</v>
      </c>
      <c r="F49" s="296">
        <f>SUM([3]Southwest!$EZ$19:$FE$19)</f>
        <v>8988</v>
      </c>
      <c r="G49" s="296">
        <f>SUM([3]Southwest!$EL$19:$EQ$19)</f>
        <v>8262</v>
      </c>
      <c r="H49" s="431">
        <f>(F49-G49)/G49</f>
        <v>8.7872185911401599E-2</v>
      </c>
      <c r="I49" s="432">
        <f>F49/$F$67</f>
        <v>4.8235445646573928E-2</v>
      </c>
      <c r="J49" s="353"/>
      <c r="K49" s="55" t="s">
        <v>132</v>
      </c>
      <c r="L49" s="430">
        <f>[3]Southwest!$FE$41</f>
        <v>182823</v>
      </c>
      <c r="M49" s="296">
        <f>[3]Southwest!$EQ$41</f>
        <v>190056</v>
      </c>
      <c r="N49" s="432">
        <f>(L49-M49)/M49</f>
        <v>-3.805720419244854E-2</v>
      </c>
      <c r="O49" s="430">
        <f>SUM([3]Southwest!$EZ$41:$FE$41)</f>
        <v>1031723</v>
      </c>
      <c r="P49" s="296">
        <f>SUM([3]Southwest!$EL$41:$EQ$41)</f>
        <v>1000861</v>
      </c>
      <c r="Q49" s="431">
        <f>(O49-P49)/P49</f>
        <v>3.0835450676967132E-2</v>
      </c>
      <c r="R49" s="432">
        <f>O49/$O$67</f>
        <v>5.7554984648720199E-2</v>
      </c>
      <c r="S49" s="20"/>
    </row>
    <row r="50" spans="1:20" ht="14.1" customHeight="1" x14ac:dyDescent="0.2">
      <c r="A50" s="353"/>
      <c r="B50" s="55"/>
      <c r="C50" s="354"/>
      <c r="D50" s="356"/>
      <c r="E50" s="357"/>
      <c r="F50" s="356"/>
      <c r="G50" s="356"/>
      <c r="H50" s="355"/>
      <c r="I50" s="357"/>
      <c r="J50" s="353"/>
      <c r="K50" s="55"/>
      <c r="L50" s="358"/>
      <c r="M50" s="9"/>
      <c r="N50" s="86"/>
      <c r="O50" s="358"/>
      <c r="P50" s="9"/>
      <c r="Q50" s="39"/>
      <c r="R50" s="86"/>
      <c r="S50" s="20"/>
      <c r="T50" s="7"/>
    </row>
    <row r="51" spans="1:20" ht="14.1" customHeight="1" x14ac:dyDescent="0.2">
      <c r="A51" s="353" t="s">
        <v>160</v>
      </c>
      <c r="B51" s="55"/>
      <c r="C51" s="354">
        <f>[3]Spirit!$FE$19</f>
        <v>739</v>
      </c>
      <c r="D51" s="356">
        <f>[3]Spirit!$EQ$19</f>
        <v>763</v>
      </c>
      <c r="E51" s="357">
        <f>(C51-D51)/D51</f>
        <v>-3.1454783748361727E-2</v>
      </c>
      <c r="F51" s="356">
        <f>SUM([3]Spirit!$EZ$19:$FE$19)</f>
        <v>4679</v>
      </c>
      <c r="G51" s="356">
        <f>SUM([3]Spirit!$EL$19:$EQ$19)</f>
        <v>4227</v>
      </c>
      <c r="H51" s="355">
        <f>(F51-G51)/G51</f>
        <v>0.10693162999763425</v>
      </c>
      <c r="I51" s="357">
        <f>F51/$F$67</f>
        <v>2.5110552979563799E-2</v>
      </c>
      <c r="J51" s="353" t="s">
        <v>160</v>
      </c>
      <c r="K51" s="55"/>
      <c r="L51" s="354">
        <f>[3]Spirit!$FE$41</f>
        <v>102395</v>
      </c>
      <c r="M51" s="356">
        <f>[3]Spirit!$EQ$41</f>
        <v>105568</v>
      </c>
      <c r="N51" s="357">
        <f>(L51-M51)/M51</f>
        <v>-3.0056456501970294E-2</v>
      </c>
      <c r="O51" s="354">
        <f>SUM([3]Spirit!$EZ$41:$FE$41)</f>
        <v>628873</v>
      </c>
      <c r="P51" s="356">
        <f>SUM([3]Spirit!$EL$41:$EQ$41)</f>
        <v>595248</v>
      </c>
      <c r="Q51" s="355">
        <f>(O51-P51)/P51</f>
        <v>5.6489060022041231E-2</v>
      </c>
      <c r="R51" s="357">
        <f>O51/$O$67</f>
        <v>3.5081873585249737E-2</v>
      </c>
      <c r="S51" s="20"/>
      <c r="T51" s="7"/>
    </row>
    <row r="52" spans="1:20" ht="14.1" customHeight="1" x14ac:dyDescent="0.2">
      <c r="A52" s="353"/>
      <c r="B52" s="55"/>
      <c r="C52" s="354"/>
      <c r="D52" s="356"/>
      <c r="E52" s="357"/>
      <c r="F52" s="356"/>
      <c r="G52" s="356"/>
      <c r="H52" s="355"/>
      <c r="I52" s="357"/>
      <c r="J52" s="353"/>
      <c r="K52" s="55"/>
      <c r="L52" s="358"/>
      <c r="M52" s="9"/>
      <c r="N52" s="86"/>
      <c r="O52" s="358"/>
      <c r="P52" s="9"/>
      <c r="Q52" s="39"/>
      <c r="R52" s="86">
        <f>O52/$O$67</f>
        <v>0</v>
      </c>
      <c r="S52" s="20"/>
      <c r="T52" s="7"/>
    </row>
    <row r="53" spans="1:20" s="7" customFormat="1" ht="14.1" customHeight="1" x14ac:dyDescent="0.2">
      <c r="A53" s="353" t="s">
        <v>49</v>
      </c>
      <c r="B53" s="368"/>
      <c r="C53" s="354">
        <f>'[3]Sun Country'!$FE$19</f>
        <v>1626</v>
      </c>
      <c r="D53" s="356">
        <f>'[3]Sun Country'!$EQ$19</f>
        <v>1550</v>
      </c>
      <c r="E53" s="357">
        <f>(C53-D53)/D53</f>
        <v>4.9032258064516131E-2</v>
      </c>
      <c r="F53" s="356">
        <f>SUM('[3]Sun Country'!$EZ$19:$FE$19)</f>
        <v>11070</v>
      </c>
      <c r="G53" s="356">
        <f>SUM('[3]Sun Country'!$EL$19:$EQ$19)</f>
        <v>9957</v>
      </c>
      <c r="H53" s="355">
        <f>(F53-G53)/G53</f>
        <v>0.11178065682434468</v>
      </c>
      <c r="I53" s="357">
        <f>F53/$F$67</f>
        <v>5.9408809891808349E-2</v>
      </c>
      <c r="J53" s="353" t="s">
        <v>49</v>
      </c>
      <c r="K53" s="368"/>
      <c r="L53" s="354">
        <f>'[3]Sun Country'!$FE$41</f>
        <v>192376</v>
      </c>
      <c r="M53" s="356">
        <f>'[3]Sun Country'!$EQ$41</f>
        <v>172872</v>
      </c>
      <c r="N53" s="357">
        <f>(L53-M53)/M53</f>
        <v>0.11282336063677172</v>
      </c>
      <c r="O53" s="354">
        <f>SUM('[3]Sun Country'!$EZ$41:$FE$41)</f>
        <v>1264295</v>
      </c>
      <c r="P53" s="356">
        <f>SUM('[3]Sun Country'!$EL$41:$EQ$41)</f>
        <v>1121816</v>
      </c>
      <c r="Q53" s="355">
        <f>(O53-P53)/P53</f>
        <v>0.12700745933379448</v>
      </c>
      <c r="R53" s="357">
        <f>O53/$O$67</f>
        <v>7.0529085148294368E-2</v>
      </c>
      <c r="S53" s="20"/>
    </row>
    <row r="54" spans="1:20" s="7" customFormat="1" ht="14.1" customHeight="1" x14ac:dyDescent="0.2">
      <c r="A54" s="353"/>
      <c r="B54" s="368"/>
      <c r="C54" s="354"/>
      <c r="D54" s="356"/>
      <c r="E54" s="357"/>
      <c r="F54" s="356"/>
      <c r="G54" s="356"/>
      <c r="H54" s="355"/>
      <c r="I54" s="357"/>
      <c r="J54" s="353"/>
      <c r="K54" s="368"/>
      <c r="L54" s="358"/>
      <c r="M54" s="9"/>
      <c r="N54" s="86"/>
      <c r="O54" s="358"/>
      <c r="P54" s="9"/>
      <c r="Q54" s="39"/>
      <c r="R54" s="86"/>
      <c r="S54" s="20"/>
    </row>
    <row r="55" spans="1:20" s="7" customFormat="1" ht="14.1" customHeight="1" x14ac:dyDescent="0.2">
      <c r="A55" s="353" t="s">
        <v>19</v>
      </c>
      <c r="B55" s="361"/>
      <c r="C55" s="354">
        <f>SUM(C56:C62)</f>
        <v>1850</v>
      </c>
      <c r="D55" s="356">
        <f>SUM(D56:D62)</f>
        <v>1788</v>
      </c>
      <c r="E55" s="357">
        <f t="shared" ref="E55:E62" si="14">(C55-D55)/D55</f>
        <v>3.4675615212527967E-2</v>
      </c>
      <c r="F55" s="356">
        <f>SUM(F56:F62)</f>
        <v>9636</v>
      </c>
      <c r="G55" s="356">
        <f>SUM(G56:G62)</f>
        <v>9620</v>
      </c>
      <c r="H55" s="355">
        <f t="shared" ref="H55:H62" si="15">(F55-G55)/G55</f>
        <v>1.6632016632016633E-3</v>
      </c>
      <c r="I55" s="357">
        <f t="shared" ref="I55:I62" si="16">F55/$F$67</f>
        <v>5.1713034518289541E-2</v>
      </c>
      <c r="J55" s="353" t="s">
        <v>19</v>
      </c>
      <c r="K55" s="361"/>
      <c r="L55" s="354">
        <f>SUM(L56:L62)</f>
        <v>162843</v>
      </c>
      <c r="M55" s="356">
        <f>SUM(M56:M62)</f>
        <v>167072</v>
      </c>
      <c r="N55" s="357">
        <f t="shared" ref="N55:N62" si="17">(L55-M55)/M55</f>
        <v>-2.5312440145565985E-2</v>
      </c>
      <c r="O55" s="354">
        <f>SUM(O56:O62)</f>
        <v>807951</v>
      </c>
      <c r="P55" s="356">
        <f>SUM(P56:P62)</f>
        <v>794791</v>
      </c>
      <c r="Q55" s="355">
        <f t="shared" ref="Q55:Q62" si="18">(O55-P55)/P55</f>
        <v>1.6557812053734883E-2</v>
      </c>
      <c r="R55" s="357">
        <f t="shared" ref="R55:R62" si="19">O55/$O$67</f>
        <v>4.5071794853771927E-2</v>
      </c>
      <c r="S55" s="20"/>
      <c r="T55"/>
    </row>
    <row r="56" spans="1:20" s="7" customFormat="1" ht="14.1" customHeight="1" x14ac:dyDescent="0.2">
      <c r="A56" s="369"/>
      <c r="B56" s="434" t="s">
        <v>19</v>
      </c>
      <c r="C56" s="358">
        <f>[3]United!$FE$19</f>
        <v>912</v>
      </c>
      <c r="D56" s="9">
        <f>[3]United!$EQ$19+[3]Continental!$EQ$19</f>
        <v>702</v>
      </c>
      <c r="E56" s="86">
        <f t="shared" si="14"/>
        <v>0.29914529914529914</v>
      </c>
      <c r="F56" s="9">
        <f>SUM([3]United!$EZ$19:$FE$19)</f>
        <v>4156</v>
      </c>
      <c r="G56" s="9">
        <f>SUM([3]United!$EL$19:$EQ$19)+SUM([3]Continental!$EL$19:$EQ$19)</f>
        <v>3370</v>
      </c>
      <c r="H56" s="39">
        <f t="shared" si="15"/>
        <v>0.23323442136498515</v>
      </c>
      <c r="I56" s="86">
        <f t="shared" si="16"/>
        <v>2.2303795294521724E-2</v>
      </c>
      <c r="J56" s="369"/>
      <c r="K56" s="434" t="s">
        <v>19</v>
      </c>
      <c r="L56" s="358">
        <f>[3]United!$FE$41</f>
        <v>105779</v>
      </c>
      <c r="M56" s="9">
        <f>[3]United!$EQ$41+[3]Continental!$EQ$41</f>
        <v>94175</v>
      </c>
      <c r="N56" s="86">
        <f t="shared" si="17"/>
        <v>0.12321741438810725</v>
      </c>
      <c r="O56" s="358">
        <f>SUM([3]United!$EZ$41:$FE$41)</f>
        <v>483366</v>
      </c>
      <c r="P56" s="9">
        <f>SUM([3]United!$EL$41:$EQ$41)+SUM([3]Continental!$EL$41:$EQ$41)</f>
        <v>410652</v>
      </c>
      <c r="Q56" s="39">
        <f t="shared" si="18"/>
        <v>0.17706963560386896</v>
      </c>
      <c r="R56" s="86">
        <f t="shared" si="19"/>
        <v>2.6964720869567981E-2</v>
      </c>
      <c r="S56" s="20"/>
    </row>
    <row r="57" spans="1:20" s="7" customFormat="1" ht="14.1" customHeight="1" x14ac:dyDescent="0.2">
      <c r="A57" s="369"/>
      <c r="B57" s="436" t="s">
        <v>182</v>
      </c>
      <c r="C57" s="358">
        <f>'[3]Continental Express'!$FE$19</f>
        <v>6</v>
      </c>
      <c r="D57" s="9">
        <f>'[3]Continental Express'!$EQ$19</f>
        <v>26</v>
      </c>
      <c r="E57" s="86">
        <f t="shared" si="14"/>
        <v>-0.76923076923076927</v>
      </c>
      <c r="F57" s="9">
        <f>SUM('[3]Continental Express'!$EZ$19:$FE$19)</f>
        <v>120</v>
      </c>
      <c r="G57" s="9">
        <f>SUM('[3]Continental Express'!$EL$19:$EQ$19)</f>
        <v>1106</v>
      </c>
      <c r="H57" s="39">
        <f t="shared" si="15"/>
        <v>-0.89150090415913197</v>
      </c>
      <c r="I57" s="86">
        <f t="shared" si="16"/>
        <v>6.4399793920659454E-4</v>
      </c>
      <c r="J57" s="53"/>
      <c r="K57" s="434" t="s">
        <v>182</v>
      </c>
      <c r="L57" s="358">
        <f>'[3]Continental Express'!$FE$41</f>
        <v>293</v>
      </c>
      <c r="M57" s="9">
        <f>'[3]Continental Express'!$EQ$41</f>
        <v>1161</v>
      </c>
      <c r="N57" s="86">
        <f t="shared" si="17"/>
        <v>-0.74763135228251509</v>
      </c>
      <c r="O57" s="358">
        <f>SUM('[3]Continental Express'!$EZ$41:$FE$41)</f>
        <v>4863</v>
      </c>
      <c r="P57" s="9">
        <f>SUM('[3]Continental Express'!$EL$41:$EQ$41)</f>
        <v>72988</v>
      </c>
      <c r="Q57" s="39">
        <f t="shared" si="18"/>
        <v>-0.93337260919603227</v>
      </c>
      <c r="R57" s="86">
        <f t="shared" si="19"/>
        <v>2.7128394961314841E-4</v>
      </c>
      <c r="S57" s="20"/>
    </row>
    <row r="58" spans="1:20" s="7" customFormat="1" ht="14.1" customHeight="1" x14ac:dyDescent="0.2">
      <c r="A58" s="369"/>
      <c r="B58" s="363" t="s">
        <v>159</v>
      </c>
      <c r="C58" s="358">
        <f>'[3]Go Jet_UA'!$FE$19</f>
        <v>56</v>
      </c>
      <c r="D58" s="9">
        <f>'[3]Go Jet_UA'!$EQ$19</f>
        <v>56</v>
      </c>
      <c r="E58" s="86">
        <f t="shared" si="14"/>
        <v>0</v>
      </c>
      <c r="F58" s="9">
        <f>SUM('[3]Go Jet_UA'!$EZ$19:$FE$19)</f>
        <v>140</v>
      </c>
      <c r="G58" s="9">
        <f>SUM('[3]Go Jet_UA'!$EL$19:$EQ$19)</f>
        <v>238</v>
      </c>
      <c r="H58" s="39">
        <f t="shared" si="15"/>
        <v>-0.41176470588235292</v>
      </c>
      <c r="I58" s="86">
        <f t="shared" si="16"/>
        <v>7.5133092907436034E-4</v>
      </c>
      <c r="J58" s="369"/>
      <c r="K58" s="362" t="s">
        <v>159</v>
      </c>
      <c r="L58" s="358">
        <f>'[3]Go Jet_UA'!$FE$41</f>
        <v>3573</v>
      </c>
      <c r="M58" s="9">
        <f>'[3]Go Jet_UA'!$EQ$41</f>
        <v>3585</v>
      </c>
      <c r="N58" s="86">
        <f t="shared" si="17"/>
        <v>-3.3472803347280333E-3</v>
      </c>
      <c r="O58" s="358">
        <f>SUM('[3]Go Jet_UA'!$EZ$41:$FE$41)</f>
        <v>8891</v>
      </c>
      <c r="P58" s="9">
        <f>SUM('[3]Go Jet_UA'!$EL$41:$EQ$41)</f>
        <v>15017</v>
      </c>
      <c r="Q58" s="39">
        <f t="shared" si="18"/>
        <v>-0.40793767063994141</v>
      </c>
      <c r="R58" s="86">
        <f t="shared" si="19"/>
        <v>4.9598716759418108E-4</v>
      </c>
      <c r="S58" s="20"/>
    </row>
    <row r="59" spans="1:20" s="7" customFormat="1" ht="14.1" customHeight="1" x14ac:dyDescent="0.2">
      <c r="A59" s="369"/>
      <c r="B59" s="363" t="s">
        <v>51</v>
      </c>
      <c r="C59" s="358">
        <f>[3]MESA_UA!$FE$19</f>
        <v>288</v>
      </c>
      <c r="D59" s="9">
        <f>[3]MESA_UA!$EQ$19</f>
        <v>322</v>
      </c>
      <c r="E59" s="86">
        <f t="shared" si="14"/>
        <v>-0.10559006211180125</v>
      </c>
      <c r="F59" s="9">
        <f>SUM([3]MESA_UA!$EZ$19:$FE$19)</f>
        <v>1846</v>
      </c>
      <c r="G59" s="9">
        <f>SUM([3]MESA_UA!$EL$19:$EQ$19)</f>
        <v>1350</v>
      </c>
      <c r="H59" s="39">
        <f>(F59-G59)/G59</f>
        <v>0.3674074074074074</v>
      </c>
      <c r="I59" s="86">
        <f t="shared" si="16"/>
        <v>9.9068349647947786E-3</v>
      </c>
      <c r="J59" s="369"/>
      <c r="K59" s="362" t="s">
        <v>51</v>
      </c>
      <c r="L59" s="358">
        <f>[3]MESA_UA!$FE$41</f>
        <v>17247</v>
      </c>
      <c r="M59" s="9">
        <f>[3]MESA_UA!$EQ$41</f>
        <v>22228</v>
      </c>
      <c r="N59" s="86">
        <f t="shared" si="17"/>
        <v>-0.22408673744826346</v>
      </c>
      <c r="O59" s="358">
        <f>SUM([3]MESA_UA!$EZ$41:$FE$41)</f>
        <v>106381</v>
      </c>
      <c r="P59" s="9">
        <f>SUM([3]MESA_UA!$EL$41:$EQ$41)</f>
        <v>72986</v>
      </c>
      <c r="Q59" s="39">
        <f t="shared" si="18"/>
        <v>0.45755350341161316</v>
      </c>
      <c r="R59" s="86">
        <f t="shared" si="19"/>
        <v>5.9344967805462353E-3</v>
      </c>
      <c r="S59" s="20"/>
    </row>
    <row r="60" spans="1:20" s="7" customFormat="1" ht="14.1" customHeight="1" x14ac:dyDescent="0.2">
      <c r="A60" s="369"/>
      <c r="B60" s="436" t="s">
        <v>52</v>
      </c>
      <c r="C60" s="358">
        <f>[3]Republic_UA!$FE$19</f>
        <v>362</v>
      </c>
      <c r="D60" s="9">
        <f>[3]Republic_UA!$EQ$19</f>
        <v>200</v>
      </c>
      <c r="E60" s="86">
        <f t="shared" si="14"/>
        <v>0.81</v>
      </c>
      <c r="F60" s="9">
        <f>SUM([3]Republic_UA!$EZ$19:$FE$19)</f>
        <v>1742</v>
      </c>
      <c r="G60" s="9">
        <f>SUM([3]Republic_UA!$EL$19:$EQ$19)</f>
        <v>878</v>
      </c>
      <c r="H60" s="39">
        <f t="shared" ref="H60" si="20">(F60-G60)/G60</f>
        <v>0.98405466970387245</v>
      </c>
      <c r="I60" s="86">
        <f t="shared" si="16"/>
        <v>9.3487034174823975E-3</v>
      </c>
      <c r="J60" s="369"/>
      <c r="K60" s="436" t="s">
        <v>52</v>
      </c>
      <c r="L60" s="358">
        <f>[3]Republic_UA!$FE$41</f>
        <v>21738</v>
      </c>
      <c r="M60" s="9">
        <f>[3]Republic_UA!$EQ$41</f>
        <v>13071</v>
      </c>
      <c r="N60" s="86">
        <f t="shared" si="17"/>
        <v>0.66307092035804449</v>
      </c>
      <c r="O60" s="358">
        <f>SUM([3]Republic_UA!$EZ$41:$FE$41)</f>
        <v>98737</v>
      </c>
      <c r="P60" s="9">
        <f>SUM([3]Republic_UA!$EL$41:$EQ$41)</f>
        <v>52714</v>
      </c>
      <c r="Q60" s="39">
        <f t="shared" si="18"/>
        <v>0.87306977273589559</v>
      </c>
      <c r="R60" s="86">
        <f t="shared" si="19"/>
        <v>5.5080738912098364E-3</v>
      </c>
      <c r="S60" s="20"/>
    </row>
    <row r="61" spans="1:20" s="7" customFormat="1" ht="14.1" customHeight="1" x14ac:dyDescent="0.2">
      <c r="A61" s="369"/>
      <c r="B61" s="363" t="s">
        <v>100</v>
      </c>
      <c r="C61" s="358">
        <f>'[3]Sky West_UA'!$FE$19</f>
        <v>226</v>
      </c>
      <c r="D61" s="9">
        <f>'[3]Sky West_UA'!$EQ$19+'[3]Sky West_CO'!$EQ$19</f>
        <v>456</v>
      </c>
      <c r="E61" s="86">
        <f t="shared" si="14"/>
        <v>-0.50438596491228072</v>
      </c>
      <c r="F61" s="9">
        <f>SUM('[3]Sky West_UA'!$EZ$19:$FE$19)</f>
        <v>1608</v>
      </c>
      <c r="G61" s="9">
        <f>SUM('[3]Sky West_UA'!$EL$19:$EQ$19)+SUM('[3]Sky West_CO'!$EL$19:$EQ$19)</f>
        <v>2164</v>
      </c>
      <c r="H61" s="39">
        <f t="shared" si="15"/>
        <v>-0.25693160813308685</v>
      </c>
      <c r="I61" s="86">
        <f t="shared" si="16"/>
        <v>8.629572385368366E-3</v>
      </c>
      <c r="J61" s="369"/>
      <c r="K61" s="362" t="s">
        <v>100</v>
      </c>
      <c r="L61" s="358">
        <f>'[3]Sky West_UA'!$FE$41</f>
        <v>14213</v>
      </c>
      <c r="M61" s="9">
        <f>'[3]Sky West_UA'!$EQ$41+'[3]Sky West_CO'!$EQ$41</f>
        <v>31143</v>
      </c>
      <c r="N61" s="86">
        <f t="shared" si="17"/>
        <v>-0.54362135953504798</v>
      </c>
      <c r="O61" s="358">
        <f>SUM('[3]Sky West_UA'!$EZ$41:$FE$41)</f>
        <v>104440</v>
      </c>
      <c r="P61" s="9">
        <f>SUM('[3]Sky West_UA'!$EL$41:$EQ$41)+SUM('[3]Sky West_CO'!$EL$41:$EQ$41)</f>
        <v>140378</v>
      </c>
      <c r="Q61" s="39">
        <f t="shared" si="18"/>
        <v>-0.25600877630397928</v>
      </c>
      <c r="R61" s="86">
        <f t="shared" si="19"/>
        <v>5.8262174989918199E-3</v>
      </c>
      <c r="S61" s="20"/>
    </row>
    <row r="62" spans="1:20" s="7" customFormat="1" ht="14.1" customHeight="1" x14ac:dyDescent="0.2">
      <c r="A62" s="369"/>
      <c r="B62" s="364" t="s">
        <v>134</v>
      </c>
      <c r="C62" s="358">
        <f>'[3]Shuttle America'!$FE$19</f>
        <v>0</v>
      </c>
      <c r="D62" s="9">
        <f>'[3]Shuttle America'!$EQ$19</f>
        <v>26</v>
      </c>
      <c r="E62" s="86">
        <f t="shared" si="14"/>
        <v>-1</v>
      </c>
      <c r="F62" s="9">
        <f>SUM('[3]Shuttle America'!$EZ$19:$FE$19)</f>
        <v>24</v>
      </c>
      <c r="G62" s="9">
        <f>SUM('[3]Shuttle America'!$EL$19:$EQ$19)</f>
        <v>514</v>
      </c>
      <c r="H62" s="39">
        <f t="shared" si="15"/>
        <v>-0.953307392996109</v>
      </c>
      <c r="I62" s="86">
        <f t="shared" si="16"/>
        <v>1.2879958784131891E-4</v>
      </c>
      <c r="J62" s="369"/>
      <c r="K62" s="364" t="s">
        <v>134</v>
      </c>
      <c r="L62" s="358">
        <f>'[3]Shuttle America'!$FE$41</f>
        <v>0</v>
      </c>
      <c r="M62" s="9">
        <f>'[3]Shuttle America'!$EQ$41</f>
        <v>1709</v>
      </c>
      <c r="N62" s="86">
        <f t="shared" si="17"/>
        <v>-1</v>
      </c>
      <c r="O62" s="358">
        <f>SUM('[3]Shuttle America'!$EZ$41:$FE$41)</f>
        <v>1273</v>
      </c>
      <c r="P62" s="9">
        <f>SUM('[3]Shuttle America'!$EL$41:$EQ$41)</f>
        <v>30056</v>
      </c>
      <c r="Q62" s="39">
        <f t="shared" si="18"/>
        <v>-0.95764572797444769</v>
      </c>
      <c r="R62" s="86">
        <f t="shared" si="19"/>
        <v>7.1014696248722584E-5</v>
      </c>
      <c r="S62" s="20"/>
    </row>
    <row r="63" spans="1:20" s="7" customFormat="1" ht="14.1" customHeight="1" thickBot="1" x14ac:dyDescent="0.25">
      <c r="A63" s="439"/>
      <c r="B63" s="440"/>
      <c r="C63" s="370"/>
      <c r="D63" s="372"/>
      <c r="E63" s="373"/>
      <c r="F63" s="374"/>
      <c r="G63" s="374"/>
      <c r="H63" s="371"/>
      <c r="I63" s="373"/>
      <c r="J63" s="439"/>
      <c r="K63" s="440"/>
      <c r="L63" s="370"/>
      <c r="M63" s="374"/>
      <c r="N63" s="373"/>
      <c r="O63" s="370"/>
      <c r="P63" s="374"/>
      <c r="Q63" s="371"/>
      <c r="R63" s="487"/>
      <c r="S63" s="20"/>
    </row>
    <row r="64" spans="1:20" s="229" customFormat="1" ht="14.1" customHeight="1" thickBot="1" x14ac:dyDescent="0.25">
      <c r="B64" s="264"/>
      <c r="C64" s="356"/>
      <c r="D64" s="356"/>
      <c r="E64" s="355"/>
      <c r="F64" s="438"/>
      <c r="G64" s="356"/>
      <c r="H64" s="355"/>
      <c r="I64" s="355"/>
      <c r="J64" s="375"/>
      <c r="K64" s="264"/>
      <c r="L64" s="376"/>
      <c r="M64" s="377"/>
      <c r="N64" s="375"/>
      <c r="O64" s="230"/>
      <c r="P64" s="230"/>
      <c r="Q64" s="230"/>
      <c r="R64" s="506"/>
      <c r="S64" s="228"/>
      <c r="T64"/>
    </row>
    <row r="65" spans="2:18" ht="14.1" customHeight="1" x14ac:dyDescent="0.2">
      <c r="B65" s="378" t="s">
        <v>136</v>
      </c>
      <c r="C65" s="451">
        <f>+C67-C66</f>
        <v>20420</v>
      </c>
      <c r="D65" s="452">
        <f>+D67-D66</f>
        <v>18780</v>
      </c>
      <c r="E65" s="453">
        <f>(C65-D65)/D65</f>
        <v>8.7326943556975511E-2</v>
      </c>
      <c r="F65" s="451">
        <f t="shared" ref="F65:G65" si="21">+F67-F66</f>
        <v>110389</v>
      </c>
      <c r="G65" s="452">
        <f t="shared" si="21"/>
        <v>102823</v>
      </c>
      <c r="H65" s="458">
        <f>(F65-G65)/G65</f>
        <v>7.358275872129777E-2</v>
      </c>
      <c r="I65" s="461">
        <f>F65/$F$67</f>
        <v>0.59241907092563972</v>
      </c>
      <c r="K65" s="378" t="s">
        <v>136</v>
      </c>
      <c r="L65" s="451">
        <f>+L67-L66</f>
        <v>2701569</v>
      </c>
      <c r="M65" s="452">
        <f>+M67-M66</f>
        <v>2600403</v>
      </c>
      <c r="N65" s="453">
        <f>(L65-M65)/M65</f>
        <v>3.8903969884667877E-2</v>
      </c>
      <c r="O65" s="451">
        <f t="shared" ref="O65:P65" si="22">+O67-O66</f>
        <v>14109531</v>
      </c>
      <c r="P65" s="452">
        <f t="shared" si="22"/>
        <v>13555333</v>
      </c>
      <c r="Q65" s="504">
        <f>(O65-P65)/P65</f>
        <v>4.0884130253384408E-2</v>
      </c>
      <c r="R65" s="510">
        <f>+O65/O67</f>
        <v>0.78710452331259628</v>
      </c>
    </row>
    <row r="66" spans="2:18" ht="14.1" customHeight="1" x14ac:dyDescent="0.2">
      <c r="B66" s="329" t="s">
        <v>137</v>
      </c>
      <c r="C66" s="454">
        <f>C62+C38+C36+C34+C33+C37+C20+C61+C58+C35+C57+C59+C25+C24+C21+C16+C7+C6+C60+C22+C23+C8+C5</f>
        <v>12953</v>
      </c>
      <c r="D66" s="379">
        <f>D62+D38+D36+D34+D33+D37+D20+D61+D58+D35+D57+D59+D25+D24+D21+D16+D7+D6+D60+D22+D23+D8</f>
        <v>14145</v>
      </c>
      <c r="E66" s="380">
        <f>(C66-D66)/D66</f>
        <v>-8.4270060091905269E-2</v>
      </c>
      <c r="F66" s="454">
        <f>F62+F38+F36+F34+F33+F37+F20+F61+F58+F35+F57+F59+F25+F24+F21+F16+F7+F6+F60+F22+F23+F8</f>
        <v>75947</v>
      </c>
      <c r="G66" s="379">
        <f>G62+G38+G36+G34+G33+G37+G20+G61+G58+G35+G57+G59+G25+G24+G21+G16+G7+G6+G60+G22+G23+G8</f>
        <v>80632</v>
      </c>
      <c r="H66" s="459">
        <f>(F66-G66)/G66</f>
        <v>-5.8103482488342101E-2</v>
      </c>
      <c r="I66" s="429">
        <f>F66/$F$67</f>
        <v>0.40758092907436028</v>
      </c>
      <c r="K66" s="329" t="s">
        <v>137</v>
      </c>
      <c r="L66" s="454">
        <f>L62+L38+L36+L34+L33+L37+L20+L61+L58+L35+L57+L59+L25+L24+L21+L16+L7+L6+L60+L22+L23+L8</f>
        <v>679292</v>
      </c>
      <c r="M66" s="379">
        <f>M62+M38+M36+M34+M33+M37+M20+M61+M58+M35+M57+M59+M25+M24+M21+M16+M7+M6+M60+M22+M23+M8</f>
        <v>753772</v>
      </c>
      <c r="N66" s="380">
        <f>(L66-M66)/M66</f>
        <v>-9.8809719649973732E-2</v>
      </c>
      <c r="O66" s="454">
        <f t="shared" ref="O66:P66" si="23">O62+O38+O36+O34+O33+O37+O20+O61+O58+O35+O57+O59+O25+O24+O21+O16+O7+O6+O60+O22+O23+O8</f>
        <v>3816336</v>
      </c>
      <c r="P66" s="379">
        <f t="shared" si="23"/>
        <v>4157625</v>
      </c>
      <c r="Q66" s="502">
        <f>(O66-P66)/P66</f>
        <v>-8.2087489852980963E-2</v>
      </c>
      <c r="R66" s="511">
        <f>+O66/O67</f>
        <v>0.21289547668740375</v>
      </c>
    </row>
    <row r="67" spans="2:18" ht="14.1" customHeight="1" thickBot="1" x14ac:dyDescent="0.25">
      <c r="B67" s="329" t="s">
        <v>138</v>
      </c>
      <c r="C67" s="455">
        <f>C55+C53+C48+C44+C40+C31+C18+C14+C4+C42+C51+C29+C27+C10+C46+C12</f>
        <v>33373</v>
      </c>
      <c r="D67" s="455">
        <f>D55+D53+D48+D44+D40+D31+D18+D14+D4+D42+D51+D29+D27+D10+D46+D12</f>
        <v>32925</v>
      </c>
      <c r="E67" s="457">
        <f>(C67-D67)/D67</f>
        <v>1.3606681852695521E-2</v>
      </c>
      <c r="F67" s="455">
        <f>F55+F53+F48+F44+F40+F31+F18+F14+F4+F42+F51+F29+F27+F10+F46+F12</f>
        <v>186336</v>
      </c>
      <c r="G67" s="456">
        <f>G55+G53+G48+G44+G40+G31+G18+G14+G4+G42+G51+G29+G27+G10+G46+G12</f>
        <v>183455</v>
      </c>
      <c r="H67" s="460">
        <f>(F67-G67)/G67</f>
        <v>1.5704123627047505E-2</v>
      </c>
      <c r="I67" s="462">
        <f>+H67/H67</f>
        <v>1</v>
      </c>
      <c r="K67" s="329" t="s">
        <v>138</v>
      </c>
      <c r="L67" s="455">
        <f>L55+L53+L48+L44+L40+L31+L18+L14+L4+L42+L51+L29+L27+L10+L46+L12</f>
        <v>3380861</v>
      </c>
      <c r="M67" s="456">
        <f>M55+M53+M48+M44+M40+M31+M18+M14+M4+M42+M51+M29+M27+M10+M46+M12</f>
        <v>3354175</v>
      </c>
      <c r="N67" s="457">
        <f>(L67-M67)/M67</f>
        <v>7.9560547675657945E-3</v>
      </c>
      <c r="O67" s="455">
        <f>O55+O53+O48+O44+O40+O31+O18+O14+O4+O42+O51+O29+O27+O10+O46+O12</f>
        <v>17925867</v>
      </c>
      <c r="P67" s="456">
        <f>P55+P53+P48+P44+P40+P31+P18+P14+P4+P42+P51+P29+P27+P10+P46+P12</f>
        <v>17712958</v>
      </c>
      <c r="Q67" s="505">
        <f>(O67-P67)/P67</f>
        <v>1.2019957366804574E-2</v>
      </c>
      <c r="R67" s="512">
        <f>+O67/O67</f>
        <v>1</v>
      </c>
    </row>
    <row r="68" spans="2:18" x14ac:dyDescent="0.2">
      <c r="B68" s="329"/>
      <c r="E68" s="37"/>
      <c r="F68" s="231"/>
      <c r="G68" s="5"/>
      <c r="H68" s="37"/>
      <c r="I68" s="37"/>
      <c r="K68" s="11"/>
      <c r="L68" s="4"/>
      <c r="M68" s="4"/>
      <c r="N68" s="227"/>
      <c r="O68" s="4"/>
      <c r="P68" s="7"/>
      <c r="Q68" s="7"/>
    </row>
    <row r="69" spans="2:18" x14ac:dyDescent="0.2">
      <c r="B69" s="264"/>
      <c r="E69" s="227"/>
      <c r="F69" s="4"/>
      <c r="G69" s="4"/>
      <c r="H69"/>
      <c r="I69"/>
      <c r="J69"/>
      <c r="K69"/>
      <c r="N69"/>
      <c r="O69" s="2"/>
      <c r="P69" s="2"/>
    </row>
    <row r="70" spans="2:18" x14ac:dyDescent="0.2">
      <c r="B70" s="329"/>
      <c r="E70" s="227"/>
      <c r="F70" s="4"/>
      <c r="G70" s="4"/>
      <c r="H70"/>
      <c r="I70"/>
      <c r="J70"/>
      <c r="K70"/>
      <c r="N70"/>
      <c r="O70" s="2"/>
      <c r="P70" s="2"/>
      <c r="R70" s="2"/>
    </row>
    <row r="71" spans="2:18" x14ac:dyDescent="0.2">
      <c r="B71" s="264"/>
      <c r="E71" s="227"/>
      <c r="F71" s="4"/>
      <c r="G71" s="4"/>
      <c r="H71"/>
      <c r="I71"/>
      <c r="J71"/>
      <c r="K71"/>
      <c r="N71"/>
      <c r="O71" s="2"/>
      <c r="P71" s="2"/>
    </row>
    <row r="72" spans="2:18" x14ac:dyDescent="0.2">
      <c r="D72" s="227"/>
      <c r="E72" s="227"/>
      <c r="F72" s="4"/>
      <c r="G72" s="7"/>
      <c r="H72"/>
      <c r="I72"/>
      <c r="J72"/>
      <c r="K72"/>
      <c r="L72"/>
      <c r="M72"/>
      <c r="N72"/>
      <c r="O72" s="130"/>
    </row>
    <row r="73" spans="2:18" x14ac:dyDescent="0.2">
      <c r="D73" s="227"/>
      <c r="E73" s="227"/>
      <c r="F73" s="4"/>
      <c r="G73" s="7"/>
      <c r="H73"/>
      <c r="I73"/>
      <c r="J73"/>
      <c r="K73"/>
      <c r="M73"/>
      <c r="N73"/>
    </row>
    <row r="74" spans="2:18" x14ac:dyDescent="0.2">
      <c r="D74" s="3"/>
      <c r="F74" s="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D142" s="3"/>
      <c r="F142"/>
      <c r="G142"/>
      <c r="H142"/>
      <c r="I142"/>
      <c r="J142"/>
      <c r="K142"/>
      <c r="L142"/>
      <c r="M142"/>
      <c r="N142"/>
    </row>
    <row r="143" spans="4:14" x14ac:dyDescent="0.2">
      <c r="D143" s="3"/>
      <c r="F143"/>
      <c r="G143"/>
      <c r="H143"/>
      <c r="I143"/>
      <c r="J143"/>
      <c r="K143"/>
      <c r="L143"/>
      <c r="M143"/>
      <c r="N143"/>
    </row>
    <row r="144" spans="4:14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E1147" s="37"/>
      <c r="F1147" s="231"/>
      <c r="G1147" s="5"/>
      <c r="H1147" s="37"/>
      <c r="I1147" s="37"/>
      <c r="K1147" s="11"/>
    </row>
    <row r="1148" spans="5:11" x14ac:dyDescent="0.2">
      <c r="E1148" s="37"/>
      <c r="F1148" s="231"/>
      <c r="G1148" s="5"/>
      <c r="H1148" s="37"/>
      <c r="I1148" s="37"/>
      <c r="K1148" s="11"/>
    </row>
    <row r="1149" spans="5:11" x14ac:dyDescent="0.2">
      <c r="E1149" s="37"/>
      <c r="F1149" s="231"/>
      <c r="G1149" s="5"/>
      <c r="H1149" s="37"/>
      <c r="I1149" s="37"/>
      <c r="K1149" s="11"/>
    </row>
    <row r="1150" spans="5:11" x14ac:dyDescent="0.2">
      <c r="E1150" s="37"/>
      <c r="F1150" s="231"/>
      <c r="G1150" s="5"/>
      <c r="H1150" s="37"/>
      <c r="I1150" s="37"/>
      <c r="K1150" s="11"/>
    </row>
    <row r="1151" spans="5:11" x14ac:dyDescent="0.2">
      <c r="E1151" s="37"/>
      <c r="F1151" s="231"/>
      <c r="G1151" s="5"/>
      <c r="H1151" s="37"/>
      <c r="I1151" s="37"/>
      <c r="K1151" s="11"/>
    </row>
    <row r="1152" spans="5:11" x14ac:dyDescent="0.2">
      <c r="E1152" s="37"/>
      <c r="F1152" s="231"/>
      <c r="G1152" s="5"/>
      <c r="H1152" s="37"/>
      <c r="I1152" s="37"/>
      <c r="K1152" s="11"/>
    </row>
    <row r="1153" spans="5:11" x14ac:dyDescent="0.2">
      <c r="E1153" s="37"/>
      <c r="F1153" s="231"/>
      <c r="G1153" s="5"/>
      <c r="H1153" s="37"/>
      <c r="I1153" s="37"/>
      <c r="K1153" s="11"/>
    </row>
    <row r="1154" spans="5:11" x14ac:dyDescent="0.2">
      <c r="E1154" s="37"/>
      <c r="F1154" s="231"/>
      <c r="G1154" s="5"/>
      <c r="H1154" s="37"/>
      <c r="I1154" s="37"/>
      <c r="K1154" s="11"/>
    </row>
    <row r="1155" spans="5:11" x14ac:dyDescent="0.2">
      <c r="E1155" s="37"/>
      <c r="F1155" s="231"/>
      <c r="G1155" s="5"/>
      <c r="H1155" s="37"/>
      <c r="I1155" s="37"/>
      <c r="K1155" s="11"/>
    </row>
    <row r="1156" spans="5:11" x14ac:dyDescent="0.2">
      <c r="E1156" s="37"/>
      <c r="F1156" s="231"/>
      <c r="G1156" s="5"/>
      <c r="H1156" s="37"/>
      <c r="I1156" s="37"/>
      <c r="K1156" s="11"/>
    </row>
    <row r="1157" spans="5:11" x14ac:dyDescent="0.2">
      <c r="E1157" s="37"/>
      <c r="F1157" s="231"/>
      <c r="G1157" s="5"/>
      <c r="H1157" s="37"/>
      <c r="I1157" s="37"/>
      <c r="K1157" s="11"/>
    </row>
    <row r="1158" spans="5:11" x14ac:dyDescent="0.2">
      <c r="E1158" s="37"/>
      <c r="F1158" s="231"/>
      <c r="G1158" s="5"/>
      <c r="H1158" s="37"/>
      <c r="I1158" s="37"/>
      <c r="K1158" s="11"/>
    </row>
    <row r="1159" spans="5:11" x14ac:dyDescent="0.2">
      <c r="E1159" s="37"/>
      <c r="F1159" s="231"/>
      <c r="G1159" s="5"/>
      <c r="H1159" s="37"/>
      <c r="I1159" s="37"/>
      <c r="K1159" s="11"/>
    </row>
    <row r="1160" spans="5:11" x14ac:dyDescent="0.2">
      <c r="E1160" s="37"/>
      <c r="F1160" s="231"/>
      <c r="G1160" s="5"/>
      <c r="H1160" s="37"/>
      <c r="I1160" s="37"/>
      <c r="K1160" s="11"/>
    </row>
    <row r="1161" spans="5:11" x14ac:dyDescent="0.2">
      <c r="E1161" s="37"/>
      <c r="F1161" s="231"/>
      <c r="G1161" s="5"/>
      <c r="H1161" s="37"/>
      <c r="I1161" s="37"/>
      <c r="K1161" s="11"/>
    </row>
    <row r="1162" spans="5:11" x14ac:dyDescent="0.2">
      <c r="E1162" s="37"/>
      <c r="F1162" s="231"/>
      <c r="G1162" s="5"/>
      <c r="H1162" s="37"/>
      <c r="I1162" s="37"/>
      <c r="K1162" s="11"/>
    </row>
    <row r="1163" spans="5:11" x14ac:dyDescent="0.2">
      <c r="E1163" s="37"/>
      <c r="F1163" s="231"/>
      <c r="G1163" s="5"/>
      <c r="H1163" s="37"/>
      <c r="I1163" s="37"/>
      <c r="K1163" s="11"/>
    </row>
    <row r="1164" spans="5:11" x14ac:dyDescent="0.2">
      <c r="E1164" s="37"/>
      <c r="F1164" s="231"/>
      <c r="G1164" s="5"/>
      <c r="H1164" s="37"/>
      <c r="I1164" s="37"/>
      <c r="K1164" s="11"/>
    </row>
    <row r="1165" spans="5:11" x14ac:dyDescent="0.2">
      <c r="E1165" s="37"/>
      <c r="F1165" s="231"/>
      <c r="G1165" s="5"/>
      <c r="H1165" s="37"/>
      <c r="I1165" s="37"/>
      <c r="K1165" s="11"/>
    </row>
    <row r="1166" spans="5:11" x14ac:dyDescent="0.2">
      <c r="E1166" s="37"/>
      <c r="F1166" s="231"/>
      <c r="G1166" s="5"/>
      <c r="H1166" s="37"/>
      <c r="I1166" s="37"/>
      <c r="K1166" s="11"/>
    </row>
    <row r="1167" spans="5:11" x14ac:dyDescent="0.2">
      <c r="E1167" s="37"/>
      <c r="F1167" s="231"/>
      <c r="G1167" s="5"/>
      <c r="H1167" s="37"/>
      <c r="I1167" s="37"/>
      <c r="K1167" s="11"/>
    </row>
    <row r="1168" spans="5:11" x14ac:dyDescent="0.2">
      <c r="E1168" s="37"/>
      <c r="F1168" s="231"/>
      <c r="G1168" s="5"/>
      <c r="H1168" s="37"/>
      <c r="I1168" s="37"/>
      <c r="K1168" s="11"/>
    </row>
    <row r="1169" spans="5:11" x14ac:dyDescent="0.2">
      <c r="E1169" s="37"/>
      <c r="F1169" s="231"/>
      <c r="G1169" s="5"/>
      <c r="H1169" s="37"/>
      <c r="I1169" s="37"/>
      <c r="K1169" s="11"/>
    </row>
    <row r="1170" spans="5:11" x14ac:dyDescent="0.2">
      <c r="E1170" s="37"/>
      <c r="F1170" s="231"/>
      <c r="G1170" s="5"/>
      <c r="H1170" s="37"/>
      <c r="I1170" s="37"/>
      <c r="K1170" s="11"/>
    </row>
    <row r="1171" spans="5:11" x14ac:dyDescent="0.2">
      <c r="E1171" s="37"/>
      <c r="F1171" s="231"/>
      <c r="G1171" s="5"/>
      <c r="H1171" s="37"/>
      <c r="I1171" s="37"/>
      <c r="K1171" s="11"/>
    </row>
    <row r="1172" spans="5:11" x14ac:dyDescent="0.2">
      <c r="E1172" s="37"/>
      <c r="F1172" s="231"/>
      <c r="G1172" s="5"/>
      <c r="H1172" s="37"/>
      <c r="I1172" s="37"/>
      <c r="K1172" s="11"/>
    </row>
    <row r="1173" spans="5:11" x14ac:dyDescent="0.2">
      <c r="E1173" s="37"/>
      <c r="F1173" s="231"/>
      <c r="G1173" s="5"/>
      <c r="H1173" s="37"/>
      <c r="I1173" s="37"/>
      <c r="K1173" s="11"/>
    </row>
    <row r="1174" spans="5:11" x14ac:dyDescent="0.2">
      <c r="E1174" s="37"/>
      <c r="F1174" s="231"/>
      <c r="G1174" s="5"/>
      <c r="H1174" s="37"/>
      <c r="I1174" s="37"/>
      <c r="K1174" s="11"/>
    </row>
    <row r="1175" spans="5:11" x14ac:dyDescent="0.2">
      <c r="E1175" s="37"/>
      <c r="F1175" s="231"/>
      <c r="G1175" s="5"/>
      <c r="H1175" s="37"/>
      <c r="I1175" s="37"/>
      <c r="K1175" s="11"/>
    </row>
    <row r="1176" spans="5:11" x14ac:dyDescent="0.2">
      <c r="E1176" s="37"/>
      <c r="F1176" s="231"/>
      <c r="G1176" s="5"/>
      <c r="H1176" s="37"/>
      <c r="I1176" s="37"/>
      <c r="K1176" s="11"/>
    </row>
    <row r="1177" spans="5:11" x14ac:dyDescent="0.2">
      <c r="E1177" s="37"/>
      <c r="F1177" s="231"/>
      <c r="G1177" s="5"/>
      <c r="H1177" s="37"/>
      <c r="I1177" s="37"/>
      <c r="K1177" s="11"/>
    </row>
    <row r="1178" spans="5:11" x14ac:dyDescent="0.2">
      <c r="E1178" s="37"/>
      <c r="F1178" s="231"/>
      <c r="G1178" s="5"/>
      <c r="H1178" s="37"/>
      <c r="I1178" s="37"/>
      <c r="K1178" s="11"/>
    </row>
    <row r="1179" spans="5:11" x14ac:dyDescent="0.2">
      <c r="E1179" s="37"/>
      <c r="F1179" s="231"/>
      <c r="G1179" s="5"/>
      <c r="H1179" s="37"/>
      <c r="I1179" s="37"/>
      <c r="K1179" s="11"/>
    </row>
    <row r="1180" spans="5:11" x14ac:dyDescent="0.2">
      <c r="E1180" s="37"/>
      <c r="F1180" s="231"/>
      <c r="G1180" s="5"/>
      <c r="H1180" s="37"/>
      <c r="I1180" s="37"/>
      <c r="K1180" s="11"/>
    </row>
    <row r="1181" spans="5:11" x14ac:dyDescent="0.2">
      <c r="E1181" s="37"/>
      <c r="F1181" s="231"/>
      <c r="G1181" s="5"/>
      <c r="H1181" s="37"/>
      <c r="I1181" s="37"/>
      <c r="K1181" s="11"/>
    </row>
    <row r="1182" spans="5:11" x14ac:dyDescent="0.2">
      <c r="E1182" s="37"/>
      <c r="F1182" s="231"/>
      <c r="G1182" s="5"/>
      <c r="H1182" s="37"/>
      <c r="I1182" s="37"/>
      <c r="K1182" s="11"/>
    </row>
    <row r="1183" spans="5:11" x14ac:dyDescent="0.2">
      <c r="E1183" s="37"/>
      <c r="F1183" s="231"/>
      <c r="G1183" s="5"/>
      <c r="H1183" s="37"/>
      <c r="I1183" s="37"/>
      <c r="K1183" s="11"/>
    </row>
    <row r="1184" spans="5:11" x14ac:dyDescent="0.2">
      <c r="E1184" s="37"/>
      <c r="F1184" s="231"/>
      <c r="G1184" s="5"/>
      <c r="H1184" s="37"/>
      <c r="I1184" s="37"/>
      <c r="K1184" s="11"/>
    </row>
    <row r="1185" spans="5:11" x14ac:dyDescent="0.2">
      <c r="E1185" s="37"/>
      <c r="F1185" s="231"/>
      <c r="G1185" s="5"/>
      <c r="H1185" s="37"/>
      <c r="I1185" s="37"/>
      <c r="K1185" s="11"/>
    </row>
    <row r="1186" spans="5:11" x14ac:dyDescent="0.2">
      <c r="E1186" s="37"/>
      <c r="F1186" s="231"/>
      <c r="G1186" s="5"/>
      <c r="H1186" s="37"/>
      <c r="I1186" s="37"/>
      <c r="K1186" s="11"/>
    </row>
    <row r="1187" spans="5:11" x14ac:dyDescent="0.2">
      <c r="E1187" s="37"/>
      <c r="F1187" s="231"/>
      <c r="G1187" s="5"/>
      <c r="H1187" s="37"/>
      <c r="I1187" s="37"/>
      <c r="K1187" s="11"/>
    </row>
    <row r="1188" spans="5:11" x14ac:dyDescent="0.2">
      <c r="E1188" s="37"/>
      <c r="F1188" s="231"/>
      <c r="G1188" s="5"/>
      <c r="H1188" s="37"/>
      <c r="I1188" s="37"/>
      <c r="K1188" s="11"/>
    </row>
    <row r="1189" spans="5:11" x14ac:dyDescent="0.2">
      <c r="E1189" s="37"/>
      <c r="F1189" s="231"/>
      <c r="G1189" s="5"/>
      <c r="H1189" s="37"/>
      <c r="I1189" s="37"/>
      <c r="K1189" s="11"/>
    </row>
    <row r="1190" spans="5:11" x14ac:dyDescent="0.2">
      <c r="E1190" s="37"/>
      <c r="F1190" s="231"/>
      <c r="G1190" s="5"/>
      <c r="H1190" s="37"/>
      <c r="I1190" s="37"/>
      <c r="K1190" s="11"/>
    </row>
    <row r="1191" spans="5:11" x14ac:dyDescent="0.2">
      <c r="E1191" s="37"/>
      <c r="F1191" s="231"/>
      <c r="G1191" s="5"/>
      <c r="H1191" s="37"/>
      <c r="I1191" s="37"/>
      <c r="K1191" s="11"/>
    </row>
    <row r="1192" spans="5:11" x14ac:dyDescent="0.2">
      <c r="E1192" s="37"/>
      <c r="F1192" s="231"/>
      <c r="G1192" s="5"/>
      <c r="H1192" s="37"/>
      <c r="I1192" s="37"/>
      <c r="K1192" s="11"/>
    </row>
    <row r="1193" spans="5:11" x14ac:dyDescent="0.2">
      <c r="E1193" s="37"/>
      <c r="F1193" s="231"/>
      <c r="G1193" s="5"/>
      <c r="H1193" s="37"/>
      <c r="I1193" s="37"/>
      <c r="K1193" s="11"/>
    </row>
    <row r="1194" spans="5:11" x14ac:dyDescent="0.2">
      <c r="E1194" s="37"/>
      <c r="F1194" s="231"/>
      <c r="G1194" s="5"/>
      <c r="H1194" s="37"/>
      <c r="I1194" s="37"/>
      <c r="K1194" s="11"/>
    </row>
    <row r="1195" spans="5:11" x14ac:dyDescent="0.2">
      <c r="E1195" s="37"/>
      <c r="F1195" s="231"/>
      <c r="G1195" s="5"/>
      <c r="H1195" s="37"/>
      <c r="I1195" s="37"/>
      <c r="K1195" s="11"/>
    </row>
    <row r="1196" spans="5:11" x14ac:dyDescent="0.2">
      <c r="E1196" s="37"/>
      <c r="F1196" s="231"/>
      <c r="G1196" s="5"/>
      <c r="H1196" s="37"/>
      <c r="I1196" s="37"/>
      <c r="K1196" s="11"/>
    </row>
    <row r="1197" spans="5:11" x14ac:dyDescent="0.2">
      <c r="F1197" s="231"/>
      <c r="G1197" s="5"/>
      <c r="H1197" s="37"/>
      <c r="I1197" s="37"/>
      <c r="K1197" s="11"/>
    </row>
    <row r="1198" spans="5:11" x14ac:dyDescent="0.2">
      <c r="F1198" s="231"/>
      <c r="G1198" s="5"/>
      <c r="H1198" s="37"/>
      <c r="I1198" s="37"/>
      <c r="K1198" s="11"/>
    </row>
    <row r="1199" spans="5:11" x14ac:dyDescent="0.2">
      <c r="F1199" s="231"/>
      <c r="G1199" s="5"/>
      <c r="H1199" s="37"/>
      <c r="I1199" s="37"/>
      <c r="K1199" s="11"/>
    </row>
    <row r="1200" spans="5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  <row r="4662" spans="6:11" x14ac:dyDescent="0.2">
      <c r="F4662" s="231"/>
      <c r="G4662" s="5"/>
      <c r="H4662" s="37"/>
      <c r="I4662" s="37"/>
      <c r="K4662" s="11"/>
    </row>
    <row r="4663" spans="6:11" x14ac:dyDescent="0.2">
      <c r="F4663" s="231"/>
      <c r="G4663" s="5"/>
      <c r="H4663" s="37"/>
      <c r="I4663" s="37"/>
      <c r="K4663" s="11"/>
    </row>
    <row r="4664" spans="6:11" x14ac:dyDescent="0.2">
      <c r="F4664" s="231"/>
      <c r="G4664" s="5"/>
      <c r="H4664" s="37"/>
      <c r="I4664" s="37"/>
      <c r="K4664" s="11"/>
    </row>
    <row r="4665" spans="6:11" x14ac:dyDescent="0.2">
      <c r="F4665" s="231"/>
      <c r="G4665" s="5"/>
      <c r="H4665" s="37"/>
      <c r="I4665" s="37"/>
      <c r="K4665" s="11"/>
    </row>
    <row r="4666" spans="6:11" x14ac:dyDescent="0.2">
      <c r="F4666" s="231"/>
      <c r="G4666" s="5"/>
      <c r="H4666" s="37"/>
      <c r="I4666" s="37"/>
      <c r="K4666" s="11"/>
    </row>
    <row r="4667" spans="6:11" x14ac:dyDescent="0.2">
      <c r="F4667" s="231"/>
      <c r="G4667" s="5"/>
      <c r="H4667" s="37"/>
      <c r="I4667" s="37"/>
      <c r="K4667" s="11"/>
    </row>
    <row r="4668" spans="6:11" x14ac:dyDescent="0.2">
      <c r="F4668" s="231"/>
      <c r="G4668" s="5"/>
      <c r="H4668" s="37"/>
      <c r="I4668" s="37"/>
      <c r="K4668" s="11"/>
    </row>
    <row r="4669" spans="6:11" x14ac:dyDescent="0.2">
      <c r="F4669" s="231"/>
      <c r="G4669" s="5"/>
      <c r="H4669" s="37"/>
      <c r="I4669" s="37"/>
      <c r="K4669" s="11"/>
    </row>
    <row r="4670" spans="6:11" x14ac:dyDescent="0.2">
      <c r="F4670" s="231"/>
      <c r="G4670" s="5"/>
      <c r="H4670" s="37"/>
      <c r="I4670" s="37"/>
      <c r="K4670" s="11"/>
    </row>
    <row r="4671" spans="6:11" x14ac:dyDescent="0.2">
      <c r="F4671" s="231"/>
      <c r="G4671" s="5"/>
      <c r="H4671" s="37"/>
      <c r="I4671" s="37"/>
      <c r="K4671" s="11"/>
    </row>
    <row r="4672" spans="6:11" x14ac:dyDescent="0.2">
      <c r="F4672" s="231"/>
      <c r="G4672" s="5"/>
      <c r="H4672" s="37"/>
      <c r="I4672" s="37"/>
      <c r="K4672" s="11"/>
    </row>
    <row r="4673" spans="6:11" x14ac:dyDescent="0.2">
      <c r="F4673" s="231"/>
      <c r="G4673" s="5"/>
      <c r="H4673" s="37"/>
      <c r="I4673" s="37"/>
      <c r="K4673" s="11"/>
    </row>
    <row r="4674" spans="6:11" x14ac:dyDescent="0.2">
      <c r="F4674" s="231"/>
      <c r="G4674" s="5"/>
      <c r="H4674" s="37"/>
      <c r="I4674" s="37"/>
      <c r="K4674" s="11"/>
    </row>
    <row r="4675" spans="6:11" x14ac:dyDescent="0.2">
      <c r="F4675" s="231"/>
      <c r="G4675" s="5"/>
      <c r="H4675" s="37"/>
      <c r="I4675" s="37"/>
      <c r="K4675" s="11"/>
    </row>
    <row r="4676" spans="6:11" x14ac:dyDescent="0.2">
      <c r="F4676" s="231"/>
      <c r="G4676" s="5"/>
      <c r="H4676" s="37"/>
      <c r="I4676" s="37"/>
      <c r="K4676" s="11"/>
    </row>
    <row r="4677" spans="6:11" x14ac:dyDescent="0.2">
      <c r="F4677" s="231"/>
      <c r="G4677" s="5"/>
      <c r="H4677" s="37"/>
      <c r="I4677" s="37"/>
      <c r="K4677" s="11"/>
    </row>
    <row r="4678" spans="6:11" x14ac:dyDescent="0.2">
      <c r="F4678" s="231"/>
      <c r="G4678" s="5"/>
      <c r="H4678" s="37"/>
      <c r="I4678" s="37"/>
      <c r="K4678" s="11"/>
    </row>
    <row r="4679" spans="6:11" x14ac:dyDescent="0.2">
      <c r="F4679" s="231"/>
      <c r="G4679" s="5"/>
      <c r="H4679" s="37"/>
      <c r="I4679" s="37"/>
      <c r="K4679" s="11"/>
    </row>
    <row r="4680" spans="6:11" x14ac:dyDescent="0.2">
      <c r="F4680" s="231"/>
      <c r="G4680" s="5"/>
      <c r="H4680" s="37"/>
      <c r="I4680" s="37"/>
      <c r="K4680" s="11"/>
    </row>
    <row r="4681" spans="6:11" x14ac:dyDescent="0.2">
      <c r="F4681" s="231"/>
      <c r="G4681" s="5"/>
      <c r="H4681" s="37"/>
      <c r="I4681" s="37"/>
      <c r="K4681" s="11"/>
    </row>
    <row r="4682" spans="6:11" x14ac:dyDescent="0.2">
      <c r="F4682" s="231"/>
      <c r="G4682" s="5"/>
      <c r="H4682" s="37"/>
      <c r="I4682" s="37"/>
      <c r="K4682" s="11"/>
    </row>
    <row r="4683" spans="6:11" x14ac:dyDescent="0.2">
      <c r="F4683" s="231"/>
      <c r="G4683" s="5"/>
      <c r="H4683" s="37"/>
      <c r="I4683" s="37"/>
      <c r="K4683" s="11"/>
    </row>
    <row r="4684" spans="6:11" x14ac:dyDescent="0.2">
      <c r="F4684" s="231"/>
      <c r="G4684" s="5"/>
      <c r="H4684" s="37"/>
      <c r="I4684" s="37"/>
      <c r="K4684" s="11"/>
    </row>
    <row r="4685" spans="6:11" x14ac:dyDescent="0.2">
      <c r="F4685" s="231"/>
      <c r="G4685" s="5"/>
      <c r="H4685" s="37"/>
      <c r="I4685" s="37"/>
      <c r="K4685" s="11"/>
    </row>
    <row r="4686" spans="6:11" x14ac:dyDescent="0.2">
      <c r="F4686" s="231"/>
      <c r="G4686" s="5"/>
      <c r="H4686" s="37"/>
      <c r="I4686" s="37"/>
      <c r="K4686" s="11"/>
    </row>
    <row r="4687" spans="6:11" x14ac:dyDescent="0.2">
      <c r="F4687" s="231"/>
      <c r="G4687" s="5"/>
      <c r="H4687" s="37"/>
      <c r="I4687" s="37"/>
      <c r="K4687" s="11"/>
    </row>
    <row r="4688" spans="6:11" x14ac:dyDescent="0.2">
      <c r="F4688" s="231"/>
      <c r="G4688" s="5"/>
      <c r="H4688" s="37"/>
      <c r="I4688" s="37"/>
      <c r="K4688" s="11"/>
    </row>
    <row r="4689" spans="6:11" x14ac:dyDescent="0.2">
      <c r="F4689" s="231"/>
      <c r="G4689" s="5"/>
      <c r="H4689" s="37"/>
      <c r="I4689" s="37"/>
      <c r="K4689" s="11"/>
    </row>
    <row r="4690" spans="6:11" x14ac:dyDescent="0.2">
      <c r="F4690" s="231"/>
      <c r="G4690" s="5"/>
      <c r="H4690" s="37"/>
      <c r="I4690" s="37"/>
      <c r="K4690" s="11"/>
    </row>
    <row r="4691" spans="6:11" x14ac:dyDescent="0.2">
      <c r="F4691" s="231"/>
      <c r="G4691" s="5"/>
      <c r="H4691" s="37"/>
      <c r="I4691" s="37"/>
      <c r="K4691" s="11"/>
    </row>
    <row r="4692" spans="6:11" x14ac:dyDescent="0.2">
      <c r="F4692" s="231"/>
      <c r="G4692" s="5"/>
      <c r="H4692" s="37"/>
      <c r="I4692" s="37"/>
      <c r="K4692" s="11"/>
    </row>
    <row r="4693" spans="6:11" x14ac:dyDescent="0.2">
      <c r="F4693" s="231"/>
      <c r="G4693" s="5"/>
      <c r="H4693" s="37"/>
      <c r="I4693" s="37"/>
      <c r="K4693" s="11"/>
    </row>
    <row r="4694" spans="6:11" x14ac:dyDescent="0.2">
      <c r="F4694" s="231"/>
      <c r="G4694" s="5"/>
      <c r="H4694" s="37"/>
      <c r="I4694" s="37"/>
      <c r="K4694" s="11"/>
    </row>
    <row r="4695" spans="6:11" x14ac:dyDescent="0.2">
      <c r="F4695" s="231"/>
      <c r="G4695" s="5"/>
      <c r="H4695" s="37"/>
      <c r="I4695" s="37"/>
      <c r="K4695" s="11"/>
    </row>
    <row r="4696" spans="6:11" x14ac:dyDescent="0.2">
      <c r="F4696" s="231"/>
      <c r="G4696" s="5"/>
      <c r="H4696" s="37"/>
      <c r="I4696" s="37"/>
      <c r="K4696" s="11"/>
    </row>
    <row r="4697" spans="6:11" x14ac:dyDescent="0.2">
      <c r="F4697" s="231"/>
      <c r="G4697" s="5"/>
      <c r="H4697" s="37"/>
      <c r="I4697" s="37"/>
      <c r="K4697" s="11"/>
    </row>
    <row r="4698" spans="6:11" x14ac:dyDescent="0.2">
      <c r="F4698" s="231"/>
      <c r="G4698" s="5"/>
      <c r="H4698" s="37"/>
      <c r="I4698" s="37"/>
      <c r="K4698" s="11"/>
    </row>
    <row r="4699" spans="6:11" x14ac:dyDescent="0.2">
      <c r="F4699" s="231"/>
      <c r="G4699" s="5"/>
      <c r="H4699" s="37"/>
      <c r="I4699" s="37"/>
      <c r="K4699" s="11"/>
    </row>
    <row r="4700" spans="6:11" x14ac:dyDescent="0.2">
      <c r="F4700" s="231"/>
      <c r="G4700" s="5"/>
      <c r="H4700" s="37"/>
      <c r="I4700" s="37"/>
      <c r="K4700" s="11"/>
    </row>
    <row r="4701" spans="6:11" x14ac:dyDescent="0.2">
      <c r="F4701" s="231"/>
      <c r="G4701" s="5"/>
      <c r="H4701" s="37"/>
      <c r="I4701" s="37"/>
      <c r="K4701" s="11"/>
    </row>
    <row r="4702" spans="6:11" x14ac:dyDescent="0.2">
      <c r="F4702" s="231"/>
      <c r="G4702" s="5"/>
      <c r="H4702" s="37"/>
      <c r="I4702" s="37"/>
      <c r="K4702" s="11"/>
    </row>
    <row r="4703" spans="6:11" x14ac:dyDescent="0.2">
      <c r="F4703" s="231"/>
      <c r="G4703" s="5"/>
      <c r="H4703" s="37"/>
      <c r="I4703" s="37"/>
      <c r="K4703" s="11"/>
    </row>
    <row r="4704" spans="6:11" x14ac:dyDescent="0.2">
      <c r="F4704" s="231"/>
      <c r="G4704" s="5"/>
      <c r="H4704" s="37"/>
      <c r="I4704" s="37"/>
      <c r="K4704" s="11"/>
    </row>
    <row r="4705" spans="6:11" x14ac:dyDescent="0.2">
      <c r="F4705" s="231"/>
      <c r="G4705" s="5"/>
      <c r="H4705" s="37"/>
      <c r="I4705" s="37"/>
      <c r="K4705" s="11"/>
    </row>
    <row r="4706" spans="6:11" x14ac:dyDescent="0.2">
      <c r="F4706" s="231"/>
      <c r="G4706" s="5"/>
      <c r="H4706" s="37"/>
      <c r="I4706" s="37"/>
      <c r="K4706" s="11"/>
    </row>
    <row r="4707" spans="6:11" x14ac:dyDescent="0.2">
      <c r="F4707" s="231"/>
      <c r="G4707" s="5"/>
      <c r="H4707" s="37"/>
      <c r="I4707" s="37"/>
      <c r="K4707" s="11"/>
    </row>
    <row r="4708" spans="6:11" x14ac:dyDescent="0.2">
      <c r="F4708" s="231"/>
      <c r="G4708" s="5"/>
      <c r="H4708" s="37"/>
      <c r="I4708" s="37"/>
      <c r="K4708" s="11"/>
    </row>
    <row r="4709" spans="6:11" x14ac:dyDescent="0.2">
      <c r="F4709" s="231"/>
      <c r="G4709" s="5"/>
      <c r="H4709" s="37"/>
      <c r="I4709" s="37"/>
      <c r="K4709" s="11"/>
    </row>
    <row r="4710" spans="6:11" x14ac:dyDescent="0.2">
      <c r="F4710" s="231"/>
      <c r="G4710" s="5"/>
      <c r="H4710" s="37"/>
      <c r="I4710" s="37"/>
      <c r="K4710" s="11"/>
    </row>
    <row r="4711" spans="6:11" x14ac:dyDescent="0.2">
      <c r="F4711" s="231"/>
      <c r="G4711" s="5"/>
      <c r="H4711" s="37"/>
      <c r="I4711" s="37"/>
      <c r="K4711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71" fitToWidth="2" orientation="portrait" r:id="rId1"/>
  <headerFooter alignWithMargins="0">
    <oddHeader>&amp;L
Schedule 10
&amp;CMinneapolis-St. Paul International Airport
&amp;"Arial,Bold"&amp;A
June 2017</oddHeader>
    <oddFooter>&amp;LPrinted on &amp;D&amp;RPage &amp;P of &amp;N</oddFooter>
  </headerFooter>
  <colBreaks count="1" manualBreakCount="1">
    <brk id="9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zoomScaleNormal="100" zoomScaleSheetLayoutView="100" workbookViewId="0">
      <selection activeCell="M28" sqref="M28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384">
        <v>42887</v>
      </c>
      <c r="B1" s="448" t="s">
        <v>17</v>
      </c>
      <c r="C1" s="448" t="s">
        <v>18</v>
      </c>
      <c r="D1" s="448" t="s">
        <v>19</v>
      </c>
      <c r="E1" s="448" t="s">
        <v>160</v>
      </c>
      <c r="F1" s="448" t="s">
        <v>167</v>
      </c>
      <c r="G1" s="448" t="s">
        <v>161</v>
      </c>
      <c r="H1" s="448" t="s">
        <v>222</v>
      </c>
      <c r="I1" s="448" t="s">
        <v>20</v>
      </c>
      <c r="J1" s="449" t="s">
        <v>21</v>
      </c>
    </row>
    <row r="2" spans="1:19" ht="15" x14ac:dyDescent="0.25">
      <c r="A2" s="64" t="s">
        <v>3</v>
      </c>
      <c r="B2" s="58"/>
      <c r="C2" s="58"/>
      <c r="D2" s="58"/>
      <c r="E2" s="58"/>
      <c r="F2" s="58"/>
      <c r="G2" s="58"/>
      <c r="H2" s="58"/>
      <c r="I2" s="58"/>
      <c r="J2" s="280"/>
    </row>
    <row r="3" spans="1:19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55"/>
    </row>
    <row r="4" spans="1:19" x14ac:dyDescent="0.2">
      <c r="A4" s="62" t="s">
        <v>30</v>
      </c>
      <c r="B4" s="21">
        <f>[3]American!$FE$22</f>
        <v>95360</v>
      </c>
      <c r="C4" s="21">
        <f>[3]Delta!$FE$22+[3]Delta!$FE$32</f>
        <v>921266</v>
      </c>
      <c r="D4" s="21">
        <f>[3]United!$FE$22</f>
        <v>55114</v>
      </c>
      <c r="E4" s="21">
        <f>[3]Spirit!$FE$22</f>
        <v>51631</v>
      </c>
      <c r="F4" s="21">
        <f>[3]Condor!$FE$32</f>
        <v>3048</v>
      </c>
      <c r="G4" s="21">
        <f>'[3]Air France'!$FE$32</f>
        <v>7581</v>
      </c>
      <c r="H4" s="21">
        <f>[3]KLM!$FE$22+[3]KLM!$FE$32</f>
        <v>2939</v>
      </c>
      <c r="I4" s="21">
        <f>'Other Major Airline Stats'!J5</f>
        <v>223502</v>
      </c>
      <c r="J4" s="281">
        <f>SUM(B4:I4)</f>
        <v>1360441</v>
      </c>
    </row>
    <row r="5" spans="1:19" x14ac:dyDescent="0.2">
      <c r="A5" s="62" t="s">
        <v>31</v>
      </c>
      <c r="B5" s="14">
        <f>[3]American!$FE$23</f>
        <v>91273</v>
      </c>
      <c r="C5" s="14">
        <f>[3]Delta!$FE$23+[3]Delta!$FE$33</f>
        <v>917163</v>
      </c>
      <c r="D5" s="14">
        <f>[3]United!$FE$23</f>
        <v>50665</v>
      </c>
      <c r="E5" s="14">
        <f>[3]Spirit!$FE$23</f>
        <v>50764</v>
      </c>
      <c r="F5" s="14">
        <f>[3]Condor!$FE$33</f>
        <v>3496</v>
      </c>
      <c r="G5" s="14">
        <f>'[3]Air France'!$FE$33</f>
        <v>7429</v>
      </c>
      <c r="H5" s="14">
        <f>[3]KLM!$FE$23+[3]KLM!$FE$33</f>
        <v>2986</v>
      </c>
      <c r="I5" s="14">
        <f>'Other Major Airline Stats'!J6</f>
        <v>217352</v>
      </c>
      <c r="J5" s="282">
        <f>SUM(B5:I5)</f>
        <v>1341128</v>
      </c>
      <c r="L5" s="309"/>
      <c r="M5" s="309"/>
      <c r="N5" s="309"/>
      <c r="O5" s="309"/>
      <c r="P5" s="309"/>
      <c r="Q5" s="309"/>
      <c r="R5" s="309"/>
      <c r="S5" s="309"/>
    </row>
    <row r="6" spans="1:19" ht="15" x14ac:dyDescent="0.25">
      <c r="A6" s="60" t="s">
        <v>7</v>
      </c>
      <c r="B6" s="34">
        <f t="shared" ref="B6:I6" si="0">SUM(B4:B5)</f>
        <v>186633</v>
      </c>
      <c r="C6" s="34">
        <f t="shared" si="0"/>
        <v>1838429</v>
      </c>
      <c r="D6" s="34">
        <f t="shared" si="0"/>
        <v>105779</v>
      </c>
      <c r="E6" s="34">
        <f t="shared" si="0"/>
        <v>102395</v>
      </c>
      <c r="F6" s="34">
        <f t="shared" ref="F6:H6" si="1">SUM(F4:F5)</f>
        <v>6544</v>
      </c>
      <c r="G6" s="34">
        <f t="shared" si="1"/>
        <v>15010</v>
      </c>
      <c r="H6" s="34">
        <f t="shared" si="1"/>
        <v>5925</v>
      </c>
      <c r="I6" s="34">
        <f t="shared" si="0"/>
        <v>440854</v>
      </c>
      <c r="J6" s="283">
        <f>SUM(B6:I6)</f>
        <v>2701569</v>
      </c>
    </row>
    <row r="7" spans="1:19" x14ac:dyDescent="0.2">
      <c r="A7" s="62"/>
      <c r="B7" s="21"/>
      <c r="C7" s="21"/>
      <c r="D7" s="21"/>
      <c r="E7" s="21"/>
      <c r="F7" s="21"/>
      <c r="G7" s="21"/>
      <c r="H7" s="21"/>
      <c r="I7" s="21"/>
      <c r="J7" s="281"/>
    </row>
    <row r="8" spans="1:19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81">
        <f>SUM(B8:I8)</f>
        <v>0</v>
      </c>
    </row>
    <row r="9" spans="1:19" x14ac:dyDescent="0.2">
      <c r="A9" s="62" t="s">
        <v>30</v>
      </c>
      <c r="B9" s="21">
        <f>[3]American!$FE$27</f>
        <v>3732</v>
      </c>
      <c r="C9" s="21">
        <f>[3]Delta!$FE$27+[3]Delta!$FE$37</f>
        <v>33164</v>
      </c>
      <c r="D9" s="21">
        <f>[3]United!$FE$27</f>
        <v>1887</v>
      </c>
      <c r="E9" s="21">
        <f>[3]Spirit!$FE$27</f>
        <v>400</v>
      </c>
      <c r="F9" s="21">
        <f>[3]Condor!$FE$37</f>
        <v>39</v>
      </c>
      <c r="G9" s="21">
        <f>'[3]Air France'!$FE$37</f>
        <v>8</v>
      </c>
      <c r="H9" s="21">
        <f>[3]KLM!$FE$27+[3]KLM!$FE$37</f>
        <v>8</v>
      </c>
      <c r="I9" s="21">
        <f>'Other Major Airline Stats'!J10</f>
        <v>4389</v>
      </c>
      <c r="J9" s="281">
        <f>SUM(B9:I9)</f>
        <v>43627</v>
      </c>
    </row>
    <row r="10" spans="1:19" x14ac:dyDescent="0.2">
      <c r="A10" s="62" t="s">
        <v>33</v>
      </c>
      <c r="B10" s="14">
        <f>[3]American!$FE$28</f>
        <v>3949</v>
      </c>
      <c r="C10" s="14">
        <f>[3]Delta!$FE$28+[3]Delta!$FE$38</f>
        <v>33220</v>
      </c>
      <c r="D10" s="14">
        <f>[3]United!$FE$28</f>
        <v>2263</v>
      </c>
      <c r="E10" s="14">
        <f>[3]Spirit!$FE$28</f>
        <v>377</v>
      </c>
      <c r="F10" s="14">
        <f>[3]Condor!$FE$38</f>
        <v>29</v>
      </c>
      <c r="G10" s="14">
        <f>'[3]Air France'!$FE$38</f>
        <v>5</v>
      </c>
      <c r="H10" s="14">
        <f>[3]KLM!$FE$28+[3]KLM!$FE$38</f>
        <v>13</v>
      </c>
      <c r="I10" s="14">
        <f>'Other Major Airline Stats'!J11</f>
        <v>4299</v>
      </c>
      <c r="J10" s="282">
        <f>SUM(B10:I10)</f>
        <v>44155</v>
      </c>
    </row>
    <row r="11" spans="1:19" ht="15.75" thickBot="1" x14ac:dyDescent="0.3">
      <c r="A11" s="63" t="s">
        <v>34</v>
      </c>
      <c r="B11" s="284">
        <f t="shared" ref="B11:I11" si="2">SUM(B9:B10)</f>
        <v>7681</v>
      </c>
      <c r="C11" s="284">
        <f t="shared" si="2"/>
        <v>66384</v>
      </c>
      <c r="D11" s="284">
        <f t="shared" si="2"/>
        <v>4150</v>
      </c>
      <c r="E11" s="284">
        <f t="shared" si="2"/>
        <v>777</v>
      </c>
      <c r="F11" s="284">
        <f t="shared" ref="F11:H11" si="3">SUM(F9:F10)</f>
        <v>68</v>
      </c>
      <c r="G11" s="284">
        <f t="shared" si="3"/>
        <v>13</v>
      </c>
      <c r="H11" s="284">
        <f t="shared" si="3"/>
        <v>21</v>
      </c>
      <c r="I11" s="284">
        <f t="shared" si="2"/>
        <v>8688</v>
      </c>
      <c r="J11" s="285">
        <f>SUM(B11:I11)</f>
        <v>87782</v>
      </c>
    </row>
    <row r="13" spans="1:19" ht="13.5" thickBot="1" x14ac:dyDescent="0.25"/>
    <row r="14" spans="1:19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5"/>
      <c r="J14" s="26"/>
    </row>
    <row r="15" spans="1:19" x14ac:dyDescent="0.2">
      <c r="A15" s="62" t="s">
        <v>22</v>
      </c>
      <c r="B15" s="21">
        <f>[3]American!$FE$4</f>
        <v>761</v>
      </c>
      <c r="C15" s="21">
        <f>[3]Delta!$FE$4+[3]Delta!$FE$15</f>
        <v>6589</v>
      </c>
      <c r="D15" s="21">
        <f>[3]United!$FE$4</f>
        <v>456</v>
      </c>
      <c r="E15" s="21">
        <f>[3]Spirit!$FE$4</f>
        <v>370</v>
      </c>
      <c r="F15" s="21">
        <f>[3]Condor!$FE$15</f>
        <v>14</v>
      </c>
      <c r="G15" s="21">
        <f>'[3]Air France'!$FE$15</f>
        <v>29</v>
      </c>
      <c r="H15" s="21">
        <f>[3]KLM!$FE$4+[3]KLM!$FE$15</f>
        <v>12</v>
      </c>
      <c r="I15" s="21">
        <f>'Other Major Airline Stats'!J16</f>
        <v>1890</v>
      </c>
      <c r="J15" s="27">
        <f>SUM(B15:I15)</f>
        <v>10121</v>
      </c>
    </row>
    <row r="16" spans="1:19" x14ac:dyDescent="0.2">
      <c r="A16" s="62" t="s">
        <v>23</v>
      </c>
      <c r="B16" s="14">
        <f>[3]American!$FE$5</f>
        <v>761</v>
      </c>
      <c r="C16" s="14">
        <f>[3]Delta!$FE$5+[3]Delta!$FE$16</f>
        <v>6583</v>
      </c>
      <c r="D16" s="14">
        <f>[3]United!$FE$5</f>
        <v>456</v>
      </c>
      <c r="E16" s="14">
        <f>[3]Spirit!$FE$5</f>
        <v>369</v>
      </c>
      <c r="F16" s="14">
        <f>[3]Condor!$FE$16</f>
        <v>14</v>
      </c>
      <c r="G16" s="14">
        <f>'[3]Air France'!$FE$16</f>
        <v>29</v>
      </c>
      <c r="H16" s="14">
        <f>[3]KLM!$FE$5+[3]KLM!$FE$16</f>
        <v>12</v>
      </c>
      <c r="I16" s="14">
        <f>'Other Major Airline Stats'!J17</f>
        <v>1893</v>
      </c>
      <c r="J16" s="33">
        <f>SUM(B16:I16)</f>
        <v>10117</v>
      </c>
    </row>
    <row r="17" spans="1:10" x14ac:dyDescent="0.2">
      <c r="A17" s="62" t="s">
        <v>24</v>
      </c>
      <c r="B17" s="288">
        <f t="shared" ref="B17:I17" si="4">SUM(B15:B16)</f>
        <v>1522</v>
      </c>
      <c r="C17" s="286">
        <f t="shared" si="4"/>
        <v>13172</v>
      </c>
      <c r="D17" s="286">
        <f t="shared" si="4"/>
        <v>912</v>
      </c>
      <c r="E17" s="286">
        <f t="shared" si="4"/>
        <v>739</v>
      </c>
      <c r="F17" s="286">
        <f t="shared" ref="F17:H17" si="5">SUM(F15:F16)</f>
        <v>28</v>
      </c>
      <c r="G17" s="286">
        <f t="shared" si="5"/>
        <v>58</v>
      </c>
      <c r="H17" s="286">
        <f t="shared" si="5"/>
        <v>24</v>
      </c>
      <c r="I17" s="286">
        <f t="shared" si="4"/>
        <v>3783</v>
      </c>
      <c r="J17" s="287">
        <f>SUM(B17:I17)</f>
        <v>20238</v>
      </c>
    </row>
    <row r="18" spans="1:10" x14ac:dyDescent="0.2">
      <c r="A18" s="62"/>
      <c r="B18" s="21"/>
      <c r="C18" s="21"/>
      <c r="D18" s="21"/>
      <c r="E18" s="21"/>
      <c r="F18" s="21"/>
      <c r="G18" s="21"/>
      <c r="H18" s="21"/>
      <c r="I18" s="21"/>
      <c r="J18" s="27"/>
    </row>
    <row r="19" spans="1:10" x14ac:dyDescent="0.2">
      <c r="A19" s="62" t="s">
        <v>25</v>
      </c>
      <c r="B19" s="21">
        <f>[3]American!$FE$8</f>
        <v>0</v>
      </c>
      <c r="C19" s="21">
        <f>[3]Delta!$FE$8</f>
        <v>3</v>
      </c>
      <c r="D19" s="21">
        <f>[3]United!$FE$8</f>
        <v>0</v>
      </c>
      <c r="E19" s="21">
        <f>[3]Spirit!$FE$8</f>
        <v>0</v>
      </c>
      <c r="F19" s="21">
        <f>[3]Condor!$FE$8</f>
        <v>0</v>
      </c>
      <c r="G19" s="21">
        <f>'[3]Air France'!$FE$8</f>
        <v>0</v>
      </c>
      <c r="H19" s="21">
        <f>[3]KLM!$FE$8</f>
        <v>0</v>
      </c>
      <c r="I19" s="21">
        <f>'Other Major Airline Stats'!J20</f>
        <v>85</v>
      </c>
      <c r="J19" s="27">
        <f>SUM(B19:I19)</f>
        <v>88</v>
      </c>
    </row>
    <row r="20" spans="1:10" x14ac:dyDescent="0.2">
      <c r="A20" s="62" t="s">
        <v>26</v>
      </c>
      <c r="B20" s="14">
        <f>[3]American!$FE$9</f>
        <v>0</v>
      </c>
      <c r="C20" s="14">
        <f>[3]Delta!$FE$9</f>
        <v>11</v>
      </c>
      <c r="D20" s="14">
        <f>[3]United!$FE$9</f>
        <v>0</v>
      </c>
      <c r="E20" s="14">
        <f>[3]Spirit!$FE$9</f>
        <v>0</v>
      </c>
      <c r="F20" s="14">
        <f>[3]Condor!$FE$9</f>
        <v>0</v>
      </c>
      <c r="G20" s="14">
        <f>'[3]Air France'!$FE$9</f>
        <v>0</v>
      </c>
      <c r="H20" s="14">
        <f>[3]KLM!$FE$9</f>
        <v>0</v>
      </c>
      <c r="I20" s="14">
        <f>'Other Major Airline Stats'!J21</f>
        <v>83</v>
      </c>
      <c r="J20" s="33">
        <f>SUM(B20:I20)</f>
        <v>94</v>
      </c>
    </row>
    <row r="21" spans="1:10" x14ac:dyDescent="0.2">
      <c r="A21" s="62" t="s">
        <v>27</v>
      </c>
      <c r="B21" s="288">
        <f t="shared" ref="B21:I21" si="6">SUM(B19:B20)</f>
        <v>0</v>
      </c>
      <c r="C21" s="286">
        <f t="shared" si="6"/>
        <v>14</v>
      </c>
      <c r="D21" s="286">
        <f t="shared" si="6"/>
        <v>0</v>
      </c>
      <c r="E21" s="286">
        <f t="shared" si="6"/>
        <v>0</v>
      </c>
      <c r="F21" s="286">
        <f t="shared" ref="F21:H21" si="7">SUM(F19:F20)</f>
        <v>0</v>
      </c>
      <c r="G21" s="286">
        <f t="shared" si="7"/>
        <v>0</v>
      </c>
      <c r="H21" s="286">
        <f t="shared" si="7"/>
        <v>0</v>
      </c>
      <c r="I21" s="286">
        <f t="shared" si="6"/>
        <v>168</v>
      </c>
      <c r="J21" s="176">
        <f>SUM(B21:I21)</f>
        <v>182</v>
      </c>
    </row>
    <row r="22" spans="1:10" x14ac:dyDescent="0.2">
      <c r="A22" s="62"/>
      <c r="B22" s="21"/>
      <c r="C22" s="21"/>
      <c r="D22" s="21"/>
      <c r="E22" s="21"/>
      <c r="F22" s="21"/>
      <c r="G22" s="21"/>
      <c r="H22" s="21"/>
      <c r="I22" s="21"/>
      <c r="J22" s="27"/>
    </row>
    <row r="23" spans="1:10" ht="15.75" thickBot="1" x14ac:dyDescent="0.3">
      <c r="A23" s="63" t="s">
        <v>28</v>
      </c>
      <c r="B23" s="28">
        <f t="shared" ref="B23:I23" si="8">B17+B21</f>
        <v>1522</v>
      </c>
      <c r="C23" s="28">
        <f t="shared" si="8"/>
        <v>13186</v>
      </c>
      <c r="D23" s="28">
        <f t="shared" si="8"/>
        <v>912</v>
      </c>
      <c r="E23" s="28">
        <f>E17+E21</f>
        <v>739</v>
      </c>
      <c r="F23" s="28">
        <f t="shared" ref="F23:H23" si="9">F17+F21</f>
        <v>28</v>
      </c>
      <c r="G23" s="28">
        <f t="shared" si="9"/>
        <v>58</v>
      </c>
      <c r="H23" s="28">
        <f t="shared" si="9"/>
        <v>24</v>
      </c>
      <c r="I23" s="28">
        <f t="shared" si="8"/>
        <v>3951</v>
      </c>
      <c r="J23" s="29">
        <f>SUM(B23:I23)</f>
        <v>20420</v>
      </c>
    </row>
    <row r="25" spans="1:10" ht="13.5" thickBot="1" x14ac:dyDescent="0.25">
      <c r="B25" s="419"/>
      <c r="C25" s="419"/>
      <c r="D25" s="419"/>
      <c r="E25" s="419"/>
      <c r="F25" s="419"/>
      <c r="G25" s="419"/>
      <c r="H25" s="419"/>
      <c r="I25" s="419"/>
    </row>
    <row r="26" spans="1:10" ht="15.75" thickTop="1" x14ac:dyDescent="0.25">
      <c r="A26" s="65" t="s">
        <v>35</v>
      </c>
      <c r="B26" s="31"/>
      <c r="C26" s="31"/>
      <c r="D26" s="31"/>
      <c r="E26" s="31"/>
      <c r="F26" s="31"/>
      <c r="G26" s="31"/>
      <c r="H26" s="31"/>
      <c r="I26" s="31"/>
      <c r="J26" s="32"/>
    </row>
    <row r="27" spans="1:10" x14ac:dyDescent="0.2">
      <c r="A27" s="62" t="s">
        <v>36</v>
      </c>
      <c r="B27" s="1"/>
      <c r="C27" s="1"/>
      <c r="D27" s="1"/>
      <c r="E27" s="1"/>
      <c r="F27" s="1"/>
      <c r="G27" s="1"/>
      <c r="H27" s="1"/>
      <c r="I27" s="1"/>
      <c r="J27" s="30"/>
    </row>
    <row r="28" spans="1:10" x14ac:dyDescent="0.2">
      <c r="A28" s="62" t="s">
        <v>37</v>
      </c>
      <c r="B28" s="21">
        <f>[3]American!$FE$47</f>
        <v>52103</v>
      </c>
      <c r="C28" s="21">
        <f>[3]Delta!$FE$47</f>
        <v>5070928</v>
      </c>
      <c r="D28" s="21">
        <f>[3]United!$FE$47</f>
        <v>54265</v>
      </c>
      <c r="E28" s="21">
        <f>[3]Spirit!$FE$47</f>
        <v>0</v>
      </c>
      <c r="F28" s="21">
        <f>[3]Condor!$FE$47</f>
        <v>67928</v>
      </c>
      <c r="G28" s="21">
        <f>'[3]Air France'!$FE$47</f>
        <v>338850</v>
      </c>
      <c r="H28" s="21">
        <f>[3]KLM!$FE$47</f>
        <v>263797</v>
      </c>
      <c r="I28" s="21">
        <f>'Other Major Airline Stats'!J28</f>
        <v>830902</v>
      </c>
      <c r="J28" s="27">
        <f>SUM(B28:I28)</f>
        <v>6678773</v>
      </c>
    </row>
    <row r="29" spans="1:10" x14ac:dyDescent="0.2">
      <c r="A29" s="62" t="s">
        <v>38</v>
      </c>
      <c r="B29" s="14">
        <f>[3]American!$FE$48</f>
        <v>43452</v>
      </c>
      <c r="C29" s="14">
        <f>[3]Delta!$FE$48</f>
        <v>1393377</v>
      </c>
      <c r="D29" s="14">
        <f>[3]United!$FE$48</f>
        <v>174980</v>
      </c>
      <c r="E29" s="14">
        <f>[3]Spirit!$FE$48</f>
        <v>0</v>
      </c>
      <c r="F29" s="14">
        <f>[3]Condor!$FE$48</f>
        <v>0</v>
      </c>
      <c r="G29" s="14">
        <f>'[3]Air France'!$FE$48</f>
        <v>0</v>
      </c>
      <c r="H29" s="14">
        <f>[3]KLM!$FE$48</f>
        <v>0</v>
      </c>
      <c r="I29" s="14">
        <f>'Other Major Airline Stats'!J29</f>
        <v>399103</v>
      </c>
      <c r="J29" s="33">
        <f>SUM(B29:I29)</f>
        <v>2010912</v>
      </c>
    </row>
    <row r="30" spans="1:10" x14ac:dyDescent="0.2">
      <c r="A30" s="66" t="s">
        <v>39</v>
      </c>
      <c r="B30" s="288">
        <f t="shared" ref="B30:I30" si="10">SUM(B28:B29)</f>
        <v>95555</v>
      </c>
      <c r="C30" s="288">
        <f t="shared" si="10"/>
        <v>6464305</v>
      </c>
      <c r="D30" s="288">
        <f t="shared" si="10"/>
        <v>229245</v>
      </c>
      <c r="E30" s="288">
        <f t="shared" si="10"/>
        <v>0</v>
      </c>
      <c r="F30" s="288">
        <f t="shared" ref="F30:H30" si="11">SUM(F28:F29)</f>
        <v>67928</v>
      </c>
      <c r="G30" s="288">
        <f t="shared" si="11"/>
        <v>338850</v>
      </c>
      <c r="H30" s="288">
        <f t="shared" si="11"/>
        <v>263797</v>
      </c>
      <c r="I30" s="288">
        <f t="shared" si="10"/>
        <v>1230005</v>
      </c>
      <c r="J30" s="27">
        <f>SUM(B30:I30)</f>
        <v>8689685</v>
      </c>
    </row>
    <row r="31" spans="1:10" x14ac:dyDescent="0.2">
      <c r="A31" s="62"/>
      <c r="B31" s="21"/>
      <c r="C31" s="21"/>
      <c r="D31" s="21"/>
      <c r="E31" s="21"/>
      <c r="F31" s="21"/>
      <c r="G31" s="21"/>
      <c r="H31" s="21"/>
      <c r="I31" s="21"/>
      <c r="J31" s="27"/>
    </row>
    <row r="32" spans="1:10" x14ac:dyDescent="0.2">
      <c r="A32" s="62" t="s">
        <v>40</v>
      </c>
      <c r="B32" s="21"/>
      <c r="C32" s="21"/>
      <c r="D32" s="21"/>
      <c r="E32" s="21"/>
      <c r="F32" s="21"/>
      <c r="G32" s="21"/>
      <c r="H32" s="21"/>
      <c r="I32" s="21"/>
      <c r="J32" s="27">
        <f t="shared" ref="J32:J40" si="12">SUM(B32:I32)</f>
        <v>0</v>
      </c>
    </row>
    <row r="33" spans="1:10" x14ac:dyDescent="0.2">
      <c r="A33" s="62" t="s">
        <v>37</v>
      </c>
      <c r="B33" s="21">
        <f>[3]American!$FE$52</f>
        <v>14791</v>
      </c>
      <c r="C33" s="21">
        <f>[3]Delta!$FE$52</f>
        <v>2713326</v>
      </c>
      <c r="D33" s="21">
        <f>[3]United!$FE$52</f>
        <v>24938</v>
      </c>
      <c r="E33" s="21">
        <f>[3]Spirit!$FE$52</f>
        <v>0</v>
      </c>
      <c r="F33" s="21">
        <f>[3]Condor!$FE$52</f>
        <v>0</v>
      </c>
      <c r="G33" s="21">
        <f>'[3]Air France'!$FE$52</f>
        <v>28615</v>
      </c>
      <c r="H33" s="21">
        <f>[3]KLM!$FE$52</f>
        <v>159282</v>
      </c>
      <c r="I33" s="21">
        <f>'Other Major Airline Stats'!J33</f>
        <v>511329</v>
      </c>
      <c r="J33" s="27">
        <f t="shared" si="12"/>
        <v>3452281</v>
      </c>
    </row>
    <row r="34" spans="1:10" x14ac:dyDescent="0.2">
      <c r="A34" s="62" t="s">
        <v>38</v>
      </c>
      <c r="B34" s="14">
        <f>[3]American!$FE$53</f>
        <v>66996</v>
      </c>
      <c r="C34" s="14">
        <f>[3]Delta!$FE$53</f>
        <v>1585154</v>
      </c>
      <c r="D34" s="14">
        <f>[3]United!$FE$53</f>
        <v>128040</v>
      </c>
      <c r="E34" s="14">
        <f>[3]Spirit!$FE$53</f>
        <v>0</v>
      </c>
      <c r="F34" s="14">
        <f>[3]Condor!$FE$53</f>
        <v>0</v>
      </c>
      <c r="G34" s="14">
        <f>'[3]Air France'!$FE$53</f>
        <v>0</v>
      </c>
      <c r="H34" s="14">
        <f>[3]KLM!$FE$53</f>
        <v>0</v>
      </c>
      <c r="I34" s="14">
        <f>'Other Major Airline Stats'!J34</f>
        <v>713070</v>
      </c>
      <c r="J34" s="33">
        <f t="shared" si="12"/>
        <v>2493260</v>
      </c>
    </row>
    <row r="35" spans="1:10" x14ac:dyDescent="0.2">
      <c r="A35" s="66" t="s">
        <v>41</v>
      </c>
      <c r="B35" s="288">
        <f t="shared" ref="B35:I35" si="13">SUM(B33:B34)</f>
        <v>81787</v>
      </c>
      <c r="C35" s="288">
        <f t="shared" si="13"/>
        <v>4298480</v>
      </c>
      <c r="D35" s="288">
        <f t="shared" si="13"/>
        <v>152978</v>
      </c>
      <c r="E35" s="288">
        <f t="shared" si="13"/>
        <v>0</v>
      </c>
      <c r="F35" s="288">
        <f t="shared" ref="F35:H35" si="14">SUM(F33:F34)</f>
        <v>0</v>
      </c>
      <c r="G35" s="288">
        <f t="shared" si="14"/>
        <v>28615</v>
      </c>
      <c r="H35" s="288">
        <f t="shared" si="14"/>
        <v>159282</v>
      </c>
      <c r="I35" s="288">
        <f t="shared" si="13"/>
        <v>1224399</v>
      </c>
      <c r="J35" s="27">
        <f t="shared" si="12"/>
        <v>5945541</v>
      </c>
    </row>
    <row r="36" spans="1:10" hidden="1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7">
        <f t="shared" si="12"/>
        <v>0</v>
      </c>
    </row>
    <row r="37" spans="1:10" hidden="1" x14ac:dyDescent="0.2">
      <c r="A37" s="62" t="s">
        <v>42</v>
      </c>
      <c r="B37" s="21"/>
      <c r="C37" s="21"/>
      <c r="D37" s="21"/>
      <c r="E37" s="21"/>
      <c r="F37" s="21"/>
      <c r="G37" s="21"/>
      <c r="H37" s="21"/>
      <c r="I37" s="21"/>
      <c r="J37" s="27">
        <f t="shared" si="12"/>
        <v>0</v>
      </c>
    </row>
    <row r="38" spans="1:10" hidden="1" x14ac:dyDescent="0.2">
      <c r="A38" s="62" t="s">
        <v>37</v>
      </c>
      <c r="B38" s="21">
        <f>[3]American!$FE$57</f>
        <v>0</v>
      </c>
      <c r="C38" s="21">
        <f>[3]Delta!$FE$57</f>
        <v>0</v>
      </c>
      <c r="D38" s="21">
        <f>[3]United!$FE$57</f>
        <v>0</v>
      </c>
      <c r="E38" s="21">
        <f>[3]Spirit!$FE$57</f>
        <v>0</v>
      </c>
      <c r="F38" s="21">
        <f>[3]Condor!$FE$57</f>
        <v>0</v>
      </c>
      <c r="G38" s="21">
        <f>'[3]Air France'!$FE$57</f>
        <v>0</v>
      </c>
      <c r="H38" s="21">
        <f>[3]KLM!$FE$57</f>
        <v>0</v>
      </c>
      <c r="I38" s="21">
        <f>'Other Major Airline Stats'!J38</f>
        <v>0</v>
      </c>
      <c r="J38" s="27">
        <f t="shared" si="12"/>
        <v>0</v>
      </c>
    </row>
    <row r="39" spans="1:10" hidden="1" x14ac:dyDescent="0.2">
      <c r="A39" s="62" t="s">
        <v>38</v>
      </c>
      <c r="B39" s="14">
        <f>[3]American!$FE$58</f>
        <v>0</v>
      </c>
      <c r="C39" s="14">
        <f>[3]Delta!$FE$58</f>
        <v>0</v>
      </c>
      <c r="D39" s="14">
        <f>[3]United!$FE$58</f>
        <v>0</v>
      </c>
      <c r="E39" s="14">
        <f>[3]Spirit!$FE$58</f>
        <v>0</v>
      </c>
      <c r="F39" s="14">
        <f>[3]Condor!$FE$58</f>
        <v>0</v>
      </c>
      <c r="G39" s="14">
        <f>'[3]Air France'!$FE$58</f>
        <v>0</v>
      </c>
      <c r="H39" s="14">
        <f>[3]KLM!$FE$58</f>
        <v>0</v>
      </c>
      <c r="I39" s="14">
        <f>'Other Major Airline Stats'!J39</f>
        <v>0</v>
      </c>
      <c r="J39" s="33">
        <f t="shared" si="12"/>
        <v>0</v>
      </c>
    </row>
    <row r="40" spans="1:10" hidden="1" x14ac:dyDescent="0.2">
      <c r="A40" s="66" t="s">
        <v>43</v>
      </c>
      <c r="B40" s="288">
        <f t="shared" ref="B40:I40" si="15">SUM(B38:B39)</f>
        <v>0</v>
      </c>
      <c r="C40" s="288">
        <f t="shared" si="15"/>
        <v>0</v>
      </c>
      <c r="D40" s="288">
        <f t="shared" si="15"/>
        <v>0</v>
      </c>
      <c r="E40" s="288">
        <f t="shared" si="15"/>
        <v>0</v>
      </c>
      <c r="F40" s="288">
        <f t="shared" ref="F40:H40" si="16">SUM(F38:F39)</f>
        <v>0</v>
      </c>
      <c r="G40" s="288">
        <f t="shared" si="16"/>
        <v>0</v>
      </c>
      <c r="H40" s="288">
        <f t="shared" si="16"/>
        <v>0</v>
      </c>
      <c r="I40" s="288">
        <f t="shared" si="15"/>
        <v>0</v>
      </c>
      <c r="J40" s="27">
        <f t="shared" si="12"/>
        <v>0</v>
      </c>
    </row>
    <row r="41" spans="1:10" x14ac:dyDescent="0.2">
      <c r="A41" s="62"/>
      <c r="B41" s="21"/>
      <c r="C41" s="21"/>
      <c r="D41" s="21"/>
      <c r="E41" s="21"/>
      <c r="F41" s="21"/>
      <c r="G41" s="21"/>
      <c r="H41" s="21"/>
      <c r="I41" s="21"/>
      <c r="J41" s="27"/>
    </row>
    <row r="42" spans="1:10" x14ac:dyDescent="0.2">
      <c r="A42" s="62" t="s">
        <v>44</v>
      </c>
      <c r="B42" s="21"/>
      <c r="C42" s="21"/>
      <c r="D42" s="21"/>
      <c r="E42" s="21"/>
      <c r="F42" s="21"/>
      <c r="G42" s="21"/>
      <c r="H42" s="21"/>
      <c r="I42" s="21"/>
      <c r="J42" s="27">
        <f>SUM(B42:I42)</f>
        <v>0</v>
      </c>
    </row>
    <row r="43" spans="1:10" x14ac:dyDescent="0.2">
      <c r="A43" s="62" t="s">
        <v>45</v>
      </c>
      <c r="B43" s="21">
        <f t="shared" ref="B43:I44" si="17">B28+B33+B38</f>
        <v>66894</v>
      </c>
      <c r="C43" s="21">
        <f t="shared" si="17"/>
        <v>7784254</v>
      </c>
      <c r="D43" s="21">
        <f t="shared" si="17"/>
        <v>79203</v>
      </c>
      <c r="E43" s="21">
        <f>E28+E33+E38</f>
        <v>0</v>
      </c>
      <c r="F43" s="21">
        <f t="shared" ref="F43:H43" si="18">F28+F33+F38</f>
        <v>67928</v>
      </c>
      <c r="G43" s="21">
        <f t="shared" si="18"/>
        <v>367465</v>
      </c>
      <c r="H43" s="21">
        <f t="shared" si="18"/>
        <v>423079</v>
      </c>
      <c r="I43" s="21">
        <f t="shared" si="17"/>
        <v>1342231</v>
      </c>
      <c r="J43" s="27">
        <f>SUM(B43:I43)</f>
        <v>10131054</v>
      </c>
    </row>
    <row r="44" spans="1:10" x14ac:dyDescent="0.2">
      <c r="A44" s="62" t="s">
        <v>38</v>
      </c>
      <c r="B44" s="14">
        <f t="shared" si="17"/>
        <v>110448</v>
      </c>
      <c r="C44" s="14">
        <f t="shared" si="17"/>
        <v>2978531</v>
      </c>
      <c r="D44" s="14">
        <f t="shared" si="17"/>
        <v>303020</v>
      </c>
      <c r="E44" s="14">
        <f>E29+E34+E39</f>
        <v>0</v>
      </c>
      <c r="F44" s="14">
        <f t="shared" ref="F44:H44" si="19">F29+F34+F39</f>
        <v>0</v>
      </c>
      <c r="G44" s="14">
        <f t="shared" si="19"/>
        <v>0</v>
      </c>
      <c r="H44" s="14">
        <f t="shared" si="19"/>
        <v>0</v>
      </c>
      <c r="I44" s="14">
        <f t="shared" si="17"/>
        <v>1112173</v>
      </c>
      <c r="J44" s="27">
        <f>SUM(B44:I44)</f>
        <v>4504172</v>
      </c>
    </row>
    <row r="45" spans="1:10" ht="15.75" thickBot="1" x14ac:dyDescent="0.3">
      <c r="A45" s="63" t="s">
        <v>46</v>
      </c>
      <c r="B45" s="289">
        <f t="shared" ref="B45:I45" si="20">SUM(B43:B44)</f>
        <v>177342</v>
      </c>
      <c r="C45" s="289">
        <f t="shared" si="20"/>
        <v>10762785</v>
      </c>
      <c r="D45" s="289">
        <f t="shared" si="20"/>
        <v>382223</v>
      </c>
      <c r="E45" s="289">
        <f t="shared" si="20"/>
        <v>0</v>
      </c>
      <c r="F45" s="289">
        <f t="shared" ref="F45:H45" si="21">SUM(F43:F44)</f>
        <v>67928</v>
      </c>
      <c r="G45" s="289">
        <f t="shared" si="21"/>
        <v>367465</v>
      </c>
      <c r="H45" s="289">
        <f t="shared" si="21"/>
        <v>423079</v>
      </c>
      <c r="I45" s="289">
        <f t="shared" si="20"/>
        <v>2454404</v>
      </c>
      <c r="J45" s="290">
        <f>SUM(B45:I45)</f>
        <v>14635226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81" t="s">
        <v>124</v>
      </c>
      <c r="C47" s="319">
        <f>[3]Delta!$FE$70+[3]Delta!$FE$73</f>
        <v>423729</v>
      </c>
      <c r="D47" s="306"/>
      <c r="E47" s="306"/>
      <c r="F47" s="306"/>
      <c r="G47" s="306"/>
      <c r="H47" s="306"/>
      <c r="I47" s="306"/>
      <c r="J47" s="307">
        <f>SUM(B47:I47)</f>
        <v>423729</v>
      </c>
    </row>
    <row r="48" spans="1:10" hidden="1" x14ac:dyDescent="0.2">
      <c r="A48" s="382" t="s">
        <v>125</v>
      </c>
      <c r="C48" s="319">
        <f>[3]Delta!$FE$71+[3]Delta!$FE$74</f>
        <v>493434</v>
      </c>
      <c r="D48" s="306"/>
      <c r="E48" s="306"/>
      <c r="F48" s="306"/>
      <c r="G48" s="306"/>
      <c r="H48" s="306"/>
      <c r="I48" s="306"/>
      <c r="J48" s="307">
        <f>SUM(B48:I48)</f>
        <v>493434</v>
      </c>
    </row>
    <row r="49" spans="1:10" hidden="1" x14ac:dyDescent="0.2">
      <c r="A49" s="383" t="s">
        <v>126</v>
      </c>
      <c r="C49" s="320">
        <f>SUM(C47:C48)</f>
        <v>917163</v>
      </c>
      <c r="J49" s="307">
        <f>SUM(B49:I49)</f>
        <v>917163</v>
      </c>
    </row>
    <row r="50" spans="1:10" x14ac:dyDescent="0.2">
      <c r="A50" s="381" t="s">
        <v>124</v>
      </c>
      <c r="B50" s="393"/>
      <c r="C50" s="322">
        <f>[3]Delta!$FE$70+[3]Delta!$FE$73</f>
        <v>423729</v>
      </c>
      <c r="D50" s="393"/>
      <c r="E50" s="322">
        <f>[3]Spirit!$FE$70+[3]Spirit!$FE$73</f>
        <v>0</v>
      </c>
      <c r="F50" s="393"/>
      <c r="G50" s="393"/>
      <c r="H50" s="393"/>
      <c r="I50" s="321">
        <f>'Other Major Airline Stats'!J48</f>
        <v>178480</v>
      </c>
      <c r="J50" s="310">
        <f>SUM(B50:I50)</f>
        <v>602209</v>
      </c>
    </row>
    <row r="51" spans="1:10" x14ac:dyDescent="0.2">
      <c r="A51" s="395" t="s">
        <v>125</v>
      </c>
      <c r="B51" s="393"/>
      <c r="C51" s="322">
        <f>[3]Delta!$FE$71+[3]Delta!$FE$74</f>
        <v>493434</v>
      </c>
      <c r="D51" s="393"/>
      <c r="E51" s="322">
        <f>[3]Spirit!$FE$71+[3]Spirit!$FE$74</f>
        <v>0</v>
      </c>
      <c r="F51" s="393"/>
      <c r="G51" s="393"/>
      <c r="H51" s="393"/>
      <c r="I51" s="321">
        <f>+'Other Major Airline Stats'!J49</f>
        <v>5463</v>
      </c>
      <c r="J51" s="310">
        <f>SUM(B51:I51)</f>
        <v>498897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June 2017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W49"/>
  <sheetViews>
    <sheetView zoomScaleNormal="100" workbookViewId="0">
      <selection activeCell="G46" sqref="G46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84">
        <v>42887</v>
      </c>
      <c r="B2" s="447" t="s">
        <v>47</v>
      </c>
      <c r="C2" s="447" t="s">
        <v>158</v>
      </c>
      <c r="D2" s="446" t="s">
        <v>205</v>
      </c>
      <c r="E2" s="446" t="s">
        <v>206</v>
      </c>
      <c r="F2" s="447" t="s">
        <v>48</v>
      </c>
      <c r="G2" s="446" t="s">
        <v>132</v>
      </c>
      <c r="H2" s="446" t="s">
        <v>49</v>
      </c>
      <c r="I2" s="446" t="s">
        <v>131</v>
      </c>
      <c r="J2" s="272" t="s">
        <v>61</v>
      </c>
    </row>
    <row r="3" spans="1:13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25"/>
      <c r="I3" s="125"/>
      <c r="J3" s="152"/>
    </row>
    <row r="4" spans="1:13" x14ac:dyDescent="0.2">
      <c r="A4" s="62" t="s">
        <v>29</v>
      </c>
      <c r="B4" s="118"/>
      <c r="C4" s="118"/>
      <c r="D4" s="118"/>
      <c r="E4" s="118"/>
      <c r="F4" s="118"/>
      <c r="G4" s="118"/>
      <c r="H4" s="118"/>
      <c r="I4" s="118"/>
      <c r="J4" s="153"/>
    </row>
    <row r="5" spans="1:13" x14ac:dyDescent="0.2">
      <c r="A5" s="62" t="s">
        <v>30</v>
      </c>
      <c r="B5" s="146">
        <f>[3]Frontier!$FE$22</f>
        <v>10830</v>
      </c>
      <c r="C5" s="146">
        <f>'[3]Great Lakes'!$FE$22</f>
        <v>0</v>
      </c>
      <c r="D5" s="118">
        <f>'[3]Air Choice One'!$FE$22</f>
        <v>458</v>
      </c>
      <c r="E5" s="118">
        <f>'[3]Boutique Air'!$FE$22</f>
        <v>474</v>
      </c>
      <c r="F5" s="146">
        <f>[3]Icelandair!$FE$32</f>
        <v>6688</v>
      </c>
      <c r="G5" s="118">
        <f>[3]Southwest!$FE$22</f>
        <v>94151</v>
      </c>
      <c r="H5" s="118">
        <f>'[3]Sun Country'!$FE$22+'[3]Sun Country'!$FE$32</f>
        <v>97105</v>
      </c>
      <c r="I5" s="118">
        <f>[3]Alaska!$FE$22</f>
        <v>13796</v>
      </c>
      <c r="J5" s="147">
        <f>SUM(B5:I5)</f>
        <v>223502</v>
      </c>
      <c r="M5" s="130"/>
    </row>
    <row r="6" spans="1:13" x14ac:dyDescent="0.2">
      <c r="A6" s="62" t="s">
        <v>31</v>
      </c>
      <c r="B6" s="146">
        <f>[3]Frontier!$FE$23</f>
        <v>11947</v>
      </c>
      <c r="C6" s="146">
        <f>'[3]Great Lakes'!$FE$23</f>
        <v>0</v>
      </c>
      <c r="D6" s="118">
        <f>'[3]Air Choice One'!$FE$23</f>
        <v>465</v>
      </c>
      <c r="E6" s="118">
        <f>'[3]Boutique Air'!$FE$23</f>
        <v>486</v>
      </c>
      <c r="F6" s="146">
        <f>[3]Icelandair!$FE$33</f>
        <v>7011</v>
      </c>
      <c r="G6" s="118">
        <f>[3]Southwest!$FE$23</f>
        <v>88672</v>
      </c>
      <c r="H6" s="118">
        <f>'[3]Sun Country'!$FE$23+'[3]Sun Country'!$FE$33</f>
        <v>95271</v>
      </c>
      <c r="I6" s="118">
        <f>[3]Alaska!$FE$23</f>
        <v>13500</v>
      </c>
      <c r="J6" s="147">
        <f>SUM(B6:I6)</f>
        <v>217352</v>
      </c>
    </row>
    <row r="7" spans="1:13" ht="15" x14ac:dyDescent="0.25">
      <c r="A7" s="60" t="s">
        <v>7</v>
      </c>
      <c r="B7" s="155">
        <f t="shared" ref="B7:I7" si="0">SUM(B5:B6)</f>
        <v>22777</v>
      </c>
      <c r="C7" s="155">
        <f t="shared" si="0"/>
        <v>0</v>
      </c>
      <c r="D7" s="155">
        <f t="shared" ref="D7:E7" si="1">SUM(D5:D6)</f>
        <v>923</v>
      </c>
      <c r="E7" s="155">
        <f t="shared" si="1"/>
        <v>960</v>
      </c>
      <c r="F7" s="155">
        <f t="shared" si="0"/>
        <v>13699</v>
      </c>
      <c r="G7" s="155">
        <f t="shared" si="0"/>
        <v>182823</v>
      </c>
      <c r="H7" s="155">
        <f>SUM(H5:H6)</f>
        <v>192376</v>
      </c>
      <c r="I7" s="155">
        <f t="shared" si="0"/>
        <v>27296</v>
      </c>
      <c r="J7" s="156">
        <f>SUM(B7:I7)</f>
        <v>440854</v>
      </c>
    </row>
    <row r="8" spans="1:13" x14ac:dyDescent="0.2">
      <c r="A8" s="62"/>
      <c r="B8" s="154"/>
      <c r="C8" s="154"/>
      <c r="D8" s="154"/>
      <c r="E8" s="154"/>
      <c r="F8" s="154"/>
      <c r="G8" s="154"/>
      <c r="H8" s="154"/>
      <c r="I8" s="154"/>
      <c r="J8" s="147"/>
    </row>
    <row r="9" spans="1:13" x14ac:dyDescent="0.2">
      <c r="A9" s="62" t="s">
        <v>32</v>
      </c>
      <c r="B9" s="154"/>
      <c r="C9" s="154"/>
      <c r="D9" s="154"/>
      <c r="E9" s="154"/>
      <c r="F9" s="154"/>
      <c r="G9" s="154"/>
      <c r="H9" s="154"/>
      <c r="I9" s="154"/>
      <c r="J9" s="147"/>
    </row>
    <row r="10" spans="1:13" x14ac:dyDescent="0.2">
      <c r="A10" s="62" t="s">
        <v>30</v>
      </c>
      <c r="B10" s="154">
        <f>[3]Frontier!$FE$27</f>
        <v>113</v>
      </c>
      <c r="C10" s="154">
        <f>'[3]Great Lakes'!$FE$27</f>
        <v>0</v>
      </c>
      <c r="D10" s="154">
        <f>'[3]Air Choice One'!$FE$27</f>
        <v>0</v>
      </c>
      <c r="E10" s="154">
        <f>'[3]Boutique Air'!$FE$27</f>
        <v>0</v>
      </c>
      <c r="F10" s="154">
        <f>[3]Icelandair!$FE$37</f>
        <v>31</v>
      </c>
      <c r="G10" s="154">
        <f>[3]Southwest!$FE$27</f>
        <v>1561</v>
      </c>
      <c r="H10" s="154">
        <f>'[3]Sun Country'!$FE$27+'[3]Sun Country'!$FE$37</f>
        <v>2162</v>
      </c>
      <c r="I10" s="154">
        <f>[3]Alaska!$FE$27</f>
        <v>522</v>
      </c>
      <c r="J10" s="147">
        <f>SUM(B10:I10)</f>
        <v>4389</v>
      </c>
    </row>
    <row r="11" spans="1:13" x14ac:dyDescent="0.2">
      <c r="A11" s="62" t="s">
        <v>33</v>
      </c>
      <c r="B11" s="157">
        <f>[3]Frontier!$FE$28</f>
        <v>149</v>
      </c>
      <c r="C11" s="157">
        <f>'[3]Great Lakes'!$FE$28</f>
        <v>0</v>
      </c>
      <c r="D11" s="157">
        <f>'[3]Air Choice One'!$FE$28</f>
        <v>0</v>
      </c>
      <c r="E11" s="157">
        <f>'[3]Boutique Air'!$FE$28</f>
        <v>0</v>
      </c>
      <c r="F11" s="157">
        <f>[3]Icelandair!$FE$38</f>
        <v>28</v>
      </c>
      <c r="G11" s="157">
        <f>[3]Southwest!$FE$28</f>
        <v>1640</v>
      </c>
      <c r="H11" s="157">
        <f>'[3]Sun Country'!$FE$28+'[3]Sun Country'!$FE$38</f>
        <v>1991</v>
      </c>
      <c r="I11" s="157">
        <f>[3]Alaska!$FE$28</f>
        <v>491</v>
      </c>
      <c r="J11" s="147">
        <f>SUM(B11:I11)</f>
        <v>4299</v>
      </c>
    </row>
    <row r="12" spans="1:13" ht="15.75" thickBot="1" x14ac:dyDescent="0.3">
      <c r="A12" s="63" t="s">
        <v>34</v>
      </c>
      <c r="B12" s="150">
        <f t="shared" ref="B12:I12" si="2">SUM(B10:B11)</f>
        <v>262</v>
      </c>
      <c r="C12" s="150">
        <f t="shared" si="2"/>
        <v>0</v>
      </c>
      <c r="D12" s="150">
        <f t="shared" ref="D12:E12" si="3">SUM(D10:D11)</f>
        <v>0</v>
      </c>
      <c r="E12" s="150">
        <f t="shared" si="3"/>
        <v>0</v>
      </c>
      <c r="F12" s="150">
        <f t="shared" si="2"/>
        <v>59</v>
      </c>
      <c r="G12" s="150">
        <f t="shared" si="2"/>
        <v>3201</v>
      </c>
      <c r="H12" s="150">
        <f>SUM(H10:H11)</f>
        <v>4153</v>
      </c>
      <c r="I12" s="150">
        <f t="shared" si="2"/>
        <v>1013</v>
      </c>
      <c r="J12" s="158">
        <f>SUM(B12:I12)</f>
        <v>8688</v>
      </c>
      <c r="M12" s="130"/>
    </row>
    <row r="13" spans="1:13" ht="15" x14ac:dyDescent="0.25">
      <c r="A13" s="59"/>
      <c r="B13" s="292"/>
      <c r="C13" s="292"/>
      <c r="D13" s="292"/>
      <c r="E13" s="292"/>
      <c r="F13" s="292"/>
      <c r="G13" s="292"/>
      <c r="H13" s="292"/>
      <c r="I13" s="292"/>
      <c r="J13" s="293"/>
    </row>
    <row r="14" spans="1:13" ht="13.5" thickBot="1" x14ac:dyDescent="0.25"/>
    <row r="15" spans="1:13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x14ac:dyDescent="0.2">
      <c r="A16" s="62" t="s">
        <v>22</v>
      </c>
      <c r="B16" s="146">
        <f>[3]Frontier!$FE$4</f>
        <v>90</v>
      </c>
      <c r="C16" s="146">
        <f>'[3]Great Lakes'!$FE$4</f>
        <v>0</v>
      </c>
      <c r="D16" s="106">
        <f>'[3]Air Choice One'!$FE$4</f>
        <v>125</v>
      </c>
      <c r="E16" s="106">
        <f>'[3]Boutique Air'!$FE$4</f>
        <v>75</v>
      </c>
      <c r="F16" s="146">
        <f>[3]Icelandair!$FE$15</f>
        <v>29</v>
      </c>
      <c r="G16" s="106">
        <f>[3]Southwest!$FE$4</f>
        <v>752</v>
      </c>
      <c r="H16" s="118">
        <f>'[3]Sun Country'!$FE$4+'[3]Sun Country'!$FE$15</f>
        <v>730</v>
      </c>
      <c r="I16" s="118">
        <f>[3]Alaska!$FE$4</f>
        <v>89</v>
      </c>
      <c r="J16" s="147">
        <f>SUM(B16:I16)</f>
        <v>1890</v>
      </c>
    </row>
    <row r="17" spans="1:257" x14ac:dyDescent="0.2">
      <c r="A17" s="62" t="s">
        <v>23</v>
      </c>
      <c r="B17" s="146">
        <f>[3]Frontier!$FE$5</f>
        <v>90</v>
      </c>
      <c r="C17" s="146">
        <f>'[3]Great Lakes'!$FE$5</f>
        <v>0</v>
      </c>
      <c r="D17" s="106">
        <f>'[3]Air Choice One'!$FE$5</f>
        <v>125</v>
      </c>
      <c r="E17" s="106">
        <f>'[3]Boutique Air'!$FE$5</f>
        <v>75</v>
      </c>
      <c r="F17" s="146">
        <f>[3]Icelandair!$FE$16</f>
        <v>29</v>
      </c>
      <c r="G17" s="106">
        <f>[3]Southwest!$FE$5</f>
        <v>753</v>
      </c>
      <c r="H17" s="118">
        <f>'[3]Sun Country'!$FE$5+'[3]Sun Country'!$FE$16</f>
        <v>732</v>
      </c>
      <c r="I17" s="118">
        <f>[3]Alaska!$FE$5</f>
        <v>89</v>
      </c>
      <c r="J17" s="147">
        <f>SUM(B17:I17)</f>
        <v>1893</v>
      </c>
      <c r="N17" s="517"/>
    </row>
    <row r="18" spans="1:257" x14ac:dyDescent="0.2">
      <c r="A18" s="66" t="s">
        <v>24</v>
      </c>
      <c r="B18" s="148">
        <f t="shared" ref="B18:I18" si="4">SUM(B16:B17)</f>
        <v>180</v>
      </c>
      <c r="C18" s="148">
        <f t="shared" si="4"/>
        <v>0</v>
      </c>
      <c r="D18" s="148">
        <f t="shared" ref="D18:E18" si="5">SUM(D16:D17)</f>
        <v>250</v>
      </c>
      <c r="E18" s="148">
        <f t="shared" si="5"/>
        <v>150</v>
      </c>
      <c r="F18" s="148">
        <f t="shared" si="4"/>
        <v>58</v>
      </c>
      <c r="G18" s="148">
        <f t="shared" si="4"/>
        <v>1505</v>
      </c>
      <c r="H18" s="148">
        <f t="shared" si="4"/>
        <v>1462</v>
      </c>
      <c r="I18" s="148">
        <f t="shared" si="4"/>
        <v>178</v>
      </c>
      <c r="J18" s="149">
        <f>SUM(B18:I18)</f>
        <v>3783</v>
      </c>
    </row>
    <row r="19" spans="1:257" x14ac:dyDescent="0.2">
      <c r="A19" s="66"/>
      <c r="B19" s="116"/>
      <c r="C19" s="116"/>
      <c r="D19" s="116"/>
      <c r="E19" s="116"/>
      <c r="F19" s="116"/>
      <c r="G19" s="116"/>
      <c r="H19" s="116"/>
      <c r="I19" s="116"/>
      <c r="J19" s="147"/>
    </row>
    <row r="20" spans="1:257" x14ac:dyDescent="0.2">
      <c r="A20" s="62" t="s">
        <v>25</v>
      </c>
      <c r="B20" s="146">
        <f>[3]Frontier!$FE$8</f>
        <v>0</v>
      </c>
      <c r="C20" s="146">
        <f>'[3]Great Lakes'!$FE$8</f>
        <v>0</v>
      </c>
      <c r="D20" s="118">
        <f>'[3]Air Choice One'!$FE$8</f>
        <v>0</v>
      </c>
      <c r="E20" s="118">
        <f>'[3]Boutique Air'!$FE$8</f>
        <v>0</v>
      </c>
      <c r="F20" s="146">
        <f>[3]Icelandair!$FE$8</f>
        <v>0</v>
      </c>
      <c r="G20" s="118">
        <f>[3]Southwest!$FE$8</f>
        <v>1</v>
      </c>
      <c r="H20" s="118">
        <f>'[3]Sun Country'!$FE$8</f>
        <v>84</v>
      </c>
      <c r="I20" s="118">
        <f>[3]Alaska!$FE$8</f>
        <v>0</v>
      </c>
      <c r="J20" s="147">
        <f>SUM(B20:I20)</f>
        <v>85</v>
      </c>
    </row>
    <row r="21" spans="1:257" x14ac:dyDescent="0.2">
      <c r="A21" s="62" t="s">
        <v>26</v>
      </c>
      <c r="B21" s="146">
        <f>[3]Frontier!$FE$9</f>
        <v>0</v>
      </c>
      <c r="C21" s="146">
        <f>'[3]Great Lakes'!$FE$9</f>
        <v>0</v>
      </c>
      <c r="D21" s="118">
        <f>'[3]Air Choice One'!$FE$9</f>
        <v>0</v>
      </c>
      <c r="E21" s="118">
        <f>'[3]Boutique Air'!$FE$9</f>
        <v>0</v>
      </c>
      <c r="F21" s="146">
        <f>[3]Icelandair!$FE$9</f>
        <v>0</v>
      </c>
      <c r="G21" s="118">
        <f>[3]Southwest!$FE$9</f>
        <v>3</v>
      </c>
      <c r="H21" s="118">
        <f>'[3]Sun Country'!$FE$9</f>
        <v>80</v>
      </c>
      <c r="I21" s="118">
        <f>[3]Alaska!$FE$9</f>
        <v>0</v>
      </c>
      <c r="J21" s="147">
        <f>SUM(B21:I21)</f>
        <v>83</v>
      </c>
    </row>
    <row r="22" spans="1:257" x14ac:dyDescent="0.2">
      <c r="A22" s="66" t="s">
        <v>27</v>
      </c>
      <c r="B22" s="148">
        <f t="shared" ref="B22:I22" si="6">SUM(B20:B21)</f>
        <v>0</v>
      </c>
      <c r="C22" s="148">
        <f t="shared" si="6"/>
        <v>0</v>
      </c>
      <c r="D22" s="148">
        <f t="shared" ref="D22:E22" si="7">SUM(D20:D21)</f>
        <v>0</v>
      </c>
      <c r="E22" s="148">
        <f t="shared" si="7"/>
        <v>0</v>
      </c>
      <c r="F22" s="148">
        <f t="shared" si="6"/>
        <v>0</v>
      </c>
      <c r="G22" s="148">
        <f t="shared" si="6"/>
        <v>4</v>
      </c>
      <c r="H22" s="148">
        <f t="shared" si="6"/>
        <v>164</v>
      </c>
      <c r="I22" s="148">
        <f t="shared" si="6"/>
        <v>0</v>
      </c>
      <c r="J22" s="149">
        <f>SUM(B22:I22)</f>
        <v>168</v>
      </c>
    </row>
    <row r="23" spans="1:257" ht="15.75" thickBot="1" x14ac:dyDescent="0.3">
      <c r="A23" s="63" t="s">
        <v>28</v>
      </c>
      <c r="B23" s="150">
        <f t="shared" ref="B23:I23" si="8">B22+B18</f>
        <v>180</v>
      </c>
      <c r="C23" s="150">
        <f t="shared" si="8"/>
        <v>0</v>
      </c>
      <c r="D23" s="150">
        <f t="shared" ref="D23:E23" si="9">D22+D18</f>
        <v>250</v>
      </c>
      <c r="E23" s="150">
        <f t="shared" si="9"/>
        <v>150</v>
      </c>
      <c r="F23" s="150">
        <f t="shared" si="8"/>
        <v>58</v>
      </c>
      <c r="G23" s="150">
        <f t="shared" si="8"/>
        <v>1509</v>
      </c>
      <c r="H23" s="150">
        <f t="shared" si="8"/>
        <v>1626</v>
      </c>
      <c r="I23" s="150">
        <f t="shared" si="8"/>
        <v>178</v>
      </c>
      <c r="J23" s="151">
        <f>SUM(B23:I23)</f>
        <v>3951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19"/>
      <c r="C25" s="419"/>
      <c r="D25" s="419"/>
      <c r="E25" s="419"/>
      <c r="F25" s="419"/>
      <c r="G25" s="419"/>
      <c r="H25" s="419"/>
      <c r="I25" s="419"/>
      <c r="J25" s="130"/>
    </row>
    <row r="26" spans="1:257" ht="15.75" thickTop="1" x14ac:dyDescent="0.25">
      <c r="A26" s="65" t="s">
        <v>35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257" x14ac:dyDescent="0.2">
      <c r="A27" s="62" t="s">
        <v>36</v>
      </c>
      <c r="B27" s="161"/>
      <c r="C27" s="161"/>
      <c r="D27" s="161"/>
      <c r="E27" s="161"/>
      <c r="F27" s="161"/>
      <c r="G27" s="161"/>
      <c r="H27" s="161"/>
      <c r="I27" s="161"/>
      <c r="J27" s="153"/>
    </row>
    <row r="28" spans="1:257" x14ac:dyDescent="0.2">
      <c r="A28" s="62" t="s">
        <v>37</v>
      </c>
      <c r="B28" s="146">
        <f>[3]Frontier!$FE$47</f>
        <v>0</v>
      </c>
      <c r="C28" s="146">
        <f>'[3]Great Lakes'!$FE$47</f>
        <v>0</v>
      </c>
      <c r="D28" s="118">
        <f>'[3]Air Choice One'!$FE$47</f>
        <v>0</v>
      </c>
      <c r="E28" s="118">
        <f>'[3]Boutique Air'!$FE$47</f>
        <v>0</v>
      </c>
      <c r="F28" s="146">
        <f>[3]Icelandair!$FE$47</f>
        <v>161726</v>
      </c>
      <c r="G28" s="118">
        <f>[3]Southwest!$FE$47</f>
        <v>209835</v>
      </c>
      <c r="H28" s="118">
        <f>'[3]Sun Country'!$FE$47</f>
        <v>427795</v>
      </c>
      <c r="I28" s="118">
        <f>[3]Alaska!$FE$47</f>
        <v>31546</v>
      </c>
      <c r="J28" s="147">
        <f>SUM(B28:I28)</f>
        <v>830902</v>
      </c>
    </row>
    <row r="29" spans="1:257" x14ac:dyDescent="0.2">
      <c r="A29" s="62" t="s">
        <v>38</v>
      </c>
      <c r="B29" s="146">
        <f>[3]Frontier!$FE$48</f>
        <v>0</v>
      </c>
      <c r="C29" s="146">
        <f>'[3]Great Lakes'!$FE$48</f>
        <v>0</v>
      </c>
      <c r="D29" s="118">
        <f>'[3]Air Choice One'!$FE$48</f>
        <v>0</v>
      </c>
      <c r="E29" s="118">
        <f>'[3]Boutique Air'!$FE$48</f>
        <v>0</v>
      </c>
      <c r="F29" s="146">
        <f>[3]Icelandair!$FE$48</f>
        <v>0</v>
      </c>
      <c r="G29" s="118">
        <f>[3]Southwest!$FE$48</f>
        <v>0</v>
      </c>
      <c r="H29" s="118">
        <f>'[3]Sun Country'!$FE$48</f>
        <v>348390</v>
      </c>
      <c r="I29" s="118">
        <f>[3]Alaska!$FE$48</f>
        <v>50713</v>
      </c>
      <c r="J29" s="147">
        <f>SUM(B29:I29)</f>
        <v>399103</v>
      </c>
    </row>
    <row r="30" spans="1:257" x14ac:dyDescent="0.2">
      <c r="A30" s="66" t="s">
        <v>39</v>
      </c>
      <c r="B30" s="162">
        <f t="shared" ref="B30:I30" si="10">SUM(B28:B29)</f>
        <v>0</v>
      </c>
      <c r="C30" s="162">
        <f t="shared" si="10"/>
        <v>0</v>
      </c>
      <c r="D30" s="162">
        <f t="shared" ref="D30:E30" si="11">SUM(D28:D29)</f>
        <v>0</v>
      </c>
      <c r="E30" s="162">
        <f t="shared" si="11"/>
        <v>0</v>
      </c>
      <c r="F30" s="162">
        <f t="shared" si="10"/>
        <v>161726</v>
      </c>
      <c r="G30" s="162">
        <f t="shared" si="10"/>
        <v>209835</v>
      </c>
      <c r="H30" s="162">
        <f t="shared" si="10"/>
        <v>776185</v>
      </c>
      <c r="I30" s="162">
        <f t="shared" si="10"/>
        <v>82259</v>
      </c>
      <c r="J30" s="165">
        <f>SUM(B30:I30)</f>
        <v>1230005</v>
      </c>
    </row>
    <row r="31" spans="1:257" x14ac:dyDescent="0.2">
      <c r="A31" s="62"/>
      <c r="B31" s="154"/>
      <c r="C31" s="154"/>
      <c r="D31" s="154"/>
      <c r="E31" s="154"/>
      <c r="F31" s="154"/>
      <c r="G31" s="154"/>
      <c r="H31" s="154"/>
      <c r="I31" s="154"/>
      <c r="J31" s="147"/>
    </row>
    <row r="32" spans="1:257" x14ac:dyDescent="0.2">
      <c r="A32" s="62" t="s">
        <v>40</v>
      </c>
      <c r="B32" s="146"/>
      <c r="C32" s="146"/>
      <c r="D32" s="118"/>
      <c r="E32" s="118"/>
      <c r="F32" s="146"/>
      <c r="G32" s="118"/>
      <c r="H32" s="118"/>
      <c r="I32" s="118"/>
      <c r="J32" s="147"/>
    </row>
    <row r="33" spans="1:10" x14ac:dyDescent="0.2">
      <c r="A33" s="62" t="s">
        <v>37</v>
      </c>
      <c r="B33" s="146">
        <f>[3]Frontier!$FE$52</f>
        <v>0</v>
      </c>
      <c r="C33" s="146">
        <f>'[3]Great Lakes'!$FE$52</f>
        <v>0</v>
      </c>
      <c r="D33" s="118">
        <f>'[3]Air Choice One'!$FE$52</f>
        <v>0</v>
      </c>
      <c r="E33" s="118">
        <f>'[3]Boutique Air'!$FE$52</f>
        <v>0</v>
      </c>
      <c r="F33" s="146">
        <f>[3]Icelandair!$FE$52</f>
        <v>85857</v>
      </c>
      <c r="G33" s="118">
        <f>[3]Southwest!$FE$52</f>
        <v>119994</v>
      </c>
      <c r="H33" s="118">
        <f>'[3]Sun Country'!$FE$52</f>
        <v>297865</v>
      </c>
      <c r="I33" s="118">
        <f>[3]Alaska!$FE$52</f>
        <v>7613</v>
      </c>
      <c r="J33" s="147">
        <f>SUM(B33:I33)</f>
        <v>511329</v>
      </c>
    </row>
    <row r="34" spans="1:10" x14ac:dyDescent="0.2">
      <c r="A34" s="62" t="s">
        <v>38</v>
      </c>
      <c r="B34" s="146">
        <f>[3]Frontier!$FE$53</f>
        <v>0</v>
      </c>
      <c r="C34" s="146">
        <f>'[3]Great Lakes'!$FE$53</f>
        <v>0</v>
      </c>
      <c r="D34" s="118">
        <f>'[3]Air Choice One'!$FE$53</f>
        <v>0</v>
      </c>
      <c r="E34" s="118">
        <f>'[3]Boutique Air'!$FE$53</f>
        <v>0</v>
      </c>
      <c r="F34" s="146">
        <f>[3]Icelandair!$FE$53</f>
        <v>0</v>
      </c>
      <c r="G34" s="118">
        <f>[3]Southwest!$FE$53</f>
        <v>0</v>
      </c>
      <c r="H34" s="118">
        <f>'[3]Sun Country'!$FE$53</f>
        <v>709508</v>
      </c>
      <c r="I34" s="118">
        <f>[3]Alaska!$FE$53</f>
        <v>3562</v>
      </c>
      <c r="J34" s="163">
        <f>SUM(B34:I34)</f>
        <v>713070</v>
      </c>
    </row>
    <row r="35" spans="1:10" x14ac:dyDescent="0.2">
      <c r="A35" s="66" t="s">
        <v>41</v>
      </c>
      <c r="B35" s="164">
        <f t="shared" ref="B35:I35" si="12">SUM(B33:B34)</f>
        <v>0</v>
      </c>
      <c r="C35" s="164">
        <f t="shared" si="12"/>
        <v>0</v>
      </c>
      <c r="D35" s="164">
        <f t="shared" ref="D35:E35" si="13">SUM(D33:D34)</f>
        <v>0</v>
      </c>
      <c r="E35" s="164">
        <f t="shared" si="13"/>
        <v>0</v>
      </c>
      <c r="F35" s="164">
        <f t="shared" si="12"/>
        <v>85857</v>
      </c>
      <c r="G35" s="164">
        <f t="shared" si="12"/>
        <v>119994</v>
      </c>
      <c r="H35" s="164">
        <f t="shared" si="12"/>
        <v>1007373</v>
      </c>
      <c r="I35" s="164">
        <f t="shared" si="12"/>
        <v>11175</v>
      </c>
      <c r="J35" s="165">
        <f>SUM(B35:I35)</f>
        <v>1224399</v>
      </c>
    </row>
    <row r="36" spans="1:10" hidden="1" x14ac:dyDescent="0.2">
      <c r="A36" s="62"/>
      <c r="B36" s="154"/>
      <c r="C36" s="154"/>
      <c r="D36" s="154"/>
      <c r="E36" s="154"/>
      <c r="F36" s="154"/>
      <c r="G36" s="154"/>
      <c r="H36" s="154"/>
      <c r="I36" s="154"/>
      <c r="J36" s="147"/>
    </row>
    <row r="37" spans="1:10" hidden="1" x14ac:dyDescent="0.2">
      <c r="A37" s="62" t="s">
        <v>42</v>
      </c>
      <c r="B37" s="154"/>
      <c r="C37" s="154"/>
      <c r="D37" s="154"/>
      <c r="E37" s="154"/>
      <c r="F37" s="154"/>
      <c r="G37" s="154"/>
      <c r="H37" s="154"/>
      <c r="I37" s="154"/>
      <c r="J37" s="147"/>
    </row>
    <row r="38" spans="1:10" hidden="1" x14ac:dyDescent="0.2">
      <c r="A38" s="62" t="s">
        <v>37</v>
      </c>
      <c r="B38" s="154">
        <f>[3]Frontier!$FE$57</f>
        <v>0</v>
      </c>
      <c r="C38" s="154">
        <f>'[3]Great Lakes'!$FE$57</f>
        <v>0</v>
      </c>
      <c r="D38" s="154">
        <f>'[3]Air Choice One'!$FE$57</f>
        <v>0</v>
      </c>
      <c r="E38" s="154">
        <f>'[3]Boutique Air'!$FE$57</f>
        <v>0</v>
      </c>
      <c r="F38" s="154">
        <f>[3]Icelandair!$FE$57</f>
        <v>0</v>
      </c>
      <c r="G38" s="154">
        <f>[3]Southwest!$FE$57</f>
        <v>0</v>
      </c>
      <c r="H38" s="154">
        <f>'[3]Sun Country'!$FE$57</f>
        <v>0</v>
      </c>
      <c r="I38" s="154">
        <f>[3]Alaska!$FE$57</f>
        <v>0</v>
      </c>
      <c r="J38" s="147">
        <f>SUM(B38:H38)</f>
        <v>0</v>
      </c>
    </row>
    <row r="39" spans="1:10" hidden="1" x14ac:dyDescent="0.2">
      <c r="A39" s="62" t="s">
        <v>38</v>
      </c>
      <c r="B39" s="157">
        <f>[3]Frontier!$FE$58</f>
        <v>0</v>
      </c>
      <c r="C39" s="157">
        <f>'[3]Great Lakes'!$FE$58</f>
        <v>0</v>
      </c>
      <c r="D39" s="157">
        <f>'[3]Air Choice One'!$FE$58</f>
        <v>0</v>
      </c>
      <c r="E39" s="157">
        <f>'[3]Boutique Air'!$FE$58</f>
        <v>0</v>
      </c>
      <c r="F39" s="157">
        <f>[3]Icelandair!$FE$58</f>
        <v>0</v>
      </c>
      <c r="G39" s="157">
        <f>[3]Southwest!$FE$58</f>
        <v>0</v>
      </c>
      <c r="H39" s="157">
        <f>'[3]Sun Country'!$FE$58</f>
        <v>0</v>
      </c>
      <c r="I39" s="157">
        <f>[3]Alaska!$FE$58</f>
        <v>0</v>
      </c>
      <c r="J39" s="163">
        <f>SUM(B39:H39)</f>
        <v>0</v>
      </c>
    </row>
    <row r="40" spans="1:10" hidden="1" x14ac:dyDescent="0.2">
      <c r="A40" s="66" t="s">
        <v>43</v>
      </c>
      <c r="B40" s="166">
        <f t="shared" ref="B40:I40" si="14">SUM(B38:B39)</f>
        <v>0</v>
      </c>
      <c r="C40" s="166">
        <f t="shared" si="14"/>
        <v>0</v>
      </c>
      <c r="D40" s="166">
        <f t="shared" ref="D40:E40" si="15">SUM(D38:D39)</f>
        <v>0</v>
      </c>
      <c r="E40" s="166">
        <f t="shared" si="15"/>
        <v>0</v>
      </c>
      <c r="F40" s="166">
        <f t="shared" si="14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47">
        <f>SUM(B40:H40)</f>
        <v>0</v>
      </c>
    </row>
    <row r="41" spans="1:10" x14ac:dyDescent="0.2">
      <c r="A41" s="62"/>
      <c r="B41" s="154"/>
      <c r="C41" s="154"/>
      <c r="D41" s="154"/>
      <c r="E41" s="154"/>
      <c r="F41" s="154"/>
      <c r="G41" s="154"/>
      <c r="H41" s="154"/>
      <c r="I41" s="154"/>
      <c r="J41" s="147"/>
    </row>
    <row r="42" spans="1:10" x14ac:dyDescent="0.2">
      <c r="A42" s="62" t="s">
        <v>44</v>
      </c>
      <c r="B42" s="154"/>
      <c r="C42" s="154"/>
      <c r="D42" s="154"/>
      <c r="E42" s="154"/>
      <c r="F42" s="154"/>
      <c r="G42" s="154"/>
      <c r="H42" s="154"/>
      <c r="I42" s="154"/>
      <c r="J42" s="147"/>
    </row>
    <row r="43" spans="1:10" x14ac:dyDescent="0.2">
      <c r="A43" s="62" t="s">
        <v>45</v>
      </c>
      <c r="B43" s="154">
        <f t="shared" ref="B43:I43" si="16">B28+B33+B38</f>
        <v>0</v>
      </c>
      <c r="C43" s="154">
        <f>C28+C33+C38</f>
        <v>0</v>
      </c>
      <c r="D43" s="154">
        <f t="shared" ref="D43:E43" si="17">D28+D33+D38</f>
        <v>0</v>
      </c>
      <c r="E43" s="154">
        <f t="shared" si="17"/>
        <v>0</v>
      </c>
      <c r="F43" s="154">
        <f t="shared" si="16"/>
        <v>247583</v>
      </c>
      <c r="G43" s="154">
        <f t="shared" si="16"/>
        <v>329829</v>
      </c>
      <c r="H43" s="154">
        <f t="shared" si="16"/>
        <v>725660</v>
      </c>
      <c r="I43" s="154">
        <f t="shared" si="16"/>
        <v>39159</v>
      </c>
      <c r="J43" s="147">
        <f>SUM(B43:I43)</f>
        <v>1342231</v>
      </c>
    </row>
    <row r="44" spans="1:10" x14ac:dyDescent="0.2">
      <c r="A44" s="62" t="s">
        <v>38</v>
      </c>
      <c r="B44" s="157">
        <f t="shared" ref="B44:I44" si="18">+B39+B34+B29</f>
        <v>0</v>
      </c>
      <c r="C44" s="157">
        <f>+C39+C34+C29</f>
        <v>0</v>
      </c>
      <c r="D44" s="157">
        <f t="shared" ref="D44:E44" si="19">+D39+D34+D29</f>
        <v>0</v>
      </c>
      <c r="E44" s="157">
        <f t="shared" si="19"/>
        <v>0</v>
      </c>
      <c r="F44" s="157">
        <f t="shared" si="18"/>
        <v>0</v>
      </c>
      <c r="G44" s="157">
        <f t="shared" si="18"/>
        <v>0</v>
      </c>
      <c r="H44" s="157">
        <f t="shared" si="18"/>
        <v>1057898</v>
      </c>
      <c r="I44" s="157">
        <f t="shared" si="18"/>
        <v>54275</v>
      </c>
      <c r="J44" s="147">
        <f>SUM(B44:I44)</f>
        <v>1112173</v>
      </c>
    </row>
    <row r="45" spans="1:10" ht="15.75" thickBot="1" x14ac:dyDescent="0.3">
      <c r="A45" s="63" t="s">
        <v>46</v>
      </c>
      <c r="B45" s="167">
        <f t="shared" ref="B45:I45" si="20">B43+B44</f>
        <v>0</v>
      </c>
      <c r="C45" s="167">
        <f t="shared" si="20"/>
        <v>0</v>
      </c>
      <c r="D45" s="167">
        <f t="shared" ref="D45:E45" si="21">D43+D44</f>
        <v>0</v>
      </c>
      <c r="E45" s="167">
        <f t="shared" si="21"/>
        <v>0</v>
      </c>
      <c r="F45" s="167">
        <f t="shared" si="20"/>
        <v>247583</v>
      </c>
      <c r="G45" s="167">
        <f t="shared" si="20"/>
        <v>329829</v>
      </c>
      <c r="H45" s="167">
        <f t="shared" si="20"/>
        <v>1783558</v>
      </c>
      <c r="I45" s="167">
        <f t="shared" si="20"/>
        <v>93434</v>
      </c>
      <c r="J45" s="168">
        <f>SUM(B45:I45)</f>
        <v>2454404</v>
      </c>
    </row>
    <row r="48" spans="1:10" x14ac:dyDescent="0.2">
      <c r="A48" s="381" t="s">
        <v>124</v>
      </c>
      <c r="B48" s="393"/>
      <c r="C48" s="393"/>
      <c r="D48" s="393"/>
      <c r="E48" s="393"/>
      <c r="G48" s="322">
        <f>[3]Southwest!$FE$70+[3]Southwest!$FE$73</f>
        <v>88313</v>
      </c>
      <c r="H48" s="322">
        <f>'[3]Sun Country'!$FE$70+'[3]Sun Country'!$FE$73</f>
        <v>90167</v>
      </c>
      <c r="I48" s="393"/>
      <c r="J48" s="310">
        <f>SUM(B48:I48)</f>
        <v>178480</v>
      </c>
    </row>
    <row r="49" spans="1:10" x14ac:dyDescent="0.2">
      <c r="A49" s="395" t="s">
        <v>125</v>
      </c>
      <c r="B49" s="393"/>
      <c r="C49" s="393"/>
      <c r="D49" s="393"/>
      <c r="E49" s="393"/>
      <c r="G49" s="322">
        <f>[3]Southwest!$FE$71+[3]Southwest!$FE$74</f>
        <v>359</v>
      </c>
      <c r="H49" s="322">
        <f>'[3]Sun Country'!$FE$71+'[3]Sun Country'!$FE$74</f>
        <v>5104</v>
      </c>
      <c r="I49" s="393"/>
      <c r="J49" s="310">
        <f>SUM(B49:I49)</f>
        <v>5463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June 2017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Normal="100" workbookViewId="0">
      <selection activeCell="H20" sqref="H20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s="7" customFormat="1" x14ac:dyDescent="0.2">
      <c r="A1" s="391"/>
    </row>
    <row r="2" spans="1:13" s="7" customFormat="1" ht="51.75" thickBot="1" x14ac:dyDescent="0.25">
      <c r="A2" s="384">
        <v>42887</v>
      </c>
      <c r="B2" s="445" t="s">
        <v>162</v>
      </c>
      <c r="C2" s="445" t="s">
        <v>165</v>
      </c>
      <c r="D2" s="445" t="s">
        <v>184</v>
      </c>
      <c r="E2" s="445" t="s">
        <v>183</v>
      </c>
      <c r="F2" s="445" t="s">
        <v>185</v>
      </c>
      <c r="G2" s="445" t="s">
        <v>221</v>
      </c>
      <c r="H2" s="445" t="s">
        <v>189</v>
      </c>
      <c r="I2" s="445" t="s">
        <v>207</v>
      </c>
      <c r="J2" s="445" t="s">
        <v>208</v>
      </c>
      <c r="K2" s="445" t="s">
        <v>188</v>
      </c>
      <c r="L2" s="19" t="s">
        <v>118</v>
      </c>
      <c r="M2" s="19" t="s">
        <v>21</v>
      </c>
    </row>
    <row r="3" spans="1:13" ht="15.75" thickTop="1" x14ac:dyDescent="0.25">
      <c r="A3" s="279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5"/>
      <c r="M3" s="127"/>
    </row>
    <row r="4" spans="1:13" x14ac:dyDescent="0.2">
      <c r="A4" s="62" t="s">
        <v>29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30"/>
      <c r="M4" s="110"/>
    </row>
    <row r="5" spans="1:13" x14ac:dyDescent="0.2">
      <c r="A5" s="62" t="s">
        <v>30</v>
      </c>
      <c r="B5" s="131">
        <f>[3]Pinnacle!$FE$22+[3]Pinnacle!$FE$32</f>
        <v>94470</v>
      </c>
      <c r="C5" s="132">
        <f>[3]MESA_UA!$FE$22</f>
        <v>8820</v>
      </c>
      <c r="D5" s="130">
        <f>'[3]Sky West'!$FE$22+'[3]Sky West'!$FE$32</f>
        <v>144204</v>
      </c>
      <c r="E5" s="130">
        <f>'[3]Sky West_UA'!$FE$22</f>
        <v>7169</v>
      </c>
      <c r="F5" s="130">
        <f>'[3]Sky West_AS'!$FE$22</f>
        <v>2088</v>
      </c>
      <c r="G5" s="130">
        <f>'[3]Sky West_AA'!$FE$22</f>
        <v>246</v>
      </c>
      <c r="H5" s="130">
        <f>[3]Republic!$FE$22</f>
        <v>11977</v>
      </c>
      <c r="I5" s="130">
        <f>[3]Republic_UA!$FE$22</f>
        <v>10607</v>
      </c>
      <c r="J5" s="130">
        <f>'[3]Air Georgian'!$FE$32</f>
        <v>1648</v>
      </c>
      <c r="K5" s="130">
        <f>'[3]American Eagle'!$FE$22</f>
        <v>218</v>
      </c>
      <c r="L5" s="130">
        <f>'Other Regional'!M5</f>
        <v>57918</v>
      </c>
      <c r="M5" s="110">
        <f>SUM(B5:L5)</f>
        <v>339365</v>
      </c>
    </row>
    <row r="6" spans="1:13" s="10" customFormat="1" x14ac:dyDescent="0.2">
      <c r="A6" s="62" t="s">
        <v>31</v>
      </c>
      <c r="B6" s="131">
        <f>[3]Pinnacle!$FE$23+[3]Pinnacle!$FE$33</f>
        <v>92802</v>
      </c>
      <c r="C6" s="132">
        <f>[3]MESA_UA!$FE$23</f>
        <v>8427</v>
      </c>
      <c r="D6" s="130">
        <f>'[3]Sky West'!$FE$23+'[3]Sky West'!$FE$33</f>
        <v>146833</v>
      </c>
      <c r="E6" s="130">
        <f>'[3]Sky West_UA'!$FE$23</f>
        <v>7044</v>
      </c>
      <c r="F6" s="130">
        <f>'[3]Sky West_AS'!$FE$23</f>
        <v>1974</v>
      </c>
      <c r="G6" s="130">
        <f>'[3]Sky West_AA'!$FE$23</f>
        <v>236</v>
      </c>
      <c r="H6" s="130">
        <f>[3]Republic!$FE$23</f>
        <v>12225</v>
      </c>
      <c r="I6" s="130">
        <f>[3]Republic_UA!$FE$23</f>
        <v>11131</v>
      </c>
      <c r="J6" s="130">
        <f>'[3]Air Georgian'!$FE$33</f>
        <v>1877</v>
      </c>
      <c r="K6" s="130">
        <f>'[3]American Eagle'!$FE$23</f>
        <v>225</v>
      </c>
      <c r="L6" s="130">
        <f>'Other Regional'!M6</f>
        <v>57153</v>
      </c>
      <c r="M6" s="115">
        <f>SUM(B6:L6)</f>
        <v>339927</v>
      </c>
    </row>
    <row r="7" spans="1:13" ht="15" thickBot="1" x14ac:dyDescent="0.25">
      <c r="A7" s="73" t="s">
        <v>7</v>
      </c>
      <c r="B7" s="133">
        <f>SUM(B5:B6)</f>
        <v>187272</v>
      </c>
      <c r="C7" s="133">
        <f t="shared" ref="C7:L7" si="0">SUM(C5:C6)</f>
        <v>17247</v>
      </c>
      <c r="D7" s="133">
        <f t="shared" si="0"/>
        <v>291037</v>
      </c>
      <c r="E7" s="133">
        <f t="shared" si="0"/>
        <v>14213</v>
      </c>
      <c r="F7" s="133">
        <f t="shared" ref="F7:G7" si="1">SUM(F5:F6)</f>
        <v>4062</v>
      </c>
      <c r="G7" s="133">
        <f t="shared" si="1"/>
        <v>482</v>
      </c>
      <c r="H7" s="133">
        <f t="shared" si="0"/>
        <v>24202</v>
      </c>
      <c r="I7" s="133">
        <f t="shared" si="0"/>
        <v>21738</v>
      </c>
      <c r="J7" s="133">
        <f t="shared" si="0"/>
        <v>3525</v>
      </c>
      <c r="K7" s="133">
        <f t="shared" si="0"/>
        <v>443</v>
      </c>
      <c r="L7" s="133">
        <f t="shared" si="0"/>
        <v>115071</v>
      </c>
      <c r="M7" s="134">
        <f>SUM(B7:L7)</f>
        <v>679292</v>
      </c>
    </row>
    <row r="8" spans="1:13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0"/>
      <c r="M8" s="135"/>
    </row>
    <row r="9" spans="1:13" s="10" customFormat="1" x14ac:dyDescent="0.2">
      <c r="A9" s="62" t="s">
        <v>32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30"/>
      <c r="M9" s="110"/>
    </row>
    <row r="10" spans="1:13" x14ac:dyDescent="0.2">
      <c r="A10" s="62" t="s">
        <v>30</v>
      </c>
      <c r="B10" s="131">
        <f>[3]Pinnacle!$FE$27+[3]Pinnacle!$FE$37</f>
        <v>3547</v>
      </c>
      <c r="C10" s="132">
        <f>[3]MESA_UA!$FE$27</f>
        <v>374</v>
      </c>
      <c r="D10" s="130">
        <f>'[3]Sky West'!$FE$27+'[3]Sky West'!$FE$37</f>
        <v>5364</v>
      </c>
      <c r="E10" s="130">
        <f>'[3]Sky West_UA'!$FE$27</f>
        <v>179</v>
      </c>
      <c r="F10" s="130">
        <f>'[3]Sky West_AS'!$FE$27</f>
        <v>100</v>
      </c>
      <c r="G10" s="130">
        <f>'[3]Sky West_AA'!$FE$27</f>
        <v>18</v>
      </c>
      <c r="H10" s="130">
        <f>[3]Republic!$FE$27</f>
        <v>529</v>
      </c>
      <c r="I10" s="130">
        <f>[3]Republic_UA!$FE$27</f>
        <v>466</v>
      </c>
      <c r="J10" s="130">
        <f>'[3]Air Georgian'!$FE$37</f>
        <v>0</v>
      </c>
      <c r="K10" s="130">
        <f>'[3]American Eagle'!$FE$27</f>
        <v>13</v>
      </c>
      <c r="L10" s="130">
        <f>'Other Regional'!M10</f>
        <v>1992</v>
      </c>
      <c r="M10" s="110">
        <f>SUM(B10:L10)</f>
        <v>12582</v>
      </c>
    </row>
    <row r="11" spans="1:13" x14ac:dyDescent="0.2">
      <c r="A11" s="62" t="s">
        <v>33</v>
      </c>
      <c r="B11" s="131">
        <f>[3]Pinnacle!$FE$28+[3]Pinnacle!$FE$38</f>
        <v>3719</v>
      </c>
      <c r="C11" s="132">
        <f>[3]MESA_UA!$FE$28</f>
        <v>308</v>
      </c>
      <c r="D11" s="130">
        <f>'[3]Sky West'!$FE$28+'[3]Sky West'!$FE$38</f>
        <v>5464</v>
      </c>
      <c r="E11" s="130">
        <f>'[3]Sky West_UA'!$FE$28</f>
        <v>195</v>
      </c>
      <c r="F11" s="130">
        <f>'[3]Sky West_AS'!$FE$28</f>
        <v>92</v>
      </c>
      <c r="G11" s="130">
        <f>'[3]Sky West_AA'!$FE$28</f>
        <v>17</v>
      </c>
      <c r="H11" s="130">
        <f>[3]Republic!$FE$28</f>
        <v>604</v>
      </c>
      <c r="I11" s="130">
        <f>[3]Republic_UA!$FE$28</f>
        <v>438</v>
      </c>
      <c r="J11" s="130">
        <f>'[3]Air Georgian'!$FE$38</f>
        <v>0</v>
      </c>
      <c r="K11" s="130">
        <f>'[3]American Eagle'!$FE$28</f>
        <v>10</v>
      </c>
      <c r="L11" s="130">
        <f>'Other Regional'!M11</f>
        <v>1890</v>
      </c>
      <c r="M11" s="115">
        <f>SUM(B11:L11)</f>
        <v>12737</v>
      </c>
    </row>
    <row r="12" spans="1:13" ht="15" thickBot="1" x14ac:dyDescent="0.25">
      <c r="A12" s="74" t="s">
        <v>34</v>
      </c>
      <c r="B12" s="136">
        <f t="shared" ref="B12:L12" si="2">SUM(B10:B11)</f>
        <v>7266</v>
      </c>
      <c r="C12" s="136">
        <f t="shared" si="2"/>
        <v>682</v>
      </c>
      <c r="D12" s="136">
        <f t="shared" si="2"/>
        <v>10828</v>
      </c>
      <c r="E12" s="136">
        <f t="shared" si="2"/>
        <v>374</v>
      </c>
      <c r="F12" s="136">
        <f t="shared" ref="F12:G12" si="3">SUM(F10:F11)</f>
        <v>192</v>
      </c>
      <c r="G12" s="136">
        <f t="shared" si="3"/>
        <v>35</v>
      </c>
      <c r="H12" s="136">
        <f t="shared" si="2"/>
        <v>1133</v>
      </c>
      <c r="I12" s="136">
        <f t="shared" si="2"/>
        <v>904</v>
      </c>
      <c r="J12" s="136">
        <f t="shared" si="2"/>
        <v>0</v>
      </c>
      <c r="K12" s="136">
        <f t="shared" si="2"/>
        <v>23</v>
      </c>
      <c r="L12" s="136">
        <f t="shared" si="2"/>
        <v>3882</v>
      </c>
      <c r="M12" s="137">
        <f>SUM(B12:L12)</f>
        <v>25319</v>
      </c>
    </row>
    <row r="13" spans="1:13" ht="13.5" thickBot="1" x14ac:dyDescent="0.25"/>
    <row r="14" spans="1:13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3"/>
      <c r="M14" s="105">
        <f t="shared" ref="M14" si="4">SUM(B14:L14)</f>
        <v>0</v>
      </c>
    </row>
    <row r="15" spans="1:13" x14ac:dyDescent="0.2">
      <c r="A15" s="62" t="s">
        <v>53</v>
      </c>
      <c r="B15" s="21">
        <f>[3]Pinnacle!$FE$4+[3]Pinnacle!$FE$15</f>
        <v>1785</v>
      </c>
      <c r="C15" s="108">
        <f>[3]MESA_UA!$FE$4</f>
        <v>144</v>
      </c>
      <c r="D15" s="106">
        <f>'[3]Sky West'!$FE$4+'[3]Sky West'!$FE$15</f>
        <v>3011</v>
      </c>
      <c r="E15" s="106">
        <f>'[3]Sky West_UA'!$FE$4</f>
        <v>113</v>
      </c>
      <c r="F15" s="106">
        <f>'[3]Sky West_AS'!$FE$4</f>
        <v>30</v>
      </c>
      <c r="G15" s="106">
        <f>'[3]Sky West_AA'!$FE$4</f>
        <v>4</v>
      </c>
      <c r="H15" s="109">
        <f>[3]Republic!$FE$4</f>
        <v>222</v>
      </c>
      <c r="I15" s="471">
        <f>[3]Republic_UA!$FE$4</f>
        <v>181</v>
      </c>
      <c r="J15" s="471">
        <f>'[3]Air Georgian'!$FE$15</f>
        <v>39</v>
      </c>
      <c r="K15" s="109">
        <f>'[3]American Eagle'!$FE$4</f>
        <v>4</v>
      </c>
      <c r="L15" s="107">
        <f>'Other Regional'!M15</f>
        <v>942</v>
      </c>
      <c r="M15" s="110">
        <f t="shared" ref="M15:M21" si="5">SUM(B15:L15)</f>
        <v>6475</v>
      </c>
    </row>
    <row r="16" spans="1:13" x14ac:dyDescent="0.2">
      <c r="A16" s="62" t="s">
        <v>54</v>
      </c>
      <c r="B16" s="14">
        <f>[3]Pinnacle!$FE$5+[3]Pinnacle!$FE$16</f>
        <v>1783</v>
      </c>
      <c r="C16" s="113">
        <f>[3]MESA_UA!$FE$5</f>
        <v>144</v>
      </c>
      <c r="D16" s="111">
        <f>'[3]Sky West'!$FE$5+'[3]Sky West'!$FE$16</f>
        <v>3006</v>
      </c>
      <c r="E16" s="111">
        <f>'[3]Sky West_UA'!$FE$5</f>
        <v>113</v>
      </c>
      <c r="F16" s="111">
        <f>'[3]Sky West_AS'!$FE$5</f>
        <v>30</v>
      </c>
      <c r="G16" s="111">
        <f>'[3]Sky West_AA'!$FE$5</f>
        <v>6</v>
      </c>
      <c r="H16" s="114">
        <f>[3]Republic!$FE$5</f>
        <v>223</v>
      </c>
      <c r="I16" s="297">
        <f>[3]Republic_UA!$FE$5</f>
        <v>181</v>
      </c>
      <c r="J16" s="297">
        <f>'[3]Air Georgian'!$FE$16</f>
        <v>40</v>
      </c>
      <c r="K16" s="114">
        <f>'[3]American Eagle'!$FE$5</f>
        <v>4</v>
      </c>
      <c r="L16" s="112">
        <f>'Other Regional'!M16</f>
        <v>940</v>
      </c>
      <c r="M16" s="115">
        <f t="shared" si="5"/>
        <v>6470</v>
      </c>
    </row>
    <row r="17" spans="1:13" x14ac:dyDescent="0.2">
      <c r="A17" s="71" t="s">
        <v>55</v>
      </c>
      <c r="B17" s="116">
        <f t="shared" ref="B17:K17" si="6">SUM(B15:B16)</f>
        <v>3568</v>
      </c>
      <c r="C17" s="116">
        <f t="shared" si="6"/>
        <v>288</v>
      </c>
      <c r="D17" s="116">
        <f t="shared" si="6"/>
        <v>6017</v>
      </c>
      <c r="E17" s="116">
        <f t="shared" si="6"/>
        <v>226</v>
      </c>
      <c r="F17" s="116">
        <f t="shared" ref="F17:G17" si="7">SUM(F15:F16)</f>
        <v>60</v>
      </c>
      <c r="G17" s="116">
        <f t="shared" si="7"/>
        <v>10</v>
      </c>
      <c r="H17" s="116">
        <f t="shared" si="6"/>
        <v>445</v>
      </c>
      <c r="I17" s="116">
        <f t="shared" ref="I17:J17" si="8">SUM(I15:I16)</f>
        <v>362</v>
      </c>
      <c r="J17" s="116">
        <f t="shared" si="8"/>
        <v>79</v>
      </c>
      <c r="K17" s="116">
        <f t="shared" si="6"/>
        <v>8</v>
      </c>
      <c r="L17" s="116">
        <f>SUM(L15:L16)</f>
        <v>1882</v>
      </c>
      <c r="M17" s="117">
        <f t="shared" si="5"/>
        <v>12945</v>
      </c>
    </row>
    <row r="18" spans="1:13" x14ac:dyDescent="0.2">
      <c r="A18" s="62" t="s">
        <v>56</v>
      </c>
      <c r="B18" s="118">
        <f>[3]Pinnacle!$FE$8</f>
        <v>0</v>
      </c>
      <c r="C18" s="119">
        <f>[3]MESA_UA!$FE$8</f>
        <v>0</v>
      </c>
      <c r="D18" s="118">
        <f>'[3]Sky West'!$FE$8</f>
        <v>0</v>
      </c>
      <c r="E18" s="118">
        <f>'[3]Sky West_UA'!$FE$8</f>
        <v>0</v>
      </c>
      <c r="F18" s="118">
        <f>'[3]Sky West_AS'!$FE$8</f>
        <v>0</v>
      </c>
      <c r="G18" s="118">
        <f>'[3]Sky West_AA'!$FE$8</f>
        <v>0</v>
      </c>
      <c r="H18" s="118">
        <f>[3]Republic!$FE$8</f>
        <v>0</v>
      </c>
      <c r="I18" s="118">
        <f>[3]Republic_UA!$FE$8</f>
        <v>0</v>
      </c>
      <c r="J18" s="118">
        <f>'[3]Air Georgian'!$FE$8</f>
        <v>0</v>
      </c>
      <c r="K18" s="118">
        <f>'[3]American Eagle'!$FE$8</f>
        <v>0</v>
      </c>
      <c r="L18" s="118">
        <f>'Other Regional'!M18</f>
        <v>0</v>
      </c>
      <c r="M18" s="110">
        <f t="shared" si="5"/>
        <v>0</v>
      </c>
    </row>
    <row r="19" spans="1:13" x14ac:dyDescent="0.2">
      <c r="A19" s="62" t="s">
        <v>57</v>
      </c>
      <c r="B19" s="120">
        <f>[3]Pinnacle!$FE$9</f>
        <v>1</v>
      </c>
      <c r="C19" s="121">
        <f>[3]MESA_UA!$FE$9</f>
        <v>0</v>
      </c>
      <c r="D19" s="120">
        <f>'[3]Sky West'!$FE$9</f>
        <v>4</v>
      </c>
      <c r="E19" s="120">
        <f>'[3]Sky West_UA'!$FE$9</f>
        <v>0</v>
      </c>
      <c r="F19" s="120">
        <f>'[3]Sky West_AS'!$FE$9</f>
        <v>0</v>
      </c>
      <c r="G19" s="120">
        <f>'[3]Sky West_AA'!$FE$9</f>
        <v>0</v>
      </c>
      <c r="H19" s="120">
        <f>[3]Republic!$FE$9</f>
        <v>0</v>
      </c>
      <c r="I19" s="120">
        <f>[3]Republic_UA!$FE$9</f>
        <v>0</v>
      </c>
      <c r="J19" s="120">
        <f>'[3]Air Georgian'!$FE$9</f>
        <v>0</v>
      </c>
      <c r="K19" s="120">
        <f>'[3]American Eagle'!$FE$9</f>
        <v>0</v>
      </c>
      <c r="L19" s="120">
        <f>'Other Regional'!M19</f>
        <v>3</v>
      </c>
      <c r="M19" s="115">
        <f t="shared" si="5"/>
        <v>8</v>
      </c>
    </row>
    <row r="20" spans="1:13" x14ac:dyDescent="0.2">
      <c r="A20" s="71" t="s">
        <v>58</v>
      </c>
      <c r="B20" s="116">
        <f t="shared" ref="B20:L20" si="9">SUM(B18:B19)</f>
        <v>1</v>
      </c>
      <c r="C20" s="116">
        <f t="shared" si="9"/>
        <v>0</v>
      </c>
      <c r="D20" s="116">
        <f t="shared" si="9"/>
        <v>4</v>
      </c>
      <c r="E20" s="116">
        <f t="shared" si="9"/>
        <v>0</v>
      </c>
      <c r="F20" s="116">
        <f t="shared" ref="F20:G20" si="10">SUM(F18:F19)</f>
        <v>0</v>
      </c>
      <c r="G20" s="116">
        <f t="shared" si="10"/>
        <v>0</v>
      </c>
      <c r="H20" s="116">
        <f t="shared" si="9"/>
        <v>0</v>
      </c>
      <c r="I20" s="116">
        <f t="shared" si="9"/>
        <v>0</v>
      </c>
      <c r="J20" s="116">
        <f t="shared" si="9"/>
        <v>0</v>
      </c>
      <c r="K20" s="116">
        <f t="shared" si="9"/>
        <v>0</v>
      </c>
      <c r="L20" s="116">
        <f t="shared" si="9"/>
        <v>3</v>
      </c>
      <c r="M20" s="117">
        <f t="shared" si="5"/>
        <v>8</v>
      </c>
    </row>
    <row r="21" spans="1:13" ht="15.75" thickBot="1" x14ac:dyDescent="0.3">
      <c r="A21" s="72" t="s">
        <v>28</v>
      </c>
      <c r="B21" s="122">
        <f t="shared" ref="B21:K21" si="11">SUM(B20,B17)</f>
        <v>3569</v>
      </c>
      <c r="C21" s="122">
        <f t="shared" si="11"/>
        <v>288</v>
      </c>
      <c r="D21" s="122">
        <f t="shared" si="11"/>
        <v>6021</v>
      </c>
      <c r="E21" s="122">
        <f t="shared" si="11"/>
        <v>226</v>
      </c>
      <c r="F21" s="122">
        <f t="shared" ref="F21:G21" si="12">SUM(F20,F17)</f>
        <v>60</v>
      </c>
      <c r="G21" s="122">
        <f t="shared" si="12"/>
        <v>10</v>
      </c>
      <c r="H21" s="122">
        <f t="shared" si="11"/>
        <v>445</v>
      </c>
      <c r="I21" s="122">
        <f t="shared" si="11"/>
        <v>362</v>
      </c>
      <c r="J21" s="122">
        <f t="shared" si="11"/>
        <v>79</v>
      </c>
      <c r="K21" s="122">
        <f t="shared" si="11"/>
        <v>8</v>
      </c>
      <c r="L21" s="122">
        <f>SUM(L20,L17)</f>
        <v>1885</v>
      </c>
      <c r="M21" s="123">
        <f t="shared" si="5"/>
        <v>12953</v>
      </c>
    </row>
    <row r="22" spans="1:13" ht="13.5" thickBot="1" x14ac:dyDescent="0.25"/>
    <row r="23" spans="1:13" ht="15.75" thickTop="1" x14ac:dyDescent="0.25">
      <c r="A23" s="65" t="s">
        <v>117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38"/>
      <c r="M23" s="140"/>
    </row>
    <row r="24" spans="1:13" x14ac:dyDescent="0.2">
      <c r="A24" s="75" t="s">
        <v>36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30"/>
      <c r="M24" s="110"/>
    </row>
    <row r="25" spans="1:13" x14ac:dyDescent="0.2">
      <c r="A25" s="75" t="s">
        <v>37</v>
      </c>
      <c r="B25" s="130">
        <f>[3]Pinnacle!$FE$47</f>
        <v>0</v>
      </c>
      <c r="C25" s="132">
        <f>[3]MESA_UA!$FE$47</f>
        <v>0</v>
      </c>
      <c r="D25" s="130">
        <f>'[3]Sky West'!$FE$47</f>
        <v>0</v>
      </c>
      <c r="E25" s="130">
        <f>'[3]Sky West_UA'!$FE$47</f>
        <v>0</v>
      </c>
      <c r="F25" s="130">
        <f>'[3]Sky West_AS'!$FE$47</f>
        <v>38</v>
      </c>
      <c r="G25" s="130">
        <f>'[3]Sky West_AA'!$FE$47</f>
        <v>0</v>
      </c>
      <c r="H25" s="130">
        <f>[3]Republic!$FE$47</f>
        <v>0</v>
      </c>
      <c r="I25" s="130">
        <f>[3]Republic_UA!$FE$47</f>
        <v>0</v>
      </c>
      <c r="J25" s="130">
        <f>'[3]Air Georgian'!$FE$47</f>
        <v>0</v>
      </c>
      <c r="K25" s="130">
        <f>'[3]American Eagle'!$FE$47</f>
        <v>0</v>
      </c>
      <c r="L25" s="130">
        <f>'Other Regional'!M25</f>
        <v>374</v>
      </c>
      <c r="M25" s="110">
        <f>SUM(B25:L25)</f>
        <v>412</v>
      </c>
    </row>
    <row r="26" spans="1:13" x14ac:dyDescent="0.2">
      <c r="A26" s="75" t="s">
        <v>38</v>
      </c>
      <c r="B26" s="130">
        <f>[3]Pinnacle!$FE$48</f>
        <v>0</v>
      </c>
      <c r="C26" s="132">
        <f>[3]MESA_UA!$FE$48</f>
        <v>0</v>
      </c>
      <c r="D26" s="130">
        <f>'[3]Sky West'!$FE$48</f>
        <v>0</v>
      </c>
      <c r="E26" s="130">
        <f>'[3]Sky West_UA'!$FE$48</f>
        <v>0</v>
      </c>
      <c r="F26" s="130">
        <f>'[3]Sky West_AS'!$FE$48</f>
        <v>18</v>
      </c>
      <c r="G26" s="130">
        <f>'[3]Sky West_AA'!$FE$48</f>
        <v>0</v>
      </c>
      <c r="H26" s="130">
        <f>[3]Republic!$FE$48</f>
        <v>300</v>
      </c>
      <c r="I26" s="130">
        <f>[3]Republic_UA!$FE$48</f>
        <v>0</v>
      </c>
      <c r="J26" s="130">
        <f>'[3]Air Georgian'!$FE$48</f>
        <v>0</v>
      </c>
      <c r="K26" s="130">
        <f>'[3]American Eagle'!$FE$48</f>
        <v>0</v>
      </c>
      <c r="L26" s="130">
        <f>'Other Regional'!M26</f>
        <v>0</v>
      </c>
      <c r="M26" s="110">
        <f>SUM(B26:L26)</f>
        <v>318</v>
      </c>
    </row>
    <row r="27" spans="1:13" ht="15" thickBot="1" x14ac:dyDescent="0.25">
      <c r="A27" s="73" t="s">
        <v>39</v>
      </c>
      <c r="B27" s="133">
        <f t="shared" ref="B27:L27" si="13">SUM(B25:B26)</f>
        <v>0</v>
      </c>
      <c r="C27" s="133">
        <f t="shared" si="13"/>
        <v>0</v>
      </c>
      <c r="D27" s="133">
        <f t="shared" si="13"/>
        <v>0</v>
      </c>
      <c r="E27" s="133">
        <f t="shared" si="13"/>
        <v>0</v>
      </c>
      <c r="F27" s="133">
        <f t="shared" ref="F27:G27" si="14">SUM(F25:F26)</f>
        <v>56</v>
      </c>
      <c r="G27" s="133">
        <f t="shared" si="14"/>
        <v>0</v>
      </c>
      <c r="H27" s="133">
        <f t="shared" si="13"/>
        <v>300</v>
      </c>
      <c r="I27" s="133">
        <f t="shared" si="13"/>
        <v>0</v>
      </c>
      <c r="J27" s="133">
        <f t="shared" si="13"/>
        <v>0</v>
      </c>
      <c r="K27" s="133">
        <f t="shared" si="13"/>
        <v>0</v>
      </c>
      <c r="L27" s="133">
        <f t="shared" si="13"/>
        <v>374</v>
      </c>
      <c r="M27" s="134">
        <f>SUM(B27:L27)</f>
        <v>730</v>
      </c>
    </row>
    <row r="28" spans="1:13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30"/>
      <c r="M28" s="110"/>
    </row>
    <row r="29" spans="1:13" x14ac:dyDescent="0.2">
      <c r="A29" s="75" t="s">
        <v>40</v>
      </c>
      <c r="B29" s="130"/>
      <c r="C29" s="132"/>
      <c r="D29" s="130"/>
      <c r="E29" s="130"/>
      <c r="F29" s="130"/>
      <c r="G29" s="130"/>
      <c r="H29" s="130"/>
      <c r="I29" s="130"/>
      <c r="J29" s="130"/>
      <c r="K29" s="130"/>
      <c r="M29" s="110"/>
    </row>
    <row r="30" spans="1:13" x14ac:dyDescent="0.2">
      <c r="A30" s="75" t="s">
        <v>59</v>
      </c>
      <c r="B30" s="130">
        <f>[3]Pinnacle!$FE$52</f>
        <v>0</v>
      </c>
      <c r="C30" s="132">
        <f>[3]MESA_UA!$FE$52</f>
        <v>0</v>
      </c>
      <c r="D30" s="130">
        <f>'[3]Sky West'!$FE$52</f>
        <v>0</v>
      </c>
      <c r="E30" s="130">
        <f>'[3]Sky West_UA'!$FE$52</f>
        <v>0</v>
      </c>
      <c r="F30" s="130">
        <f>'[3]Sky West_AS'!$FE$52</f>
        <v>25</v>
      </c>
      <c r="G30" s="130">
        <f>'[3]Sky West_AA'!$FE$52</f>
        <v>0</v>
      </c>
      <c r="H30" s="130">
        <f>[3]Republic!$FE$52</f>
        <v>1620</v>
      </c>
      <c r="I30" s="130">
        <f>[3]Republic_UA!$FE$52</f>
        <v>0</v>
      </c>
      <c r="J30" s="130">
        <f>'[3]Air Georgian'!$FE$52</f>
        <v>0</v>
      </c>
      <c r="K30" s="130">
        <f>'[3]American Eagle'!$FE$52</f>
        <v>0</v>
      </c>
      <c r="L30" s="130">
        <f>'Other Regional'!M30</f>
        <v>0</v>
      </c>
      <c r="M30" s="110">
        <f t="shared" ref="M30:M37" si="15">SUM(B30:L30)</f>
        <v>1645</v>
      </c>
    </row>
    <row r="31" spans="1:13" x14ac:dyDescent="0.2">
      <c r="A31" s="75" t="s">
        <v>60</v>
      </c>
      <c r="B31" s="130">
        <f>[3]Pinnacle!$FE$53</f>
        <v>0</v>
      </c>
      <c r="C31" s="132">
        <f>[3]MESA_UA!$FE$53</f>
        <v>0</v>
      </c>
      <c r="D31" s="130">
        <f>'[3]Sky West'!$FE$53</f>
        <v>0</v>
      </c>
      <c r="E31" s="130">
        <f>'[3]Sky West_UA'!$FE$53</f>
        <v>0</v>
      </c>
      <c r="F31" s="130">
        <f>'[3]Sky West_AS'!$FE$53</f>
        <v>0</v>
      </c>
      <c r="G31" s="130">
        <f>'[3]Sky West_AA'!$FE$53</f>
        <v>0</v>
      </c>
      <c r="H31" s="130">
        <f>[3]Republic!$FE$53</f>
        <v>0</v>
      </c>
      <c r="I31" s="130">
        <f>[3]Republic_UA!$FE$53</f>
        <v>0</v>
      </c>
      <c r="J31" s="130">
        <f>'[3]Air Georgian'!$FE$53</f>
        <v>0</v>
      </c>
      <c r="K31" s="130">
        <f>'[3]American Eagle'!$FE$53</f>
        <v>0</v>
      </c>
      <c r="L31" s="130">
        <f>'Other Regional'!M31</f>
        <v>0</v>
      </c>
      <c r="M31" s="110">
        <f t="shared" si="15"/>
        <v>0</v>
      </c>
    </row>
    <row r="32" spans="1:13" ht="15" thickBot="1" x14ac:dyDescent="0.25">
      <c r="A32" s="73" t="s">
        <v>41</v>
      </c>
      <c r="B32" s="133">
        <f t="shared" ref="B32:K32" si="16">SUM(B30:B31)</f>
        <v>0</v>
      </c>
      <c r="C32" s="133">
        <f t="shared" si="16"/>
        <v>0</v>
      </c>
      <c r="D32" s="133">
        <f t="shared" si="16"/>
        <v>0</v>
      </c>
      <c r="E32" s="133">
        <f t="shared" si="16"/>
        <v>0</v>
      </c>
      <c r="F32" s="133">
        <f t="shared" ref="F32:G32" si="17">SUM(F30:F31)</f>
        <v>25</v>
      </c>
      <c r="G32" s="133">
        <f t="shared" si="17"/>
        <v>0</v>
      </c>
      <c r="H32" s="133">
        <f t="shared" si="16"/>
        <v>1620</v>
      </c>
      <c r="I32" s="133">
        <f t="shared" si="16"/>
        <v>0</v>
      </c>
      <c r="J32" s="133">
        <f t="shared" si="16"/>
        <v>0</v>
      </c>
      <c r="K32" s="133">
        <f t="shared" si="16"/>
        <v>0</v>
      </c>
      <c r="L32" s="133">
        <f>SUM(L30:L31)</f>
        <v>0</v>
      </c>
      <c r="M32" s="134">
        <f t="shared" si="15"/>
        <v>1645</v>
      </c>
    </row>
    <row r="33" spans="1:13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30"/>
      <c r="M33" s="110">
        <f t="shared" si="15"/>
        <v>0</v>
      </c>
    </row>
    <row r="34" spans="1:13" ht="13.5" hidden="1" thickTop="1" x14ac:dyDescent="0.2">
      <c r="A34" s="75" t="s">
        <v>42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30"/>
      <c r="M34" s="110">
        <f t="shared" si="15"/>
        <v>0</v>
      </c>
    </row>
    <row r="35" spans="1:13" ht="13.5" hidden="1" thickTop="1" x14ac:dyDescent="0.2">
      <c r="A35" s="75" t="s">
        <v>37</v>
      </c>
      <c r="B35" s="130">
        <f>[3]Pinnacle!$FE$57</f>
        <v>0</v>
      </c>
      <c r="C35" s="132">
        <f>[3]MESA_UA!$FE$57</f>
        <v>0</v>
      </c>
      <c r="D35" s="130">
        <f>'[3]Sky West'!$FE$57</f>
        <v>0</v>
      </c>
      <c r="E35" s="130">
        <f>'[3]Sky West_UA'!$FE$57</f>
        <v>0</v>
      </c>
      <c r="F35" s="130">
        <f>'[3]Sky West_AS'!$FE$57</f>
        <v>0</v>
      </c>
      <c r="G35" s="130">
        <f>'[3]Sky West_AA'!$FE$57</f>
        <v>0</v>
      </c>
      <c r="H35" s="130">
        <f>[3]Republic!$FE$57</f>
        <v>0</v>
      </c>
      <c r="I35" s="130">
        <f>[3]Republic!$FE$57</f>
        <v>0</v>
      </c>
      <c r="J35" s="130">
        <f>[3]Republic!$FE$57</f>
        <v>0</v>
      </c>
      <c r="K35" s="130">
        <f>'[3]American Eagle'!$FE$57</f>
        <v>0</v>
      </c>
      <c r="L35" s="130">
        <f>'Other Regional'!M35</f>
        <v>0</v>
      </c>
      <c r="M35" s="110">
        <f t="shared" si="15"/>
        <v>0</v>
      </c>
    </row>
    <row r="36" spans="1:13" ht="13.5" hidden="1" thickTop="1" x14ac:dyDescent="0.2">
      <c r="A36" s="75" t="s">
        <v>38</v>
      </c>
      <c r="B36" s="130">
        <f>[3]Pinnacle!$FE$58</f>
        <v>0</v>
      </c>
      <c r="C36" s="132">
        <f>[3]MESA_UA!$FE$58</f>
        <v>0</v>
      </c>
      <c r="D36" s="130">
        <f>'[3]Sky West'!$FE$58</f>
        <v>0</v>
      </c>
      <c r="E36" s="130">
        <f>'[3]Sky West_UA'!$FE$58</f>
        <v>0</v>
      </c>
      <c r="F36" s="130">
        <f>'[3]Sky West_AS'!$FE$58</f>
        <v>0</v>
      </c>
      <c r="G36" s="130">
        <f>'[3]Sky West_AA'!$FE$58</f>
        <v>0</v>
      </c>
      <c r="H36" s="130">
        <f>[3]Republic!$FE$58</f>
        <v>0</v>
      </c>
      <c r="I36" s="130">
        <f>[3]Republic!$FE$58</f>
        <v>0</v>
      </c>
      <c r="J36" s="130">
        <f>[3]Republic!$FE$58</f>
        <v>0</v>
      </c>
      <c r="K36" s="130">
        <f>'[3]American Eagle'!$FE$58</f>
        <v>0</v>
      </c>
      <c r="L36" s="130">
        <f>'Other Regional'!M36</f>
        <v>0</v>
      </c>
      <c r="M36" s="110">
        <f t="shared" si="15"/>
        <v>0</v>
      </c>
    </row>
    <row r="37" spans="1:13" ht="13.5" hidden="1" thickTop="1" x14ac:dyDescent="0.2">
      <c r="A37" s="76" t="s">
        <v>43</v>
      </c>
      <c r="B37" s="141">
        <f t="shared" ref="B37:K37" si="18">SUM(B35:B36)</f>
        <v>0</v>
      </c>
      <c r="C37" s="141">
        <f t="shared" si="18"/>
        <v>0</v>
      </c>
      <c r="D37" s="141">
        <f t="shared" si="18"/>
        <v>0</v>
      </c>
      <c r="E37" s="141">
        <f t="shared" si="18"/>
        <v>0</v>
      </c>
      <c r="F37" s="141">
        <f t="shared" ref="F37:G37" si="19">SUM(F35:F36)</f>
        <v>0</v>
      </c>
      <c r="G37" s="141">
        <f t="shared" si="19"/>
        <v>0</v>
      </c>
      <c r="H37" s="141">
        <f t="shared" si="18"/>
        <v>0</v>
      </c>
      <c r="I37" s="141">
        <f t="shared" si="18"/>
        <v>0</v>
      </c>
      <c r="J37" s="141">
        <f t="shared" si="18"/>
        <v>0</v>
      </c>
      <c r="K37" s="141">
        <f t="shared" si="18"/>
        <v>0</v>
      </c>
      <c r="L37" s="141">
        <f>SUM(L35:L36)</f>
        <v>0</v>
      </c>
      <c r="M37" s="143">
        <f t="shared" si="15"/>
        <v>0</v>
      </c>
    </row>
    <row r="38" spans="1:13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30"/>
      <c r="M38" s="110"/>
    </row>
    <row r="39" spans="1:13" x14ac:dyDescent="0.2">
      <c r="A39" s="75" t="s">
        <v>44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30"/>
      <c r="M39" s="110"/>
    </row>
    <row r="40" spans="1:13" x14ac:dyDescent="0.2">
      <c r="A40" s="75" t="s">
        <v>45</v>
      </c>
      <c r="B40" s="130">
        <f t="shared" ref="B40:J42" si="20">SUM(B35,B30,B25)</f>
        <v>0</v>
      </c>
      <c r="C40" s="130">
        <f>SUM(C35,C30,C25)</f>
        <v>0</v>
      </c>
      <c r="D40" s="130">
        <f t="shared" si="20"/>
        <v>0</v>
      </c>
      <c r="E40" s="130">
        <f t="shared" ref="E40:F42" si="21">SUM(E35,E30,E25)</f>
        <v>0</v>
      </c>
      <c r="F40" s="130">
        <f t="shared" si="21"/>
        <v>63</v>
      </c>
      <c r="G40" s="130">
        <f t="shared" ref="G40" si="22">SUM(G35,G30,G25)</f>
        <v>0</v>
      </c>
      <c r="H40" s="130">
        <f t="shared" si="20"/>
        <v>1620</v>
      </c>
      <c r="I40" s="130">
        <f t="shared" si="20"/>
        <v>0</v>
      </c>
      <c r="J40" s="130">
        <f t="shared" si="20"/>
        <v>0</v>
      </c>
      <c r="K40" s="130">
        <f>SUM(K35,K30,K25)</f>
        <v>0</v>
      </c>
      <c r="L40" s="130">
        <f>L35+L30+L25</f>
        <v>374</v>
      </c>
      <c r="M40" s="110">
        <f>SUM(B40:L40)</f>
        <v>2057</v>
      </c>
    </row>
    <row r="41" spans="1:13" x14ac:dyDescent="0.2">
      <c r="A41" s="75" t="s">
        <v>38</v>
      </c>
      <c r="B41" s="130">
        <f t="shared" si="20"/>
        <v>0</v>
      </c>
      <c r="C41" s="130">
        <f>SUM(C36,C31,C26)</f>
        <v>0</v>
      </c>
      <c r="D41" s="130">
        <f t="shared" si="20"/>
        <v>0</v>
      </c>
      <c r="E41" s="130">
        <f t="shared" si="21"/>
        <v>0</v>
      </c>
      <c r="F41" s="130">
        <f t="shared" si="21"/>
        <v>18</v>
      </c>
      <c r="G41" s="130">
        <f t="shared" ref="G41" si="23">SUM(G36,G31,G26)</f>
        <v>0</v>
      </c>
      <c r="H41" s="130">
        <f t="shared" si="20"/>
        <v>300</v>
      </c>
      <c r="I41" s="130">
        <f t="shared" si="20"/>
        <v>0</v>
      </c>
      <c r="J41" s="130">
        <f t="shared" si="20"/>
        <v>0</v>
      </c>
      <c r="K41" s="130">
        <f>SUM(K36,K31,K26)</f>
        <v>0</v>
      </c>
      <c r="L41" s="130">
        <f>L36+L31+L26</f>
        <v>0</v>
      </c>
      <c r="M41" s="110">
        <f>SUM(B41:L41)</f>
        <v>318</v>
      </c>
    </row>
    <row r="42" spans="1:13" ht="15" thickBot="1" x14ac:dyDescent="0.25">
      <c r="A42" s="74" t="s">
        <v>46</v>
      </c>
      <c r="B42" s="136">
        <f t="shared" si="20"/>
        <v>0</v>
      </c>
      <c r="C42" s="136">
        <f>SUM(C37,C32,C27)</f>
        <v>0</v>
      </c>
      <c r="D42" s="136">
        <f t="shared" si="20"/>
        <v>0</v>
      </c>
      <c r="E42" s="136">
        <f t="shared" si="21"/>
        <v>0</v>
      </c>
      <c r="F42" s="136">
        <f t="shared" si="21"/>
        <v>81</v>
      </c>
      <c r="G42" s="136">
        <f t="shared" ref="G42" si="24">SUM(G37,G32,G27)</f>
        <v>0</v>
      </c>
      <c r="H42" s="136">
        <f t="shared" si="20"/>
        <v>1920</v>
      </c>
      <c r="I42" s="136">
        <f t="shared" si="20"/>
        <v>0</v>
      </c>
      <c r="J42" s="136">
        <f t="shared" si="20"/>
        <v>0</v>
      </c>
      <c r="K42" s="136">
        <f>SUM(K37,K32,K27)</f>
        <v>0</v>
      </c>
      <c r="L42" s="136">
        <f>SUM(L37,L32,L27)</f>
        <v>374</v>
      </c>
      <c r="M42" s="137">
        <f>SUM(B42:L42)</f>
        <v>2375</v>
      </c>
    </row>
    <row r="44" spans="1:13" x14ac:dyDescent="0.2">
      <c r="A44" s="381" t="s">
        <v>124</v>
      </c>
      <c r="B44" s="321">
        <f>[3]Pinnacle!$FE$70+[3]Pinnacle!$FE$73</f>
        <v>29789</v>
      </c>
      <c r="D44" s="322">
        <f>'[3]Sky West'!$FE$70+'[3]Sky West'!$FE$73</f>
        <v>39791</v>
      </c>
      <c r="E44" s="5"/>
      <c r="F44" s="5"/>
      <c r="G44" s="5"/>
      <c r="L44" s="322">
        <f>+'Other Regional'!M46</f>
        <v>20450</v>
      </c>
      <c r="M44" s="310">
        <f>SUM(B44:L44)</f>
        <v>90030</v>
      </c>
    </row>
    <row r="45" spans="1:13" x14ac:dyDescent="0.2">
      <c r="A45" s="395" t="s">
        <v>125</v>
      </c>
      <c r="B45" s="321">
        <f>[3]Pinnacle!$FE$71+[3]Pinnacle!$FE$74</f>
        <v>63013</v>
      </c>
      <c r="D45" s="322">
        <f>'[3]Sky West'!$FE$71+'[3]Sky West'!$FE$74</f>
        <v>107042</v>
      </c>
      <c r="E45" s="5"/>
      <c r="F45" s="5"/>
      <c r="G45" s="5"/>
      <c r="L45" s="322">
        <f>+'Other Regional'!M47</f>
        <v>30447</v>
      </c>
      <c r="M45" s="310">
        <f>SUM(B45:L45)</f>
        <v>200502</v>
      </c>
    </row>
    <row r="46" spans="1:13" x14ac:dyDescent="0.2">
      <c r="A46" s="312" t="s">
        <v>126</v>
      </c>
      <c r="B46" s="313">
        <f>SUM(B44:B45)</f>
        <v>92802</v>
      </c>
      <c r="L46" s="2"/>
      <c r="M46" s="311"/>
    </row>
    <row r="47" spans="1:13" x14ac:dyDescent="0.2">
      <c r="A47" s="314"/>
      <c r="B47" s="315" t="b">
        <f>IF(B46=B6,TRUE,FALSE)</f>
        <v>1</v>
      </c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June 2017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Normal="100" zoomScaleSheetLayoutView="100" workbookViewId="0">
      <selection activeCell="O6" sqref="O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10" customWidth="1"/>
    <col min="5" max="5" width="10.42578125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9.28515625" customWidth="1"/>
    <col min="11" max="11" width="10.42578125" customWidth="1"/>
    <col min="12" max="12" width="9.85546875" customWidth="1"/>
    <col min="13" max="13" width="12.140625" customWidth="1"/>
  </cols>
  <sheetData>
    <row r="1" spans="1:13" s="7" customFormat="1" ht="6" customHeight="1" x14ac:dyDescent="0.2">
      <c r="A1" s="391"/>
    </row>
    <row r="2" spans="1:13" s="7" customFormat="1" ht="55.5" customHeight="1" thickBot="1" x14ac:dyDescent="0.25">
      <c r="A2" s="384">
        <v>42887</v>
      </c>
      <c r="B2" s="519" t="s">
        <v>187</v>
      </c>
      <c r="C2" s="519" t="s">
        <v>186</v>
      </c>
      <c r="D2" s="519" t="s">
        <v>209</v>
      </c>
      <c r="E2" s="519" t="s">
        <v>169</v>
      </c>
      <c r="F2" s="519" t="s">
        <v>192</v>
      </c>
      <c r="G2" s="519" t="s">
        <v>191</v>
      </c>
      <c r="H2" s="519" t="s">
        <v>164</v>
      </c>
      <c r="I2" s="519" t="s">
        <v>168</v>
      </c>
      <c r="J2" s="519" t="s">
        <v>226</v>
      </c>
      <c r="K2" s="519" t="s">
        <v>193</v>
      </c>
      <c r="L2" s="519" t="s">
        <v>190</v>
      </c>
      <c r="M2" s="291" t="s">
        <v>21</v>
      </c>
    </row>
    <row r="3" spans="1:13" ht="15.75" thickTop="1" x14ac:dyDescent="0.25">
      <c r="A3" s="279" t="s">
        <v>3</v>
      </c>
      <c r="B3" s="407"/>
      <c r="C3" s="407"/>
      <c r="D3" s="407"/>
      <c r="E3" s="407"/>
      <c r="F3" s="408"/>
      <c r="G3" s="408"/>
      <c r="H3" s="408"/>
      <c r="I3" s="408"/>
      <c r="J3" s="407"/>
      <c r="K3" s="408"/>
      <c r="L3" s="407"/>
      <c r="M3" s="127"/>
    </row>
    <row r="4" spans="1:13" x14ac:dyDescent="0.2">
      <c r="A4" s="62" t="s">
        <v>29</v>
      </c>
      <c r="B4" s="128"/>
      <c r="C4" s="128"/>
      <c r="D4" s="129"/>
      <c r="E4" s="130"/>
      <c r="F4" s="131"/>
      <c r="G4" s="131"/>
      <c r="H4" s="131"/>
      <c r="I4" s="131"/>
      <c r="J4" s="130"/>
      <c r="K4" s="132"/>
      <c r="L4" s="130"/>
      <c r="M4" s="110"/>
    </row>
    <row r="5" spans="1:13" x14ac:dyDescent="0.2">
      <c r="A5" s="62" t="s">
        <v>30</v>
      </c>
      <c r="B5" s="131">
        <f>'[3]Shuttle America'!$FE$22</f>
        <v>0</v>
      </c>
      <c r="C5" s="131">
        <f>'[3]Shuttle America_Delta'!$FE$22</f>
        <v>0</v>
      </c>
      <c r="D5" s="472">
        <f>[3]PSA!$FE$22</f>
        <v>1149</v>
      </c>
      <c r="E5" s="21">
        <f>[3]Compass!$FE$22+[3]Compass!$FE$32</f>
        <v>29440</v>
      </c>
      <c r="F5" s="131">
        <f>'[3]Atlantic Southeast'!$FE$22+'[3]Atlantic Southeast'!$FE$32</f>
        <v>13564</v>
      </c>
      <c r="G5" s="131">
        <f>'[3]Continental Express'!$FE$22</f>
        <v>148</v>
      </c>
      <c r="H5" s="130">
        <f>'[3]Go Jet_UA'!$FE$22</f>
        <v>1830</v>
      </c>
      <c r="I5" s="21">
        <f>'[3]Go Jet'!$FE$22+'[3]Go Jet'!$FE$32</f>
        <v>8486</v>
      </c>
      <c r="J5" s="130">
        <f>'[3]Sky Regional'!$FE$32</f>
        <v>3301</v>
      </c>
      <c r="K5" s="132">
        <f>'[3]Air Wisconsin'!$FE$22</f>
        <v>0</v>
      </c>
      <c r="L5" s="130">
        <f>[3]MESA!$FE$22</f>
        <v>0</v>
      </c>
      <c r="M5" s="110">
        <f>SUM(B5:L5)</f>
        <v>57918</v>
      </c>
    </row>
    <row r="6" spans="1:13" s="10" customFormat="1" x14ac:dyDescent="0.2">
      <c r="A6" s="62" t="s">
        <v>31</v>
      </c>
      <c r="B6" s="131">
        <f>'[3]Shuttle America'!$FE$23</f>
        <v>0</v>
      </c>
      <c r="C6" s="131">
        <f>'[3]Shuttle America_Delta'!$FE$23</f>
        <v>0</v>
      </c>
      <c r="D6" s="472">
        <f>[3]PSA!$FE$23</f>
        <v>1061</v>
      </c>
      <c r="E6" s="14">
        <f>[3]Compass!$FE$23+[3]Compass!$FE$33</f>
        <v>29024</v>
      </c>
      <c r="F6" s="131">
        <f>'[3]Atlantic Southeast'!$FE$23+'[3]Atlantic Southeast'!$FE$33</f>
        <v>13308</v>
      </c>
      <c r="G6" s="131">
        <f>'[3]Continental Express'!$FE$23</f>
        <v>145</v>
      </c>
      <c r="H6" s="130">
        <f>'[3]Go Jet_UA'!$FE$23</f>
        <v>1743</v>
      </c>
      <c r="I6" s="14">
        <f>'[3]Go Jet'!$FE$23+'[3]Go Jet'!$FE$33</f>
        <v>8565</v>
      </c>
      <c r="J6" s="130">
        <f>'[3]Sky Regional'!$FE$33</f>
        <v>3307</v>
      </c>
      <c r="K6" s="132">
        <f>'[3]Air Wisconsin'!$FE$23</f>
        <v>0</v>
      </c>
      <c r="L6" s="130">
        <f>[3]MESA!$FE$23</f>
        <v>0</v>
      </c>
      <c r="M6" s="115">
        <f>SUM(B6:L6)</f>
        <v>57153</v>
      </c>
    </row>
    <row r="7" spans="1:13" ht="15" thickBot="1" x14ac:dyDescent="0.25">
      <c r="A7" s="73" t="s">
        <v>7</v>
      </c>
      <c r="B7" s="133">
        <f t="shared" ref="B7:L7" si="0">SUM(B5:B6)</f>
        <v>0</v>
      </c>
      <c r="C7" s="133">
        <f t="shared" si="0"/>
        <v>0</v>
      </c>
      <c r="D7" s="133">
        <f t="shared" si="0"/>
        <v>2210</v>
      </c>
      <c r="E7" s="133">
        <f>SUM(E5:E6)</f>
        <v>58464</v>
      </c>
      <c r="F7" s="133">
        <f t="shared" si="0"/>
        <v>26872</v>
      </c>
      <c r="G7" s="133">
        <f t="shared" si="0"/>
        <v>293</v>
      </c>
      <c r="H7" s="133">
        <f t="shared" si="0"/>
        <v>3573</v>
      </c>
      <c r="I7" s="133">
        <f>SUM(I5:I6)</f>
        <v>17051</v>
      </c>
      <c r="J7" s="133">
        <f t="shared" ref="J7" si="1">SUM(J5:J6)</f>
        <v>6608</v>
      </c>
      <c r="K7" s="133">
        <f t="shared" si="0"/>
        <v>0</v>
      </c>
      <c r="L7" s="133">
        <f t="shared" si="0"/>
        <v>0</v>
      </c>
      <c r="M7" s="134">
        <f>SUM(B7:L7)</f>
        <v>115071</v>
      </c>
    </row>
    <row r="8" spans="1:13" ht="13.5" thickTop="1" x14ac:dyDescent="0.2">
      <c r="A8" s="62"/>
      <c r="B8" s="131"/>
      <c r="C8" s="131"/>
      <c r="D8" s="472"/>
      <c r="E8" s="344"/>
      <c r="F8" s="131"/>
      <c r="G8" s="131"/>
      <c r="H8" s="130"/>
      <c r="I8" s="344"/>
      <c r="J8" s="130"/>
      <c r="K8" s="132"/>
      <c r="L8" s="130"/>
      <c r="M8" s="135"/>
    </row>
    <row r="9" spans="1:13" s="10" customFormat="1" x14ac:dyDescent="0.2">
      <c r="A9" s="62" t="s">
        <v>32</v>
      </c>
      <c r="B9" s="131"/>
      <c r="C9" s="131"/>
      <c r="D9" s="472"/>
      <c r="E9" s="21"/>
      <c r="F9" s="131"/>
      <c r="G9" s="131"/>
      <c r="H9" s="130"/>
      <c r="I9" s="21"/>
      <c r="J9" s="130"/>
      <c r="K9" s="132"/>
      <c r="L9" s="130"/>
      <c r="M9" s="110"/>
    </row>
    <row r="10" spans="1:13" x14ac:dyDescent="0.2">
      <c r="A10" s="62" t="s">
        <v>30</v>
      </c>
      <c r="B10" s="131">
        <f>'[3]Shuttle America'!$FE$27</f>
        <v>0</v>
      </c>
      <c r="C10" s="131">
        <f>'[3]Shuttle America_Delta'!$FE$27</f>
        <v>0</v>
      </c>
      <c r="D10" s="472">
        <f>[3]PSA!$FE$27</f>
        <v>41</v>
      </c>
      <c r="E10" s="21">
        <f>[3]Compass!$FE$27+[3]Compass!$FE$37</f>
        <v>1122</v>
      </c>
      <c r="F10" s="21">
        <f>'[3]Atlantic Southeast'!$FE$27+'[3]Atlantic Southeast'!$FE$37</f>
        <v>453</v>
      </c>
      <c r="G10" s="131">
        <f>'[3]Continental Express'!$FE$27</f>
        <v>2</v>
      </c>
      <c r="H10" s="130">
        <f>'[3]Go Jet_UA'!$FE$27</f>
        <v>67</v>
      </c>
      <c r="I10" s="21">
        <f>'[3]Go Jet'!$FE$27+'[3]Go Jet'!$FE$37</f>
        <v>292</v>
      </c>
      <c r="J10" s="130">
        <f>'[3]Sky Regional'!$FE$37</f>
        <v>15</v>
      </c>
      <c r="K10" s="132">
        <f>'[3]Air Wisconsin'!$FE$27</f>
        <v>0</v>
      </c>
      <c r="L10" s="130">
        <f>[3]MESA!$FE$27</f>
        <v>0</v>
      </c>
      <c r="M10" s="110">
        <f>SUM(B10:L10)</f>
        <v>1992</v>
      </c>
    </row>
    <row r="11" spans="1:13" x14ac:dyDescent="0.2">
      <c r="A11" s="62" t="s">
        <v>33</v>
      </c>
      <c r="B11" s="131">
        <f>'[3]Shuttle America'!$FE$28</f>
        <v>0</v>
      </c>
      <c r="C11" s="131">
        <f>'[3]Shuttle America_Delta'!$FE$28</f>
        <v>0</v>
      </c>
      <c r="D11" s="472">
        <f>[3]PSA!$FE$28</f>
        <v>33</v>
      </c>
      <c r="E11" s="14">
        <f>[3]Compass!$FE$28+[3]Compass!$FE$38</f>
        <v>1082</v>
      </c>
      <c r="F11" s="14">
        <f>'[3]Atlantic Southeast'!$FE$28+'[3]Atlantic Southeast'!$FE$38</f>
        <v>409</v>
      </c>
      <c r="G11" s="131">
        <f>'[3]Continental Express'!$FE$28</f>
        <v>1</v>
      </c>
      <c r="H11" s="130">
        <f>'[3]Go Jet_UA'!$FE$28</f>
        <v>44</v>
      </c>
      <c r="I11" s="14">
        <f>'[3]Go Jet'!$FE$28+'[3]Go Jet'!$FE$38</f>
        <v>299</v>
      </c>
      <c r="J11" s="130">
        <f>'[3]Sky Regional'!$FE$38</f>
        <v>22</v>
      </c>
      <c r="K11" s="132">
        <f>'[3]Air Wisconsin'!$FE$28</f>
        <v>0</v>
      </c>
      <c r="L11" s="130">
        <f>[3]MESA!$FE$28</f>
        <v>0</v>
      </c>
      <c r="M11" s="115">
        <f>SUM(B11:L11)</f>
        <v>1890</v>
      </c>
    </row>
    <row r="12" spans="1:13" ht="15" thickBot="1" x14ac:dyDescent="0.25">
      <c r="A12" s="74" t="s">
        <v>34</v>
      </c>
      <c r="B12" s="136">
        <f>SUM(B10:B11)</f>
        <v>0</v>
      </c>
      <c r="C12" s="136">
        <f>SUM(C10:C11)</f>
        <v>0</v>
      </c>
      <c r="D12" s="136">
        <f t="shared" ref="D12" si="2">SUM(D10:D11)</f>
        <v>74</v>
      </c>
      <c r="E12" s="136">
        <f t="shared" ref="E12:L12" si="3">SUM(E10:E11)</f>
        <v>2204</v>
      </c>
      <c r="F12" s="136">
        <f t="shared" si="3"/>
        <v>862</v>
      </c>
      <c r="G12" s="136">
        <f t="shared" si="3"/>
        <v>3</v>
      </c>
      <c r="H12" s="136">
        <f t="shared" si="3"/>
        <v>111</v>
      </c>
      <c r="I12" s="136">
        <f t="shared" ref="I12:J12" si="4">SUM(I10:I11)</f>
        <v>591</v>
      </c>
      <c r="J12" s="136">
        <f t="shared" si="4"/>
        <v>37</v>
      </c>
      <c r="K12" s="136">
        <f t="shared" si="3"/>
        <v>0</v>
      </c>
      <c r="L12" s="136">
        <f t="shared" si="3"/>
        <v>0</v>
      </c>
      <c r="M12" s="137">
        <f>SUM(B12:L12)</f>
        <v>3882</v>
      </c>
    </row>
    <row r="13" spans="1:13" ht="6" customHeight="1" thickBot="1" x14ac:dyDescent="0.25"/>
    <row r="14" spans="1:13" ht="15.75" thickTop="1" x14ac:dyDescent="0.25">
      <c r="A14" s="61" t="s">
        <v>9</v>
      </c>
      <c r="B14" s="103"/>
      <c r="C14" s="103"/>
      <c r="D14" s="103"/>
      <c r="E14" s="103"/>
      <c r="F14" s="104"/>
      <c r="G14" s="104"/>
      <c r="H14" s="103"/>
      <c r="I14" s="103"/>
      <c r="J14" s="103"/>
      <c r="K14" s="104"/>
      <c r="L14" s="103"/>
      <c r="M14" s="105"/>
    </row>
    <row r="15" spans="1:13" x14ac:dyDescent="0.2">
      <c r="A15" s="62" t="s">
        <v>53</v>
      </c>
      <c r="B15" s="106">
        <f>'[3]Shuttle America'!$FE$4</f>
        <v>0</v>
      </c>
      <c r="C15" s="106">
        <f>'[3]Shuttle America_Delta'!$FE$4</f>
        <v>0</v>
      </c>
      <c r="D15" s="473">
        <f>[3]PSA!$FE$4</f>
        <v>22</v>
      </c>
      <c r="E15" s="21">
        <f>[3]Compass!$FE$4+[3]Compass!$FE$15</f>
        <v>464</v>
      </c>
      <c r="F15" s="107">
        <f>'[3]Atlantic Southeast'!$FE$4+'[3]Atlantic Southeast'!$FE$15</f>
        <v>234</v>
      </c>
      <c r="G15" s="107">
        <f>'[3]Continental Express'!$FE$4</f>
        <v>3</v>
      </c>
      <c r="H15" s="106">
        <f>'[3]Go Jet_UA'!$FE$4</f>
        <v>28</v>
      </c>
      <c r="I15" s="21">
        <f>'[3]Go Jet'!$FE$4+'[3]Go Jet'!$FE$15</f>
        <v>140</v>
      </c>
      <c r="J15" s="471">
        <f>'[3]Sky Regional'!$FE$15</f>
        <v>51</v>
      </c>
      <c r="K15" s="108">
        <f>'[3]Air Wisconsin'!$FE$4</f>
        <v>0</v>
      </c>
      <c r="L15" s="106">
        <f>[3]MESA!$FE$4</f>
        <v>0</v>
      </c>
      <c r="M15" s="110">
        <f t="shared" ref="M15:M21" si="5">SUM(B15:L15)</f>
        <v>942</v>
      </c>
    </row>
    <row r="16" spans="1:13" x14ac:dyDescent="0.2">
      <c r="A16" s="62" t="s">
        <v>54</v>
      </c>
      <c r="B16" s="111">
        <f>'[3]Shuttle America'!$FE$5</f>
        <v>0</v>
      </c>
      <c r="C16" s="111">
        <f>'[3]Shuttle America_Delta'!$FE$5</f>
        <v>0</v>
      </c>
      <c r="D16" s="474">
        <f>[3]PSA!$FE$5</f>
        <v>22</v>
      </c>
      <c r="E16" s="14">
        <f>[3]Compass!$FE$5+[3]Compass!$FE$16</f>
        <v>462</v>
      </c>
      <c r="F16" s="112">
        <f>'[3]Atlantic Southeast'!$FE$5+'[3]Atlantic Southeast'!$FE$16</f>
        <v>233</v>
      </c>
      <c r="G16" s="112">
        <f>'[3]Continental Express'!$FE$5</f>
        <v>3</v>
      </c>
      <c r="H16" s="111">
        <f>'[3]Go Jet_UA'!$FE$5</f>
        <v>28</v>
      </c>
      <c r="I16" s="14">
        <f>'[3]Go Jet'!$FE$5+'[3]Go Jet'!$FE$16</f>
        <v>141</v>
      </c>
      <c r="J16" s="297">
        <f>'[3]Sky Regional'!$FE$16</f>
        <v>51</v>
      </c>
      <c r="K16" s="113">
        <f>'[3]Air Wisconsin'!$FE$5</f>
        <v>0</v>
      </c>
      <c r="L16" s="111">
        <f>[3]MESA!$FE$5</f>
        <v>0</v>
      </c>
      <c r="M16" s="115">
        <f t="shared" si="5"/>
        <v>940</v>
      </c>
    </row>
    <row r="17" spans="1:13" x14ac:dyDescent="0.2">
      <c r="A17" s="71" t="s">
        <v>55</v>
      </c>
      <c r="B17" s="116">
        <f>SUM(B15:B16)</f>
        <v>0</v>
      </c>
      <c r="C17" s="116">
        <f>SUM(C15:C16)</f>
        <v>0</v>
      </c>
      <c r="D17" s="116">
        <f t="shared" ref="D17" si="6">SUM(D15:D16)</f>
        <v>44</v>
      </c>
      <c r="E17" s="286">
        <f>SUM(E15:E16)</f>
        <v>926</v>
      </c>
      <c r="F17" s="116">
        <f t="shared" ref="F17:L17" si="7">SUM(F15:F16)</f>
        <v>467</v>
      </c>
      <c r="G17" s="116">
        <f t="shared" si="7"/>
        <v>6</v>
      </c>
      <c r="H17" s="116">
        <f t="shared" si="7"/>
        <v>56</v>
      </c>
      <c r="I17" s="286">
        <f>SUM(I15:I16)</f>
        <v>281</v>
      </c>
      <c r="J17" s="116">
        <f t="shared" ref="J17" si="8">SUM(J15:J16)</f>
        <v>102</v>
      </c>
      <c r="K17" s="116">
        <f t="shared" si="7"/>
        <v>0</v>
      </c>
      <c r="L17" s="116">
        <f t="shared" si="7"/>
        <v>0</v>
      </c>
      <c r="M17" s="117">
        <f t="shared" si="5"/>
        <v>1882</v>
      </c>
    </row>
    <row r="18" spans="1:13" x14ac:dyDescent="0.2">
      <c r="A18" s="62" t="s">
        <v>56</v>
      </c>
      <c r="B18" s="118">
        <f>'[3]Shuttle America'!$FE$8</f>
        <v>0</v>
      </c>
      <c r="C18" s="118">
        <f>'[3]Shuttle America_Delta'!$FE$8</f>
        <v>0</v>
      </c>
      <c r="D18" s="118">
        <f>[3]PSA!$FE$8</f>
        <v>0</v>
      </c>
      <c r="E18" s="21">
        <f>[3]Compass!$FE$8</f>
        <v>0</v>
      </c>
      <c r="F18" s="109">
        <f>'[3]Atlantic Southeast'!$FE$8</f>
        <v>0</v>
      </c>
      <c r="G18" s="109">
        <f>'[3]Continental Express'!$FE$8</f>
        <v>0</v>
      </c>
      <c r="H18" s="118">
        <f>'[3]Go Jet_UA'!$FE$8</f>
        <v>0</v>
      </c>
      <c r="I18" s="21">
        <f>'[3]Go Jet'!$FE$8</f>
        <v>0</v>
      </c>
      <c r="J18" s="118">
        <f>'[3]Sky Regional'!$FE$8</f>
        <v>0</v>
      </c>
      <c r="K18" s="119">
        <f>'[3]Air Wisconsin'!$FE$8</f>
        <v>0</v>
      </c>
      <c r="L18" s="118">
        <f>[3]MESA!$FE$8</f>
        <v>0</v>
      </c>
      <c r="M18" s="110">
        <f t="shared" si="5"/>
        <v>0</v>
      </c>
    </row>
    <row r="19" spans="1:13" x14ac:dyDescent="0.2">
      <c r="A19" s="62" t="s">
        <v>57</v>
      </c>
      <c r="B19" s="120">
        <f>'[3]Shuttle America'!$FE$9</f>
        <v>0</v>
      </c>
      <c r="C19" s="120">
        <f>'[3]Shuttle America_Delta'!$FE$9</f>
        <v>0</v>
      </c>
      <c r="D19" s="120">
        <f>[3]PSA!$FE$9</f>
        <v>0</v>
      </c>
      <c r="E19" s="14">
        <f>[3]Compass!$FE$9</f>
        <v>2</v>
      </c>
      <c r="F19" s="114">
        <f>'[3]Atlantic Southeast'!$FE$9</f>
        <v>1</v>
      </c>
      <c r="G19" s="114">
        <f>'[3]Continental Express'!$FE$9</f>
        <v>0</v>
      </c>
      <c r="H19" s="120">
        <f>'[3]Go Jet_UA'!$FE$9</f>
        <v>0</v>
      </c>
      <c r="I19" s="14">
        <f>'[3]Go Jet'!$FE$9</f>
        <v>0</v>
      </c>
      <c r="J19" s="120">
        <f>'[3]Sky Regional'!$FE$9</f>
        <v>0</v>
      </c>
      <c r="K19" s="121">
        <f>'[3]Air Wisconsin'!$FE$9</f>
        <v>0</v>
      </c>
      <c r="L19" s="120">
        <f>[3]MESA!$FE$9</f>
        <v>0</v>
      </c>
      <c r="M19" s="115">
        <f t="shared" si="5"/>
        <v>3</v>
      </c>
    </row>
    <row r="20" spans="1:13" x14ac:dyDescent="0.2">
      <c r="A20" s="71" t="s">
        <v>58</v>
      </c>
      <c r="B20" s="116">
        <f>SUM(B18:B19)</f>
        <v>0</v>
      </c>
      <c r="C20" s="116">
        <f>SUM(C18:C19)</f>
        <v>0</v>
      </c>
      <c r="D20" s="116">
        <f t="shared" ref="D20" si="9">SUM(D18:D19)</f>
        <v>0</v>
      </c>
      <c r="E20" s="286">
        <f>SUM(E18:E19)</f>
        <v>2</v>
      </c>
      <c r="F20" s="116">
        <f t="shared" ref="F20:L20" si="10">SUM(F18:F19)</f>
        <v>1</v>
      </c>
      <c r="G20" s="116">
        <f t="shared" si="10"/>
        <v>0</v>
      </c>
      <c r="H20" s="116">
        <f t="shared" si="10"/>
        <v>0</v>
      </c>
      <c r="I20" s="286">
        <f>SUM(I18:I19)</f>
        <v>0</v>
      </c>
      <c r="J20" s="116">
        <f t="shared" ref="J20" si="11">SUM(J18:J19)</f>
        <v>0</v>
      </c>
      <c r="K20" s="116">
        <f t="shared" si="10"/>
        <v>0</v>
      </c>
      <c r="L20" s="116">
        <f t="shared" si="10"/>
        <v>0</v>
      </c>
      <c r="M20" s="117">
        <f t="shared" si="5"/>
        <v>3</v>
      </c>
    </row>
    <row r="21" spans="1:13" ht="15.75" thickBot="1" x14ac:dyDescent="0.3">
      <c r="A21" s="72" t="s">
        <v>28</v>
      </c>
      <c r="B21" s="122">
        <f>SUM(B20,B17)</f>
        <v>0</v>
      </c>
      <c r="C21" s="122">
        <f>SUM(C20,C17)</f>
        <v>0</v>
      </c>
      <c r="D21" s="122">
        <f t="shared" ref="D21" si="12">SUM(D20,D17)</f>
        <v>44</v>
      </c>
      <c r="E21" s="122">
        <f t="shared" ref="E21:L21" si="13">SUM(E20,E17)</f>
        <v>928</v>
      </c>
      <c r="F21" s="122">
        <f t="shared" si="13"/>
        <v>468</v>
      </c>
      <c r="G21" s="122">
        <f t="shared" si="13"/>
        <v>6</v>
      </c>
      <c r="H21" s="122">
        <f t="shared" si="13"/>
        <v>56</v>
      </c>
      <c r="I21" s="122">
        <f t="shared" ref="I21:J21" si="14">SUM(I20,I17)</f>
        <v>281</v>
      </c>
      <c r="J21" s="122">
        <f t="shared" si="14"/>
        <v>102</v>
      </c>
      <c r="K21" s="122">
        <f t="shared" si="13"/>
        <v>0</v>
      </c>
      <c r="L21" s="122">
        <f t="shared" si="13"/>
        <v>0</v>
      </c>
      <c r="M21" s="123">
        <f t="shared" si="5"/>
        <v>1885</v>
      </c>
    </row>
    <row r="22" spans="1:13" ht="3.75" customHeight="1" thickBot="1" x14ac:dyDescent="0.25"/>
    <row r="23" spans="1:13" ht="15.75" thickTop="1" x14ac:dyDescent="0.25">
      <c r="A23" s="65" t="s">
        <v>117</v>
      </c>
      <c r="B23" s="138"/>
      <c r="C23" s="138"/>
      <c r="D23" s="138"/>
      <c r="E23" s="138"/>
      <c r="F23" s="139"/>
      <c r="G23" s="139"/>
      <c r="H23" s="138"/>
      <c r="I23" s="138"/>
      <c r="J23" s="138"/>
      <c r="K23" s="139"/>
      <c r="L23" s="138"/>
      <c r="M23" s="140"/>
    </row>
    <row r="24" spans="1:13" x14ac:dyDescent="0.2">
      <c r="A24" s="75" t="s">
        <v>36</v>
      </c>
      <c r="B24" s="130"/>
      <c r="C24" s="130"/>
      <c r="D24" s="130"/>
      <c r="F24" s="131"/>
      <c r="G24" s="131"/>
      <c r="H24" s="130"/>
      <c r="J24" s="130"/>
      <c r="K24" s="132"/>
      <c r="L24" s="130"/>
      <c r="M24" s="110"/>
    </row>
    <row r="25" spans="1:13" x14ac:dyDescent="0.2">
      <c r="A25" s="75" t="s">
        <v>37</v>
      </c>
      <c r="B25" s="130">
        <f>'[3]Shuttle America'!$FE$47</f>
        <v>0</v>
      </c>
      <c r="C25" s="130">
        <f>'[3]Shuttle America_Delta'!$FE$47</f>
        <v>0</v>
      </c>
      <c r="D25" s="130">
        <f>[3]PSA!$FE$47</f>
        <v>0</v>
      </c>
      <c r="E25" s="130">
        <f>[3]Compass!$FE$47</f>
        <v>0</v>
      </c>
      <c r="F25" s="131">
        <f>'[3]Atlantic Southeast'!$FE$47</f>
        <v>0</v>
      </c>
      <c r="G25" s="131">
        <f>'[3]Continental Express'!$FE$47</f>
        <v>0</v>
      </c>
      <c r="H25" s="130">
        <f>'[3]Go Jet_UA'!$FE$47</f>
        <v>0</v>
      </c>
      <c r="I25" s="130">
        <f>'[3]Go Jet'!$FE$47</f>
        <v>374</v>
      </c>
      <c r="J25" s="130">
        <f>'[3]Sky Regional'!$FE$47</f>
        <v>0</v>
      </c>
      <c r="K25" s="132">
        <f>'[3]Air Wisconsin'!$FE$47</f>
        <v>0</v>
      </c>
      <c r="L25" s="130">
        <f>[3]MESA!$FE$47</f>
        <v>0</v>
      </c>
      <c r="M25" s="110">
        <f>SUM(B25:L25)</f>
        <v>374</v>
      </c>
    </row>
    <row r="26" spans="1:13" x14ac:dyDescent="0.2">
      <c r="A26" s="75" t="s">
        <v>38</v>
      </c>
      <c r="B26" s="130">
        <f>'[3]Shuttle America'!$FE$48</f>
        <v>0</v>
      </c>
      <c r="C26" s="130">
        <f>'[3]Shuttle America_Delta'!$FE$48</f>
        <v>0</v>
      </c>
      <c r="D26" s="130">
        <f>[3]PSA!$FE$48</f>
        <v>0</v>
      </c>
      <c r="E26" s="130">
        <f>[3]Compass!$FE$48</f>
        <v>0</v>
      </c>
      <c r="F26" s="131">
        <f>'[3]Atlantic Southeast'!$FE$48</f>
        <v>0</v>
      </c>
      <c r="G26" s="131">
        <f>'[3]Continental Express'!$FE$48</f>
        <v>0</v>
      </c>
      <c r="H26" s="130">
        <f>'[3]Go Jet_UA'!$FE$48</f>
        <v>0</v>
      </c>
      <c r="I26" s="130">
        <f>'[3]Go Jet'!$FE$48</f>
        <v>0</v>
      </c>
      <c r="J26" s="130">
        <f>'[3]Sky Regional'!$FE$48</f>
        <v>0</v>
      </c>
      <c r="K26" s="132">
        <f>'[3]Air Wisconsin'!$FE$48</f>
        <v>0</v>
      </c>
      <c r="L26" s="130">
        <f>[3]MESA!$FE$48</f>
        <v>0</v>
      </c>
      <c r="M26" s="110">
        <f>SUM(B26:L26)</f>
        <v>0</v>
      </c>
    </row>
    <row r="27" spans="1:13" ht="15" thickBot="1" x14ac:dyDescent="0.25">
      <c r="A27" s="73" t="s">
        <v>39</v>
      </c>
      <c r="B27" s="133">
        <f>SUM(B25:B26)</f>
        <v>0</v>
      </c>
      <c r="C27" s="133">
        <f>SUM(C25:C26)</f>
        <v>0</v>
      </c>
      <c r="D27" s="133">
        <f t="shared" ref="D27" si="15">SUM(D25:D26)</f>
        <v>0</v>
      </c>
      <c r="E27" s="133">
        <f>SUM(E25:E26)</f>
        <v>0</v>
      </c>
      <c r="F27" s="133">
        <f t="shared" ref="F27:L27" si="16">SUM(F25:F26)</f>
        <v>0</v>
      </c>
      <c r="G27" s="133">
        <f t="shared" si="16"/>
        <v>0</v>
      </c>
      <c r="H27" s="133">
        <f t="shared" si="16"/>
        <v>0</v>
      </c>
      <c r="I27" s="133">
        <f>SUM(I25:I26)</f>
        <v>374</v>
      </c>
      <c r="J27" s="133">
        <f t="shared" ref="J27" si="17">SUM(J25:J26)</f>
        <v>0</v>
      </c>
      <c r="K27" s="133">
        <f t="shared" si="16"/>
        <v>0</v>
      </c>
      <c r="L27" s="133">
        <f t="shared" si="16"/>
        <v>0</v>
      </c>
      <c r="M27" s="134">
        <f>SUM(B27:L27)</f>
        <v>374</v>
      </c>
    </row>
    <row r="28" spans="1:13" ht="7.5" customHeight="1" thickTop="1" x14ac:dyDescent="0.2">
      <c r="A28" s="75"/>
      <c r="B28" s="130"/>
      <c r="C28" s="130"/>
      <c r="D28" s="130"/>
      <c r="E28" s="130"/>
      <c r="F28" s="131"/>
      <c r="G28" s="131"/>
      <c r="H28" s="130"/>
      <c r="I28" s="130"/>
      <c r="J28" s="130"/>
      <c r="K28" s="132"/>
      <c r="L28" s="130"/>
      <c r="M28" s="110"/>
    </row>
    <row r="29" spans="1:13" x14ac:dyDescent="0.2">
      <c r="A29" s="75" t="s">
        <v>40</v>
      </c>
      <c r="B29" s="130"/>
      <c r="C29" s="130"/>
      <c r="D29" s="130"/>
      <c r="E29" s="130"/>
      <c r="F29" s="131"/>
      <c r="G29" s="131"/>
      <c r="H29" s="130"/>
      <c r="I29" s="130"/>
      <c r="J29" s="130"/>
      <c r="K29" s="132"/>
      <c r="L29" s="130"/>
      <c r="M29" s="110"/>
    </row>
    <row r="30" spans="1:13" x14ac:dyDescent="0.2">
      <c r="A30" s="75" t="s">
        <v>59</v>
      </c>
      <c r="B30" s="130">
        <f>'[3]Shuttle America'!$FE$52</f>
        <v>0</v>
      </c>
      <c r="C30" s="130">
        <f>'[3]Shuttle America_Delta'!$FE$52</f>
        <v>0</v>
      </c>
      <c r="D30" s="130">
        <f>[3]PSA!$FE$52</f>
        <v>0</v>
      </c>
      <c r="E30" s="130">
        <f>[3]Compass!$FE$52</f>
        <v>0</v>
      </c>
      <c r="F30" s="131">
        <f>'[3]Atlantic Southeast'!$FE$52</f>
        <v>0</v>
      </c>
      <c r="G30" s="131">
        <f>'[3]Continental Express'!$FE$52</f>
        <v>0</v>
      </c>
      <c r="H30" s="130">
        <f>'[3]Go Jet_UA'!$FE$52</f>
        <v>0</v>
      </c>
      <c r="I30" s="130">
        <f>'[3]Go Jet'!$FE$52</f>
        <v>0</v>
      </c>
      <c r="J30" s="130">
        <f>'[3]Sky Regional'!$FE$52</f>
        <v>0</v>
      </c>
      <c r="K30" s="132">
        <f>'[3]Air Wisconsin'!BH$52</f>
        <v>0</v>
      </c>
      <c r="L30" s="130">
        <f>[3]MESA!$FE$52</f>
        <v>0</v>
      </c>
      <c r="M30" s="110">
        <f>SUM(B30:L30)</f>
        <v>0</v>
      </c>
    </row>
    <row r="31" spans="1:13" x14ac:dyDescent="0.2">
      <c r="A31" s="75" t="s">
        <v>60</v>
      </c>
      <c r="B31" s="130">
        <f>'[3]Shuttle America'!$FE$53</f>
        <v>0</v>
      </c>
      <c r="C31" s="130">
        <f>'[3]Shuttle America_Delta'!$FE$53</f>
        <v>0</v>
      </c>
      <c r="D31" s="130">
        <f>[3]PSA!$FE$53</f>
        <v>0</v>
      </c>
      <c r="E31" s="130">
        <f>[3]Compass!$FE$53</f>
        <v>0</v>
      </c>
      <c r="F31" s="131">
        <f>'[3]Atlantic Southeast'!$FE$53</f>
        <v>0</v>
      </c>
      <c r="G31" s="131">
        <f>'[3]Continental Express'!$FE$53</f>
        <v>0</v>
      </c>
      <c r="H31" s="130">
        <f>'[3]Go Jet_UA'!$FE$53</f>
        <v>0</v>
      </c>
      <c r="I31" s="130">
        <f>'[3]Go Jet'!$FE$53</f>
        <v>0</v>
      </c>
      <c r="J31" s="130">
        <f>'[3]Sky Regional'!$FE$53</f>
        <v>0</v>
      </c>
      <c r="K31" s="132">
        <f>'[3]Air Wisconsin'!$FE$53</f>
        <v>0</v>
      </c>
      <c r="L31" s="130">
        <f>[3]MESA!$FE$53</f>
        <v>0</v>
      </c>
      <c r="M31" s="110">
        <f>SUM(B31:L31)</f>
        <v>0</v>
      </c>
    </row>
    <row r="32" spans="1:13" ht="15" thickBot="1" x14ac:dyDescent="0.25">
      <c r="A32" s="73" t="s">
        <v>41</v>
      </c>
      <c r="B32" s="133">
        <f t="shared" ref="B32:L32" si="18">SUM(B30:B31)</f>
        <v>0</v>
      </c>
      <c r="C32" s="133">
        <f t="shared" si="18"/>
        <v>0</v>
      </c>
      <c r="D32" s="133">
        <f t="shared" si="18"/>
        <v>0</v>
      </c>
      <c r="E32" s="133">
        <f t="shared" si="18"/>
        <v>0</v>
      </c>
      <c r="F32" s="133">
        <f t="shared" si="18"/>
        <v>0</v>
      </c>
      <c r="G32" s="133">
        <f t="shared" si="18"/>
        <v>0</v>
      </c>
      <c r="H32" s="133">
        <f t="shared" si="18"/>
        <v>0</v>
      </c>
      <c r="I32" s="133">
        <f t="shared" ref="I32:J32" si="19">SUM(I30:I31)</f>
        <v>0</v>
      </c>
      <c r="J32" s="133">
        <f t="shared" si="19"/>
        <v>0</v>
      </c>
      <c r="K32" s="133">
        <f t="shared" si="18"/>
        <v>0</v>
      </c>
      <c r="L32" s="133">
        <f t="shared" si="18"/>
        <v>0</v>
      </c>
      <c r="M32" s="134">
        <f>SUM(B32:L32)</f>
        <v>0</v>
      </c>
    </row>
    <row r="33" spans="1:13" ht="13.5" hidden="1" thickTop="1" x14ac:dyDescent="0.2">
      <c r="A33" s="75"/>
      <c r="B33" s="130"/>
      <c r="C33" s="130"/>
      <c r="D33" s="130"/>
      <c r="E33" s="130"/>
      <c r="F33" s="131"/>
      <c r="G33" s="131"/>
      <c r="H33" s="130"/>
      <c r="I33" s="130"/>
      <c r="J33" s="130"/>
      <c r="K33" s="132"/>
      <c r="L33" s="130"/>
      <c r="M33" s="110"/>
    </row>
    <row r="34" spans="1:13" ht="13.5" hidden="1" thickTop="1" x14ac:dyDescent="0.2">
      <c r="A34" s="75" t="s">
        <v>42</v>
      </c>
      <c r="B34" s="130"/>
      <c r="C34" s="130"/>
      <c r="D34" s="130"/>
      <c r="E34" s="130"/>
      <c r="F34" s="131"/>
      <c r="G34" s="131"/>
      <c r="H34" s="130"/>
      <c r="I34" s="130"/>
      <c r="J34" s="130"/>
      <c r="K34" s="132"/>
      <c r="L34" s="130"/>
      <c r="M34" s="110"/>
    </row>
    <row r="35" spans="1:13" ht="13.5" hidden="1" thickTop="1" x14ac:dyDescent="0.2">
      <c r="A35" s="75" t="s">
        <v>37</v>
      </c>
      <c r="B35" s="130">
        <f>'[3]Shuttle America'!$FE$57</f>
        <v>0</v>
      </c>
      <c r="C35" s="130">
        <f>'[3]Shuttle America_Delta'!$FE$57</f>
        <v>0</v>
      </c>
      <c r="D35" s="130">
        <f>[3]PSA!$FE$57</f>
        <v>0</v>
      </c>
      <c r="E35" s="130">
        <f>[3]Compass!$FE$57</f>
        <v>0</v>
      </c>
      <c r="F35" s="131">
        <f>'[3]Atlantic Southeast'!$FE$57</f>
        <v>0</v>
      </c>
      <c r="G35" s="131">
        <f>'[3]Continental Express'!$FE$57</f>
        <v>0</v>
      </c>
      <c r="H35" s="130">
        <f>'[3]Go Jet_UA'!$AJ$57</f>
        <v>0</v>
      </c>
      <c r="I35" s="130">
        <f>'[3]Go Jet'!$FE$57</f>
        <v>0</v>
      </c>
      <c r="J35" s="130">
        <f>[3]Republic!$FE$57</f>
        <v>0</v>
      </c>
      <c r="K35" s="132">
        <f>'[3]Air Wisconsin'!BG$57</f>
        <v>0</v>
      </c>
      <c r="L35" s="130">
        <f>[3]MESA!$AJ$57</f>
        <v>0</v>
      </c>
      <c r="M35" s="110">
        <f>SUM(B35:L35)</f>
        <v>0</v>
      </c>
    </row>
    <row r="36" spans="1:13" ht="13.5" hidden="1" thickTop="1" x14ac:dyDescent="0.2">
      <c r="A36" s="75" t="s">
        <v>38</v>
      </c>
      <c r="B36" s="130">
        <f>'[3]Shuttle America'!BG$58</f>
        <v>0</v>
      </c>
      <c r="C36" s="130">
        <f>'[3]Shuttle America_Delta'!BH$58</f>
        <v>0</v>
      </c>
      <c r="D36" s="130">
        <f>[3]PSA!BG$58</f>
        <v>0</v>
      </c>
      <c r="E36" s="130">
        <f>[3]Compass!BG$58</f>
        <v>0</v>
      </c>
      <c r="F36" s="131">
        <f>'[3]Atlantic Southeast'!BG$58</f>
        <v>0</v>
      </c>
      <c r="G36" s="131">
        <f>'[3]Continental Express'!BG$58</f>
        <v>0</v>
      </c>
      <c r="H36" s="130">
        <f>'[3]Go Jet_UA'!$AJ$58</f>
        <v>0</v>
      </c>
      <c r="I36" s="130">
        <f>'[3]Go Jet'!BK$58</f>
        <v>0</v>
      </c>
      <c r="J36" s="130">
        <f>[3]Republic!$FE$58</f>
        <v>0</v>
      </c>
      <c r="K36" s="132">
        <f>'[3]Air Wisconsin'!BG$58</f>
        <v>0</v>
      </c>
      <c r="L36" s="130">
        <f>[3]MESA!$AJ$58</f>
        <v>0</v>
      </c>
      <c r="M36" s="110">
        <f>SUM(B36:L36)</f>
        <v>0</v>
      </c>
    </row>
    <row r="37" spans="1:13" ht="13.5" hidden="1" thickTop="1" x14ac:dyDescent="0.2">
      <c r="A37" s="76" t="s">
        <v>43</v>
      </c>
      <c r="B37" s="141">
        <f>SUM(B35:B36)</f>
        <v>0</v>
      </c>
      <c r="C37" s="141">
        <f>SUM(C35:C36)</f>
        <v>0</v>
      </c>
      <c r="D37" s="141">
        <f t="shared" ref="D37" si="20">SUM(D35:D36)</f>
        <v>0</v>
      </c>
      <c r="E37" s="141">
        <f>SUM(E35:E36)</f>
        <v>0</v>
      </c>
      <c r="F37" s="142">
        <f t="shared" ref="F37:L37" si="21">SUM(F35:F36)</f>
        <v>0</v>
      </c>
      <c r="G37" s="142">
        <f t="shared" si="21"/>
        <v>0</v>
      </c>
      <c r="H37" s="141">
        <f t="shared" si="21"/>
        <v>0</v>
      </c>
      <c r="I37" s="141">
        <f>SUM(I35:I36)</f>
        <v>0</v>
      </c>
      <c r="J37" s="141">
        <f t="shared" ref="J37" si="22">SUM(J35:J36)</f>
        <v>0</v>
      </c>
      <c r="K37" s="141">
        <f t="shared" si="21"/>
        <v>0</v>
      </c>
      <c r="L37" s="141">
        <f t="shared" si="21"/>
        <v>0</v>
      </c>
      <c r="M37" s="143">
        <f>SUM(B37:L37)</f>
        <v>0</v>
      </c>
    </row>
    <row r="38" spans="1:13" ht="6.75" customHeight="1" thickTop="1" x14ac:dyDescent="0.2">
      <c r="A38" s="75"/>
      <c r="B38" s="130"/>
      <c r="C38" s="130"/>
      <c r="D38" s="130"/>
      <c r="E38" s="130"/>
      <c r="F38" s="131"/>
      <c r="G38" s="131"/>
      <c r="H38" s="130"/>
      <c r="I38" s="130"/>
      <c r="J38" s="130"/>
      <c r="K38" s="132"/>
      <c r="L38" s="130"/>
      <c r="M38" s="110"/>
    </row>
    <row r="39" spans="1:13" x14ac:dyDescent="0.2">
      <c r="A39" s="75" t="s">
        <v>44</v>
      </c>
      <c r="B39" s="130"/>
      <c r="C39" s="130"/>
      <c r="D39" s="130"/>
      <c r="E39" s="130"/>
      <c r="F39" s="131"/>
      <c r="G39" s="131"/>
      <c r="H39" s="130"/>
      <c r="I39" s="130"/>
      <c r="J39" s="130"/>
      <c r="K39" s="132"/>
      <c r="L39" s="130"/>
      <c r="M39" s="110"/>
    </row>
    <row r="40" spans="1:13" x14ac:dyDescent="0.2">
      <c r="A40" s="75" t="s">
        <v>45</v>
      </c>
      <c r="B40" s="130">
        <f t="shared" ref="B40:L40" si="23">SUM(B35,B30,B25)</f>
        <v>0</v>
      </c>
      <c r="C40" s="130">
        <f>SUM(C35,C30,C25)</f>
        <v>0</v>
      </c>
      <c r="D40" s="130">
        <f t="shared" ref="D40:D41" si="24">SUM(D35,D30,D25)</f>
        <v>0</v>
      </c>
      <c r="E40" s="130">
        <f t="shared" si="23"/>
        <v>0</v>
      </c>
      <c r="F40" s="130">
        <f t="shared" si="23"/>
        <v>0</v>
      </c>
      <c r="G40" s="130">
        <f t="shared" si="23"/>
        <v>0</v>
      </c>
      <c r="H40" s="130">
        <f>SUM(H35,H30,H25)</f>
        <v>0</v>
      </c>
      <c r="I40" s="130">
        <f t="shared" ref="I40:J42" si="25">SUM(I35,I30,I25)</f>
        <v>374</v>
      </c>
      <c r="J40" s="130">
        <f t="shared" si="25"/>
        <v>0</v>
      </c>
      <c r="K40" s="130">
        <f t="shared" si="23"/>
        <v>0</v>
      </c>
      <c r="L40" s="130">
        <f t="shared" si="23"/>
        <v>0</v>
      </c>
      <c r="M40" s="110">
        <f>SUM(B40:L40)</f>
        <v>374</v>
      </c>
    </row>
    <row r="41" spans="1:13" x14ac:dyDescent="0.2">
      <c r="A41" s="75" t="s">
        <v>38</v>
      </c>
      <c r="B41" s="130">
        <f>SUM(B36,B31,B26)</f>
        <v>0</v>
      </c>
      <c r="C41" s="130">
        <f>SUM(C36,C31,C26)</f>
        <v>0</v>
      </c>
      <c r="D41" s="130">
        <f t="shared" si="24"/>
        <v>0</v>
      </c>
      <c r="E41" s="130">
        <f t="shared" ref="E41:L41" si="26">SUM(E36,E31,E26)</f>
        <v>0</v>
      </c>
      <c r="F41" s="130">
        <f t="shared" si="26"/>
        <v>0</v>
      </c>
      <c r="G41" s="130">
        <f t="shared" si="26"/>
        <v>0</v>
      </c>
      <c r="H41" s="130">
        <f>SUM(H36,H31,H26)</f>
        <v>0</v>
      </c>
      <c r="I41" s="130">
        <f t="shared" ref="I41" si="27">SUM(I36,I31,I26)</f>
        <v>0</v>
      </c>
      <c r="J41" s="130">
        <f t="shared" si="25"/>
        <v>0</v>
      </c>
      <c r="K41" s="130">
        <f t="shared" si="26"/>
        <v>0</v>
      </c>
      <c r="L41" s="130">
        <f t="shared" si="26"/>
        <v>0</v>
      </c>
      <c r="M41" s="110">
        <f>SUM(B41:L41)</f>
        <v>0</v>
      </c>
    </row>
    <row r="42" spans="1:13" ht="15" thickBot="1" x14ac:dyDescent="0.25">
      <c r="A42" s="74" t="s">
        <v>46</v>
      </c>
      <c r="B42" s="136">
        <f>SUM(B40:B41)</f>
        <v>0</v>
      </c>
      <c r="C42" s="136">
        <f>SUM(C40:C41)</f>
        <v>0</v>
      </c>
      <c r="D42" s="136">
        <f t="shared" ref="D42" si="28">SUM(D40:D41)</f>
        <v>0</v>
      </c>
      <c r="E42" s="136">
        <f t="shared" ref="E42:L42" si="29">SUM(E40:E41)</f>
        <v>0</v>
      </c>
      <c r="F42" s="136">
        <f t="shared" si="29"/>
        <v>0</v>
      </c>
      <c r="G42" s="136">
        <f t="shared" si="29"/>
        <v>0</v>
      </c>
      <c r="H42" s="136">
        <f t="shared" si="29"/>
        <v>0</v>
      </c>
      <c r="I42" s="136">
        <f t="shared" ref="I42" si="30">SUM(I40:I41)</f>
        <v>374</v>
      </c>
      <c r="J42" s="136">
        <f t="shared" si="25"/>
        <v>0</v>
      </c>
      <c r="K42" s="136">
        <f t="shared" si="29"/>
        <v>0</v>
      </c>
      <c r="L42" s="136">
        <f t="shared" si="29"/>
        <v>0</v>
      </c>
      <c r="M42" s="137">
        <f>SUM(B42:L42)</f>
        <v>374</v>
      </c>
    </row>
    <row r="43" spans="1:13" ht="4.5" customHeight="1" x14ac:dyDescent="0.2"/>
    <row r="44" spans="1:13" hidden="1" x14ac:dyDescent="0.2">
      <c r="A44" s="323" t="s">
        <v>127</v>
      </c>
      <c r="E44" s="322">
        <f>[3]Compass!BG$70+[3]Compass!BG$73</f>
        <v>27782</v>
      </c>
      <c r="F44" s="308"/>
      <c r="I44" s="322">
        <f>'[3]Go Jet'!BK$70+'[3]Go Jet'!BK$73</f>
        <v>0</v>
      </c>
      <c r="J44" s="5"/>
      <c r="M44" s="310">
        <f>SUM(E44:E44)</f>
        <v>27782</v>
      </c>
    </row>
    <row r="45" spans="1:13" hidden="1" x14ac:dyDescent="0.2">
      <c r="A45" s="323" t="s">
        <v>128</v>
      </c>
      <c r="E45" s="322">
        <f>[3]Compass!BG$71+[3]Compass!BG$74</f>
        <v>47176</v>
      </c>
      <c r="F45" s="326"/>
      <c r="I45" s="322">
        <f>'[3]Go Jet'!BK$71+'[3]Go Jet'!BK$74</f>
        <v>0</v>
      </c>
      <c r="J45" s="5"/>
      <c r="M45" s="310">
        <f>SUM(E45:E45)</f>
        <v>47176</v>
      </c>
    </row>
    <row r="46" spans="1:13" x14ac:dyDescent="0.2">
      <c r="A46" s="381" t="s">
        <v>124</v>
      </c>
      <c r="C46" s="322">
        <f>'[3]Shuttle America_Delta'!$FE$70+'[3]Shuttle America_Delta'!$FE$73</f>
        <v>0</v>
      </c>
      <c r="E46" s="322">
        <f>[3]Compass!$FE$70+[3]Compass!$FE$73</f>
        <v>11523</v>
      </c>
      <c r="F46" s="322">
        <f>'[3]Atlantic Southeast'!$FE$70+'[3]Atlantic Southeast'!$FE$73</f>
        <v>5030</v>
      </c>
      <c r="I46" s="322">
        <f>'[3]Go Jet'!$FE$70+'[3]Go Jet'!$FE$73</f>
        <v>3897</v>
      </c>
      <c r="J46" s="5"/>
      <c r="M46" s="394">
        <f>SUM(B46:L46)</f>
        <v>20450</v>
      </c>
    </row>
    <row r="47" spans="1:13" x14ac:dyDescent="0.2">
      <c r="A47" s="395" t="s">
        <v>125</v>
      </c>
      <c r="C47" s="322">
        <f>'[3]Shuttle America_Delta'!$FE$71+'[3]Shuttle America_Delta'!$FE$74</f>
        <v>0</v>
      </c>
      <c r="E47" s="322">
        <f>[3]Compass!$FE$71+[3]Compass!$FE$74</f>
        <v>17501</v>
      </c>
      <c r="F47" s="322">
        <f>'[3]Atlantic Southeast'!$FE$71+'[3]Atlantic Southeast'!$FE$74</f>
        <v>8278</v>
      </c>
      <c r="I47" s="322">
        <f>'[3]Go Jet'!$FE$71+'[3]Go Jet'!$FE$74</f>
        <v>4668</v>
      </c>
      <c r="J47" s="5"/>
      <c r="M47" s="394">
        <f>SUM(B47:L47)</f>
        <v>30447</v>
      </c>
    </row>
  </sheetData>
  <phoneticPr fontId="6" type="noConversion"/>
  <printOptions horizontalCentered="1"/>
  <pageMargins left="0.75" right="0.75" top="0.92" bottom="1" header="0.5" footer="0.5"/>
  <pageSetup scale="88" orientation="landscape" r:id="rId1"/>
  <headerFooter alignWithMargins="0">
    <oddHeader>&amp;L
Schedule 5
&amp;CMinneapolis-St. Paul International Airport
&amp;"Arial,Bold"Other Regional
June 2017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zoomScaleNormal="100" workbookViewId="0">
      <selection activeCell="B26" sqref="B26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84">
        <v>42887</v>
      </c>
      <c r="B2" s="180" t="s">
        <v>119</v>
      </c>
      <c r="C2" s="180" t="s">
        <v>156</v>
      </c>
      <c r="D2" s="102" t="s">
        <v>78</v>
      </c>
      <c r="E2" s="102" t="s">
        <v>157</v>
      </c>
      <c r="F2" s="180" t="s">
        <v>133</v>
      </c>
      <c r="G2" s="174" t="s">
        <v>79</v>
      </c>
    </row>
    <row r="3" spans="1:17" x14ac:dyDescent="0.2">
      <c r="A3" s="278" t="s">
        <v>3</v>
      </c>
      <c r="B3" s="186"/>
      <c r="C3" s="185"/>
      <c r="D3" s="185"/>
      <c r="E3" s="185"/>
      <c r="F3" s="185"/>
      <c r="G3" s="269"/>
    </row>
    <row r="4" spans="1:17" x14ac:dyDescent="0.2">
      <c r="A4" s="62" t="s">
        <v>29</v>
      </c>
      <c r="B4" s="423"/>
      <c r="C4" s="184"/>
      <c r="D4" s="184"/>
      <c r="E4" s="184"/>
      <c r="F4" s="184"/>
      <c r="G4" s="254"/>
    </row>
    <row r="5" spans="1:17" x14ac:dyDescent="0.2">
      <c r="A5" s="62" t="s">
        <v>30</v>
      </c>
      <c r="B5" s="423">
        <f>'[3]Charter Misc'!$FE$22</f>
        <v>489</v>
      </c>
      <c r="C5" s="184">
        <f>[3]Ryan!$FE$22</f>
        <v>0</v>
      </c>
      <c r="D5" s="184">
        <f>'[3]Charter Misc'!$FE$32</f>
        <v>340</v>
      </c>
      <c r="E5" s="184">
        <f>[3]Omni!$FE$32</f>
        <v>0</v>
      </c>
      <c r="F5" s="184">
        <f>[3]Xtra!$FE$32+[3]Xtra!$FE$22</f>
        <v>0</v>
      </c>
      <c r="G5" s="343">
        <f>SUM(B5:F5)</f>
        <v>829</v>
      </c>
    </row>
    <row r="6" spans="1:17" x14ac:dyDescent="0.2">
      <c r="A6" s="62" t="s">
        <v>31</v>
      </c>
      <c r="B6" s="424">
        <f>'[3]Charter Misc'!$FE$23</f>
        <v>475</v>
      </c>
      <c r="C6" s="187">
        <f>[3]Ryan!$FE$23</f>
        <v>0</v>
      </c>
      <c r="D6" s="187">
        <f>'[3]Charter Misc'!$FE$33</f>
        <v>336</v>
      </c>
      <c r="E6" s="187">
        <f>[3]Omni!$FE$33</f>
        <v>0</v>
      </c>
      <c r="F6" s="187">
        <f>[3]Xtra!$FE$33+[3]Xtra!$FE$23</f>
        <v>0</v>
      </c>
      <c r="G6" s="342">
        <f>SUM(B6:F6)</f>
        <v>811</v>
      </c>
    </row>
    <row r="7" spans="1:17" ht="15.75" thickBot="1" x14ac:dyDescent="0.3">
      <c r="A7" s="183" t="s">
        <v>7</v>
      </c>
      <c r="B7" s="425">
        <f>SUM(B5:B6)</f>
        <v>964</v>
      </c>
      <c r="C7" s="298">
        <f>SUM(C5:C6)</f>
        <v>0</v>
      </c>
      <c r="D7" s="298">
        <f>SUM(D5:D6)</f>
        <v>676</v>
      </c>
      <c r="E7" s="298">
        <f>SUM(E5:E6)</f>
        <v>0</v>
      </c>
      <c r="F7" s="298">
        <f>SUM(F5:F6)</f>
        <v>0</v>
      </c>
      <c r="G7" s="299">
        <f>SUM(B7:F7)</f>
        <v>1640</v>
      </c>
    </row>
    <row r="8" spans="1:17" ht="13.5" thickBot="1" x14ac:dyDescent="0.25"/>
    <row r="9" spans="1:17" x14ac:dyDescent="0.2">
      <c r="A9" s="181" t="s">
        <v>9</v>
      </c>
      <c r="B9" s="426"/>
      <c r="C9" s="45"/>
      <c r="D9" s="45"/>
      <c r="E9" s="45"/>
      <c r="F9" s="45"/>
      <c r="G9" s="57"/>
    </row>
    <row r="10" spans="1:17" x14ac:dyDescent="0.2">
      <c r="A10" s="182" t="s">
        <v>80</v>
      </c>
      <c r="B10" s="423">
        <f>'[3]Charter Misc'!$FE$4</f>
        <v>3</v>
      </c>
      <c r="C10" s="184">
        <f>[3]Ryan!$FE$4</f>
        <v>0</v>
      </c>
      <c r="D10" s="184">
        <f>'[3]Charter Misc'!$FE$15</f>
        <v>1</v>
      </c>
      <c r="E10" s="184">
        <f>[3]Omni!$FE$15</f>
        <v>0</v>
      </c>
      <c r="F10" s="184">
        <f>[3]Xtra!$FE$15+[3]Xtra!$FE$4</f>
        <v>0</v>
      </c>
      <c r="G10" s="342">
        <f>SUM(B10:F10)</f>
        <v>4</v>
      </c>
    </row>
    <row r="11" spans="1:17" x14ac:dyDescent="0.2">
      <c r="A11" s="182" t="s">
        <v>81</v>
      </c>
      <c r="B11" s="423">
        <f>'[3]Charter Misc'!$FE$5</f>
        <v>3</v>
      </c>
      <c r="C11" s="184">
        <f>[3]Ryan!$FE$5</f>
        <v>0</v>
      </c>
      <c r="D11" s="184">
        <f>'[3]Charter Misc'!$FE$16</f>
        <v>2</v>
      </c>
      <c r="E11" s="184">
        <f>[3]Omni!$FE$16</f>
        <v>0</v>
      </c>
      <c r="F11" s="184">
        <f>[3]Xtra!$FE$16+[3]Xtra!$FE$5</f>
        <v>0</v>
      </c>
      <c r="G11" s="342">
        <f>SUM(B11:F11)</f>
        <v>5</v>
      </c>
    </row>
    <row r="12" spans="1:17" ht="15.75" thickBot="1" x14ac:dyDescent="0.3">
      <c r="A12" s="277" t="s">
        <v>28</v>
      </c>
      <c r="B12" s="427">
        <f>SUM(B10:B11)</f>
        <v>6</v>
      </c>
      <c r="C12" s="300">
        <f>SUM(C10:C11)</f>
        <v>0</v>
      </c>
      <c r="D12" s="300">
        <f>SUM(D10:D11)</f>
        <v>3</v>
      </c>
      <c r="E12" s="300">
        <f>SUM(E10:E11)</f>
        <v>0</v>
      </c>
      <c r="F12" s="300">
        <f>SUM(F10:F11)</f>
        <v>0</v>
      </c>
      <c r="G12" s="301">
        <f>SUM(B12:F12)</f>
        <v>9</v>
      </c>
      <c r="Q12" s="130"/>
    </row>
    <row r="17" spans="1:16" x14ac:dyDescent="0.2">
      <c r="B17" s="526" t="s">
        <v>154</v>
      </c>
      <c r="C17" s="527"/>
      <c r="D17" s="527"/>
      <c r="E17" s="527"/>
      <c r="F17" s="527"/>
      <c r="G17" s="527"/>
      <c r="H17" s="527"/>
      <c r="I17" s="527"/>
      <c r="J17" s="527"/>
      <c r="K17" s="527"/>
      <c r="L17" s="527"/>
      <c r="M17" s="527"/>
      <c r="N17" s="527"/>
      <c r="O17" s="527"/>
      <c r="P17" s="528"/>
    </row>
    <row r="18" spans="1:16" ht="13.5" thickBot="1" x14ac:dyDescent="0.25">
      <c r="A18" s="317"/>
      <c r="E18" s="226"/>
      <c r="G18" s="226"/>
      <c r="H18" s="226"/>
      <c r="L18" s="233"/>
      <c r="N18" s="234"/>
    </row>
    <row r="19" spans="1:16" ht="13.5" customHeight="1" thickBot="1" x14ac:dyDescent="0.25">
      <c r="A19" s="409"/>
      <c r="B19" s="529" t="s">
        <v>121</v>
      </c>
      <c r="C19" s="530"/>
      <c r="D19" s="530"/>
      <c r="E19" s="531"/>
      <c r="G19" s="529" t="s">
        <v>122</v>
      </c>
      <c r="H19" s="532"/>
      <c r="I19" s="532"/>
      <c r="J19" s="533"/>
      <c r="L19" s="534" t="s">
        <v>123</v>
      </c>
      <c r="M19" s="535"/>
      <c r="N19" s="535"/>
      <c r="O19" s="536"/>
    </row>
    <row r="20" spans="1:16" ht="13.5" thickBot="1" x14ac:dyDescent="0.25">
      <c r="A20" s="237" t="s">
        <v>102</v>
      </c>
      <c r="B20" s="242" t="s">
        <v>103</v>
      </c>
      <c r="C20" s="8" t="s">
        <v>104</v>
      </c>
      <c r="D20" s="8" t="s">
        <v>199</v>
      </c>
      <c r="E20" s="8" t="s">
        <v>173</v>
      </c>
      <c r="F20" s="243" t="s">
        <v>99</v>
      </c>
      <c r="G20" s="8" t="s">
        <v>103</v>
      </c>
      <c r="H20" s="8" t="s">
        <v>104</v>
      </c>
      <c r="I20" s="465" t="s">
        <v>199</v>
      </c>
      <c r="J20" s="465" t="s">
        <v>173</v>
      </c>
      <c r="K20" s="243" t="s">
        <v>99</v>
      </c>
      <c r="L20" s="242" t="s">
        <v>103</v>
      </c>
      <c r="M20" s="236" t="s">
        <v>104</v>
      </c>
      <c r="N20" s="465" t="s">
        <v>199</v>
      </c>
      <c r="O20" s="465" t="s">
        <v>173</v>
      </c>
      <c r="P20" s="243" t="s">
        <v>99</v>
      </c>
    </row>
    <row r="21" spans="1:16" ht="14.1" customHeight="1" x14ac:dyDescent="0.2">
      <c r="A21" s="246" t="s">
        <v>105</v>
      </c>
      <c r="B21" s="515">
        <f>+[4]Charter!$B$21</f>
        <v>129673</v>
      </c>
      <c r="C21" s="516">
        <f>+[4]Charter!$C$21</f>
        <v>127074</v>
      </c>
      <c r="D21" s="337">
        <f t="shared" ref="D21:D32" si="0">SUM(B21:C21)</f>
        <v>256747</v>
      </c>
      <c r="E21" s="338">
        <f>[5]Charter!$D$21</f>
        <v>268275</v>
      </c>
      <c r="F21" s="341">
        <f t="shared" ref="F21:F32" si="1">(D21-E21)/E21</f>
        <v>-4.2970832168483832E-2</v>
      </c>
      <c r="G21" s="336">
        <f t="shared" ref="G21:H23" si="2">L21-B21</f>
        <v>1206061</v>
      </c>
      <c r="H21" s="337">
        <f t="shared" si="2"/>
        <v>1229618</v>
      </c>
      <c r="I21" s="337">
        <f>SUM(G21:H21)</f>
        <v>2435679</v>
      </c>
      <c r="J21" s="338">
        <f>[5]Charter!$I$21</f>
        <v>2429109</v>
      </c>
      <c r="K21" s="247">
        <f t="shared" ref="K21:K32" si="3">(I21-J21)/J21</f>
        <v>2.7046954253596689E-3</v>
      </c>
      <c r="L21" s="336">
        <f>+[4]Charter!$L$21</f>
        <v>1335734</v>
      </c>
      <c r="M21" s="337">
        <f>+[4]Charter!$M$21</f>
        <v>1356692</v>
      </c>
      <c r="N21" s="337">
        <f t="shared" ref="N21:N32" si="4">SUM(L21:M21)</f>
        <v>2692426</v>
      </c>
      <c r="O21" s="338">
        <f>[5]Charter!$N$21</f>
        <v>2697384</v>
      </c>
      <c r="P21" s="247">
        <f>(N21-O21)/O21</f>
        <v>-1.8380771888615044E-3</v>
      </c>
    </row>
    <row r="22" spans="1:16" ht="14.1" customHeight="1" x14ac:dyDescent="0.2">
      <c r="A22" s="248" t="s">
        <v>106</v>
      </c>
      <c r="B22" s="332">
        <f>+[6]Charter!$B$22</f>
        <v>134960</v>
      </c>
      <c r="C22" s="334">
        <f>+[6]Charter!$C$22</f>
        <v>137503</v>
      </c>
      <c r="D22" s="333">
        <f t="shared" si="0"/>
        <v>272463</v>
      </c>
      <c r="E22" s="340">
        <f>[7]Charter!$D$22</f>
        <v>281871</v>
      </c>
      <c r="F22" s="335">
        <f t="shared" si="1"/>
        <v>-3.3376970316208475E-2</v>
      </c>
      <c r="G22" s="332">
        <f t="shared" si="2"/>
        <v>1162157</v>
      </c>
      <c r="H22" s="334">
        <f t="shared" si="2"/>
        <v>1175802</v>
      </c>
      <c r="I22" s="333">
        <f>SUM(G22:H22)</f>
        <v>2337959</v>
      </c>
      <c r="J22" s="340">
        <f>[7]Charter!$I$22</f>
        <v>2359956</v>
      </c>
      <c r="K22" s="250">
        <f t="shared" si="3"/>
        <v>-9.3209364920362921E-3</v>
      </c>
      <c r="L22" s="332">
        <f>+[6]Charter!$L$22</f>
        <v>1297117</v>
      </c>
      <c r="M22" s="334">
        <f>+[6]Charter!$M$22</f>
        <v>1313305</v>
      </c>
      <c r="N22" s="333">
        <f t="shared" si="4"/>
        <v>2610422</v>
      </c>
      <c r="O22" s="340">
        <f>[7]Charter!$N$22</f>
        <v>2641827</v>
      </c>
      <c r="P22" s="249">
        <f t="shared" ref="P22:P32" si="5">(N22-O22)/O22</f>
        <v>-1.1887606569241664E-2</v>
      </c>
    </row>
    <row r="23" spans="1:16" ht="14.1" customHeight="1" x14ac:dyDescent="0.2">
      <c r="A23" s="248" t="s">
        <v>107</v>
      </c>
      <c r="B23" s="332">
        <f>+[8]Charter!$B$23</f>
        <v>173394</v>
      </c>
      <c r="C23" s="334">
        <f>+[8]Charter!$C$23</f>
        <v>175057</v>
      </c>
      <c r="D23" s="333">
        <f t="shared" ref="D23" si="6">SUM(B23:C23)</f>
        <v>348451</v>
      </c>
      <c r="E23" s="340">
        <f>[9]Charter!$D$23</f>
        <v>340464</v>
      </c>
      <c r="F23" s="249">
        <f t="shared" si="1"/>
        <v>2.3459161614737534E-2</v>
      </c>
      <c r="G23" s="332">
        <f t="shared" si="2"/>
        <v>1526700</v>
      </c>
      <c r="H23" s="334">
        <f t="shared" si="2"/>
        <v>1556530</v>
      </c>
      <c r="I23" s="333">
        <f>SUM(G23:H23)</f>
        <v>3083230</v>
      </c>
      <c r="J23" s="340">
        <f>[9]Charter!$I$23</f>
        <v>2975759</v>
      </c>
      <c r="K23" s="250">
        <f t="shared" si="3"/>
        <v>3.611549187955073E-2</v>
      </c>
      <c r="L23" s="332">
        <f>+[8]Charter!$L$23</f>
        <v>1700094</v>
      </c>
      <c r="M23" s="334">
        <f>+[8]Charter!$M$23</f>
        <v>1731587</v>
      </c>
      <c r="N23" s="333">
        <f t="shared" ref="N23" si="7">SUM(L23:M23)</f>
        <v>3431681</v>
      </c>
      <c r="O23" s="340">
        <f>[9]Charter!$N$23</f>
        <v>3316223</v>
      </c>
      <c r="P23" s="249">
        <f t="shared" si="5"/>
        <v>3.4816114597842181E-2</v>
      </c>
    </row>
    <row r="24" spans="1:16" ht="14.1" customHeight="1" x14ac:dyDescent="0.2">
      <c r="A24" s="248" t="s">
        <v>108</v>
      </c>
      <c r="B24" s="332">
        <f>+[10]Charter!$B$24</f>
        <v>133972</v>
      </c>
      <c r="C24" s="334">
        <f>+[10]Charter!$C$24</f>
        <v>117419</v>
      </c>
      <c r="D24" s="333">
        <f t="shared" ref="D24" si="8">SUM(B24:C24)</f>
        <v>251391</v>
      </c>
      <c r="E24" s="340">
        <f>[11]Charter!$D$24</f>
        <v>226655</v>
      </c>
      <c r="F24" s="249">
        <f t="shared" si="1"/>
        <v>0.10913502900884604</v>
      </c>
      <c r="G24" s="332">
        <f t="shared" ref="G24:G25" si="9">L24-B24</f>
        <v>1461023</v>
      </c>
      <c r="H24" s="334">
        <f t="shared" ref="H24:H25" si="10">M24-C24</f>
        <v>1382650</v>
      </c>
      <c r="I24" s="333">
        <f t="shared" ref="I24:I25" si="11">SUM(G24:H24)</f>
        <v>2843673</v>
      </c>
      <c r="J24" s="340">
        <f>[11]Charter!$I$24</f>
        <v>2776287</v>
      </c>
      <c r="K24" s="250">
        <f t="shared" si="3"/>
        <v>2.4271986289601904E-2</v>
      </c>
      <c r="L24" s="332">
        <f>+[10]Charter!$L$24</f>
        <v>1594995</v>
      </c>
      <c r="M24" s="334">
        <f>+[10]Charter!$M$24</f>
        <v>1500069</v>
      </c>
      <c r="N24" s="333">
        <f t="shared" ref="N24" si="12">SUM(L24:M24)</f>
        <v>3095064</v>
      </c>
      <c r="O24" s="340">
        <f>[11]Charter!$N$24</f>
        <v>3002942</v>
      </c>
      <c r="P24" s="249">
        <f t="shared" si="5"/>
        <v>3.0677249177639795E-2</v>
      </c>
    </row>
    <row r="25" spans="1:16" ht="14.1" customHeight="1" x14ac:dyDescent="0.2">
      <c r="A25" s="235" t="s">
        <v>76</v>
      </c>
      <c r="B25" s="332">
        <f>+[2]Charter!$B$25</f>
        <v>109004</v>
      </c>
      <c r="C25" s="334">
        <f>+[2]Charter!$C$25</f>
        <v>116438</v>
      </c>
      <c r="D25" s="333">
        <f t="shared" ref="D25" si="13">SUM(B25:C25)</f>
        <v>225442</v>
      </c>
      <c r="E25" s="340">
        <f>[12]Charter!$D$25</f>
        <v>198145</v>
      </c>
      <c r="F25" s="238">
        <f t="shared" si="1"/>
        <v>0.13776274950162759</v>
      </c>
      <c r="G25" s="332">
        <f t="shared" si="9"/>
        <v>1503452</v>
      </c>
      <c r="H25" s="334">
        <f t="shared" si="10"/>
        <v>1476784</v>
      </c>
      <c r="I25" s="333">
        <f t="shared" si="11"/>
        <v>2980236</v>
      </c>
      <c r="J25" s="340">
        <f>[12]Charter!$I$25</f>
        <v>2966121</v>
      </c>
      <c r="K25" s="244">
        <f t="shared" si="3"/>
        <v>4.7587404559692606E-3</v>
      </c>
      <c r="L25" s="332">
        <f>+[2]Charter!$L$25</f>
        <v>1612456</v>
      </c>
      <c r="M25" s="334">
        <f>+[2]Charter!$M$25</f>
        <v>1593222</v>
      </c>
      <c r="N25" s="333">
        <f t="shared" ref="N25" si="14">SUM(L25:M25)</f>
        <v>3205678</v>
      </c>
      <c r="O25" s="340">
        <f>[12]Charter!$N$25</f>
        <v>3164266</v>
      </c>
      <c r="P25" s="238">
        <f t="shared" si="5"/>
        <v>1.308739530747415E-2</v>
      </c>
    </row>
    <row r="26" spans="1:16" ht="14.1" customHeight="1" x14ac:dyDescent="0.2">
      <c r="A26" s="248" t="s">
        <v>109</v>
      </c>
      <c r="B26" s="332">
        <f>'Intl Detail'!$P$4+'Intl Detail'!$P$9</f>
        <v>122393</v>
      </c>
      <c r="C26" s="334">
        <f>'Intl Detail'!$P$5+'Intl Detail'!$P$10</f>
        <v>126058</v>
      </c>
      <c r="D26" s="333">
        <f t="shared" ref="D26" si="15">SUM(B26:C26)</f>
        <v>248451</v>
      </c>
      <c r="E26" s="340">
        <f>[1]Charter!$D$26</f>
        <v>244833</v>
      </c>
      <c r="F26" s="249">
        <f t="shared" si="1"/>
        <v>1.4777419710578232E-2</v>
      </c>
      <c r="G26" s="332">
        <f t="shared" ref="G26" si="16">L26-B26</f>
        <v>1634451</v>
      </c>
      <c r="H26" s="334">
        <f t="shared" ref="H26" si="17">M26-C26</f>
        <v>1612700</v>
      </c>
      <c r="I26" s="333">
        <f t="shared" ref="I26" si="18">SUM(G26:H26)</f>
        <v>3247151</v>
      </c>
      <c r="J26" s="340">
        <f>[1]Charter!$I$26</f>
        <v>3212037</v>
      </c>
      <c r="K26" s="250">
        <f t="shared" si="3"/>
        <v>1.0932003585263805E-2</v>
      </c>
      <c r="L26" s="332">
        <f>'Monthly Summary'!$B$11</f>
        <v>1756844</v>
      </c>
      <c r="M26" s="334">
        <f>'Monthly Summary'!$C$11</f>
        <v>1738758</v>
      </c>
      <c r="N26" s="333">
        <f t="shared" ref="N26" si="19">SUM(L26:M26)</f>
        <v>3495602</v>
      </c>
      <c r="O26" s="340">
        <f>[1]Charter!$N$26</f>
        <v>3456870</v>
      </c>
      <c r="P26" s="249">
        <f t="shared" si="5"/>
        <v>1.1204355385073781E-2</v>
      </c>
    </row>
    <row r="27" spans="1:16" ht="14.1" customHeight="1" x14ac:dyDescent="0.2">
      <c r="A27" s="235" t="s">
        <v>110</v>
      </c>
      <c r="B27" s="332"/>
      <c r="C27" s="334"/>
      <c r="D27" s="333">
        <f t="shared" si="0"/>
        <v>0</v>
      </c>
      <c r="E27" s="339"/>
      <c r="F27" s="238" t="e">
        <f t="shared" si="1"/>
        <v>#DIV/0!</v>
      </c>
      <c r="G27" s="332"/>
      <c r="H27" s="334"/>
      <c r="I27" s="333">
        <f t="shared" ref="I27:I32" si="20">SUM(G27:H27)</f>
        <v>0</v>
      </c>
      <c r="J27" s="339"/>
      <c r="K27" s="244" t="e">
        <f t="shared" si="3"/>
        <v>#DIV/0!</v>
      </c>
      <c r="L27" s="332"/>
      <c r="M27" s="334"/>
      <c r="N27" s="333">
        <f t="shared" si="4"/>
        <v>0</v>
      </c>
      <c r="O27" s="339"/>
      <c r="P27" s="238" t="e">
        <f t="shared" si="5"/>
        <v>#DIV/0!</v>
      </c>
    </row>
    <row r="28" spans="1:16" ht="14.1" customHeight="1" x14ac:dyDescent="0.2">
      <c r="A28" s="248" t="s">
        <v>111</v>
      </c>
      <c r="B28" s="332"/>
      <c r="C28" s="334"/>
      <c r="D28" s="333">
        <f t="shared" si="0"/>
        <v>0</v>
      </c>
      <c r="E28" s="339"/>
      <c r="F28" s="249" t="e">
        <f t="shared" si="1"/>
        <v>#DIV/0!</v>
      </c>
      <c r="G28" s="332"/>
      <c r="H28" s="334"/>
      <c r="I28" s="333">
        <f t="shared" si="20"/>
        <v>0</v>
      </c>
      <c r="J28" s="339"/>
      <c r="K28" s="250" t="e">
        <f t="shared" si="3"/>
        <v>#DIV/0!</v>
      </c>
      <c r="L28" s="332"/>
      <c r="M28" s="334"/>
      <c r="N28" s="333">
        <f t="shared" si="4"/>
        <v>0</v>
      </c>
      <c r="O28" s="339"/>
      <c r="P28" s="249" t="e">
        <f t="shared" si="5"/>
        <v>#DIV/0!</v>
      </c>
    </row>
    <row r="29" spans="1:16" ht="14.1" customHeight="1" x14ac:dyDescent="0.2">
      <c r="A29" s="235" t="s">
        <v>112</v>
      </c>
      <c r="B29" s="332"/>
      <c r="C29" s="334"/>
      <c r="D29" s="333">
        <f t="shared" si="0"/>
        <v>0</v>
      </c>
      <c r="E29" s="339"/>
      <c r="F29" s="238" t="e">
        <f t="shared" si="1"/>
        <v>#DIV/0!</v>
      </c>
      <c r="G29" s="332"/>
      <c r="H29" s="334"/>
      <c r="I29" s="333">
        <f t="shared" si="20"/>
        <v>0</v>
      </c>
      <c r="J29" s="339"/>
      <c r="K29" s="244" t="e">
        <f t="shared" si="3"/>
        <v>#DIV/0!</v>
      </c>
      <c r="L29" s="332"/>
      <c r="M29" s="334"/>
      <c r="N29" s="333">
        <f t="shared" si="4"/>
        <v>0</v>
      </c>
      <c r="O29" s="339"/>
      <c r="P29" s="238" t="e">
        <f t="shared" si="5"/>
        <v>#DIV/0!</v>
      </c>
    </row>
    <row r="30" spans="1:16" ht="14.1" customHeight="1" x14ac:dyDescent="0.2">
      <c r="A30" s="248" t="s">
        <v>113</v>
      </c>
      <c r="B30" s="332"/>
      <c r="C30" s="334"/>
      <c r="D30" s="333">
        <f>SUM(B30:C30)</f>
        <v>0</v>
      </c>
      <c r="E30" s="339"/>
      <c r="F30" s="249" t="e">
        <f t="shared" si="1"/>
        <v>#DIV/0!</v>
      </c>
      <c r="G30" s="332"/>
      <c r="H30" s="334"/>
      <c r="I30" s="333">
        <f>SUM(G30:H30)</f>
        <v>0</v>
      </c>
      <c r="J30" s="339"/>
      <c r="K30" s="250" t="e">
        <f t="shared" si="3"/>
        <v>#DIV/0!</v>
      </c>
      <c r="L30" s="332"/>
      <c r="M30" s="334"/>
      <c r="N30" s="333">
        <f>SUM(L30:M30)</f>
        <v>0</v>
      </c>
      <c r="O30" s="339"/>
      <c r="P30" s="249" t="e">
        <f t="shared" si="5"/>
        <v>#DIV/0!</v>
      </c>
    </row>
    <row r="31" spans="1:16" ht="14.1" customHeight="1" x14ac:dyDescent="0.2">
      <c r="A31" s="235" t="s">
        <v>114</v>
      </c>
      <c r="B31" s="332"/>
      <c r="C31" s="334"/>
      <c r="D31" s="333">
        <f>SUM(B31:C31)</f>
        <v>0</v>
      </c>
      <c r="E31" s="339"/>
      <c r="F31" s="238" t="e">
        <f t="shared" si="1"/>
        <v>#DIV/0!</v>
      </c>
      <c r="G31" s="332"/>
      <c r="H31" s="334"/>
      <c r="I31" s="333">
        <f t="shared" si="20"/>
        <v>0</v>
      </c>
      <c r="J31" s="339"/>
      <c r="K31" s="244" t="e">
        <f t="shared" si="3"/>
        <v>#DIV/0!</v>
      </c>
      <c r="L31" s="332"/>
      <c r="M31" s="334"/>
      <c r="N31" s="333">
        <f>SUM(L31:M31)</f>
        <v>0</v>
      </c>
      <c r="O31" s="339"/>
      <c r="P31" s="238" t="e">
        <f t="shared" si="5"/>
        <v>#DIV/0!</v>
      </c>
    </row>
    <row r="32" spans="1:16" ht="14.1" customHeight="1" x14ac:dyDescent="0.2">
      <c r="A32" s="251" t="s">
        <v>115</v>
      </c>
      <c r="B32" s="332"/>
      <c r="C32" s="334"/>
      <c r="D32" s="161">
        <f t="shared" si="0"/>
        <v>0</v>
      </c>
      <c r="E32" s="339"/>
      <c r="F32" s="252" t="e">
        <f t="shared" si="1"/>
        <v>#DIV/0!</v>
      </c>
      <c r="G32" s="253"/>
      <c r="H32" s="161"/>
      <c r="I32" s="161">
        <f t="shared" si="20"/>
        <v>0</v>
      </c>
      <c r="J32" s="339"/>
      <c r="K32" s="252" t="e">
        <f t="shared" si="3"/>
        <v>#DIV/0!</v>
      </c>
      <c r="L32" s="332"/>
      <c r="M32" s="334"/>
      <c r="N32" s="161">
        <f t="shared" si="4"/>
        <v>0</v>
      </c>
      <c r="O32" s="339"/>
      <c r="P32" s="252" t="e">
        <f t="shared" si="5"/>
        <v>#DIV/0!</v>
      </c>
    </row>
    <row r="33" spans="1:16" ht="13.5" thickBot="1" x14ac:dyDescent="0.25">
      <c r="A33" s="245" t="s">
        <v>77</v>
      </c>
      <c r="B33" s="255">
        <f>SUM(B21:B32)</f>
        <v>803396</v>
      </c>
      <c r="C33" s="256">
        <f>SUM(C21:C32)</f>
        <v>799549</v>
      </c>
      <c r="D33" s="256">
        <f>SUM(D21:D32)</f>
        <v>1602945</v>
      </c>
      <c r="E33" s="257">
        <f>SUM(E21:E32)</f>
        <v>1560243</v>
      </c>
      <c r="F33" s="240">
        <f>(D33-E33)/E33</f>
        <v>2.7368813704019182E-2</v>
      </c>
      <c r="G33" s="258">
        <f>SUM(G21:G32)</f>
        <v>8493844</v>
      </c>
      <c r="H33" s="256">
        <f>SUM(H21:H32)</f>
        <v>8434084</v>
      </c>
      <c r="I33" s="256">
        <f>SUM(I21:I32)</f>
        <v>16927928</v>
      </c>
      <c r="J33" s="259">
        <f>SUM(J21:J32)</f>
        <v>16719269</v>
      </c>
      <c r="K33" s="241">
        <f>(I33-J33)/J33</f>
        <v>1.2480150896549365E-2</v>
      </c>
      <c r="L33" s="258">
        <f>SUM(L21:L32)</f>
        <v>9297240</v>
      </c>
      <c r="M33" s="256">
        <f>SUM(M21:M32)</f>
        <v>9233633</v>
      </c>
      <c r="N33" s="256">
        <f>SUM(N21:N32)</f>
        <v>18530873</v>
      </c>
      <c r="O33" s="257">
        <f>SUM(O21:O32)</f>
        <v>18279512</v>
      </c>
      <c r="P33" s="239">
        <f>(N33-O33)/O33</f>
        <v>1.3750968844244857E-2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June 2017</oddHeader>
    <oddFooter>&amp;LPrinted on &amp;D&amp;RPage &amp;P of &amp;N</oddFooter>
  </headerFooter>
  <ignoredErrors>
    <ignoredError sqref="D23:D2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B4" sqref="B4:M35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90" customFormat="1" ht="15.75" thickBot="1" x14ac:dyDescent="0.3">
      <c r="B1" s="540"/>
      <c r="C1" s="540"/>
      <c r="D1" s="540"/>
      <c r="E1" s="463"/>
      <c r="F1" s="541" t="s">
        <v>94</v>
      </c>
      <c r="G1" s="542"/>
      <c r="H1" s="542"/>
      <c r="I1" s="542"/>
      <c r="J1" s="542"/>
      <c r="K1" s="542"/>
      <c r="L1" s="543"/>
    </row>
    <row r="2" spans="1:20" s="191" customFormat="1" ht="30.75" customHeight="1" thickBot="1" x14ac:dyDescent="0.25">
      <c r="A2" s="384">
        <v>42887</v>
      </c>
      <c r="B2" s="450" t="s">
        <v>194</v>
      </c>
      <c r="C2" s="8" t="s">
        <v>82</v>
      </c>
      <c r="D2" s="8" t="s">
        <v>83</v>
      </c>
      <c r="E2" s="199"/>
      <c r="F2" s="180" t="s">
        <v>84</v>
      </c>
      <c r="G2" s="180" t="s">
        <v>195</v>
      </c>
      <c r="H2" s="180" t="s">
        <v>166</v>
      </c>
      <c r="I2" s="102" t="s">
        <v>85</v>
      </c>
      <c r="J2" s="8" t="s">
        <v>86</v>
      </c>
      <c r="K2" s="180" t="s">
        <v>87</v>
      </c>
      <c r="L2" s="180" t="s">
        <v>130</v>
      </c>
      <c r="M2" s="180" t="s">
        <v>21</v>
      </c>
    </row>
    <row r="3" spans="1:20" ht="15" x14ac:dyDescent="0.25">
      <c r="A3" s="200" t="s">
        <v>220</v>
      </c>
      <c r="B3" s="201"/>
      <c r="C3" s="201"/>
      <c r="D3" s="201"/>
      <c r="E3" s="202"/>
      <c r="F3" s="45"/>
      <c r="G3" s="45"/>
      <c r="H3" s="45"/>
      <c r="I3" s="45"/>
      <c r="J3" s="56"/>
      <c r="K3" s="45"/>
      <c r="L3" s="45"/>
      <c r="M3" s="203"/>
    </row>
    <row r="4" spans="1:20" x14ac:dyDescent="0.2">
      <c r="A4" s="53" t="s">
        <v>53</v>
      </c>
      <c r="B4" s="161">
        <f>[3]DHL!$FE$4</f>
        <v>23</v>
      </c>
      <c r="C4" s="161">
        <f>[3]FedEx!$FE$4+[3]FedEx!$FE$15</f>
        <v>88</v>
      </c>
      <c r="D4" s="161">
        <f>[3]UPS!$FE$4+[3]UPS!$FE$15</f>
        <v>116</v>
      </c>
      <c r="E4" s="192"/>
      <c r="F4" s="118">
        <f>[3]ATI_BAX!$FE$4</f>
        <v>0</v>
      </c>
      <c r="G4" s="161">
        <f>[3]IFL!$FE$4+[3]IFL!$FE$15</f>
        <v>23</v>
      </c>
      <c r="H4" s="118">
        <f>'[3]Suburban Air Freight'!$FE$15</f>
        <v>23</v>
      </c>
      <c r="I4" s="118">
        <f>[3]Bemidji!$FE$4</f>
        <v>273</v>
      </c>
      <c r="J4" s="118">
        <f>'[3]CSA Air'!$FE$4</f>
        <v>2</v>
      </c>
      <c r="K4" s="118">
        <f>'[3]Mountain Cargo'!$FE$4</f>
        <v>22</v>
      </c>
      <c r="L4" s="118">
        <f>'[3]Misc Cargo'!$FE$4</f>
        <v>22</v>
      </c>
      <c r="M4" s="204">
        <f>SUM(B4:L4)</f>
        <v>592</v>
      </c>
    </row>
    <row r="5" spans="1:20" x14ac:dyDescent="0.2">
      <c r="A5" s="53" t="s">
        <v>54</v>
      </c>
      <c r="B5" s="198">
        <f>[3]DHL!$FE$5</f>
        <v>23</v>
      </c>
      <c r="C5" s="198">
        <f>[3]FedEx!$FE$5</f>
        <v>88</v>
      </c>
      <c r="D5" s="198">
        <f>[3]UPS!$FE$5+[3]UPS!$FE$16</f>
        <v>116</v>
      </c>
      <c r="E5" s="192"/>
      <c r="F5" s="120">
        <f>[3]ATI_BAX!$FE$5</f>
        <v>0</v>
      </c>
      <c r="G5" s="198">
        <f>[3]IFL!$FE$5</f>
        <v>23</v>
      </c>
      <c r="H5" s="120">
        <f>'[3]Suburban Air Freight'!$FE$16</f>
        <v>23</v>
      </c>
      <c r="I5" s="120">
        <f>[3]Bemidji!$FE$5</f>
        <v>273</v>
      </c>
      <c r="J5" s="120">
        <f>'[3]CSA Air'!$FE$5</f>
        <v>2</v>
      </c>
      <c r="K5" s="120">
        <f>'[3]Mountain Cargo'!$FE$5</f>
        <v>22</v>
      </c>
      <c r="L5" s="120">
        <f>'[3]Misc Cargo'!$FE$5</f>
        <v>22</v>
      </c>
      <c r="M5" s="208">
        <f>SUM(B5:L5)</f>
        <v>592</v>
      </c>
    </row>
    <row r="6" spans="1:20" s="189" customFormat="1" x14ac:dyDescent="0.2">
      <c r="A6" s="205" t="s">
        <v>55</v>
      </c>
      <c r="B6" s="206">
        <f>SUM(B4:B5)</f>
        <v>46</v>
      </c>
      <c r="C6" s="206">
        <f>SUM(C4:C5)</f>
        <v>176</v>
      </c>
      <c r="D6" s="206">
        <f>SUM(D4:D5)</f>
        <v>232</v>
      </c>
      <c r="E6" s="193"/>
      <c r="F6" s="188">
        <f t="shared" ref="F6:L6" si="0">SUM(F4:F5)</f>
        <v>0</v>
      </c>
      <c r="G6" s="206">
        <f>SUM(G4:G5)</f>
        <v>46</v>
      </c>
      <c r="H6" s="188">
        <f t="shared" si="0"/>
        <v>46</v>
      </c>
      <c r="I6" s="188">
        <f t="shared" si="0"/>
        <v>546</v>
      </c>
      <c r="J6" s="188">
        <f t="shared" si="0"/>
        <v>4</v>
      </c>
      <c r="K6" s="188">
        <f t="shared" si="0"/>
        <v>44</v>
      </c>
      <c r="L6" s="188">
        <f t="shared" si="0"/>
        <v>44</v>
      </c>
      <c r="M6" s="207">
        <f>SUM(B6:L6)</f>
        <v>1184</v>
      </c>
    </row>
    <row r="7" spans="1:20" x14ac:dyDescent="0.2">
      <c r="A7" s="53"/>
      <c r="B7" s="161"/>
      <c r="C7" s="161"/>
      <c r="D7" s="161"/>
      <c r="E7" s="192"/>
      <c r="F7" s="118"/>
      <c r="G7" s="161"/>
      <c r="H7" s="118"/>
      <c r="I7" s="118"/>
      <c r="J7" s="118"/>
      <c r="K7" s="118"/>
      <c r="L7" s="118"/>
      <c r="M7" s="204"/>
    </row>
    <row r="8" spans="1:20" x14ac:dyDescent="0.2">
      <c r="A8" s="53" t="s">
        <v>56</v>
      </c>
      <c r="B8" s="161"/>
      <c r="C8" s="161"/>
      <c r="D8" s="161"/>
      <c r="E8" s="192"/>
      <c r="F8" s="118"/>
      <c r="G8" s="161"/>
      <c r="H8" s="118"/>
      <c r="I8" s="118"/>
      <c r="J8" s="118"/>
      <c r="K8" s="118"/>
      <c r="L8" s="118">
        <f>'[3]Misc Cargo'!$FE$8</f>
        <v>0</v>
      </c>
      <c r="M8" s="204">
        <f>SUM(B8:L8)</f>
        <v>0</v>
      </c>
    </row>
    <row r="9" spans="1:20" ht="15" x14ac:dyDescent="0.25">
      <c r="A9" s="53" t="s">
        <v>57</v>
      </c>
      <c r="B9" s="198"/>
      <c r="C9" s="198"/>
      <c r="D9" s="198"/>
      <c r="E9" s="192"/>
      <c r="F9" s="120"/>
      <c r="G9" s="198"/>
      <c r="H9" s="120"/>
      <c r="I9" s="120"/>
      <c r="J9" s="120"/>
      <c r="K9" s="120"/>
      <c r="L9" s="120">
        <f>'[3]Misc Cargo'!$FE$9</f>
        <v>0</v>
      </c>
      <c r="M9" s="208">
        <f>SUM(B9:L9)</f>
        <v>0</v>
      </c>
      <c r="P9" s="15"/>
      <c r="Q9" s="327"/>
      <c r="R9" s="327"/>
      <c r="S9" s="327"/>
      <c r="T9" s="327"/>
    </row>
    <row r="10" spans="1:20" s="189" customFormat="1" x14ac:dyDescent="0.2">
      <c r="A10" s="205" t="s">
        <v>58</v>
      </c>
      <c r="B10" s="206">
        <f>SUM(B8:B9)</f>
        <v>0</v>
      </c>
      <c r="C10" s="206">
        <f>SUM(C8:C9)</f>
        <v>0</v>
      </c>
      <c r="D10" s="206">
        <f>SUM(D8:D9)</f>
        <v>0</v>
      </c>
      <c r="E10" s="193"/>
      <c r="F10" s="188">
        <f t="shared" ref="F10:L10" si="1">SUM(F8:F9)</f>
        <v>0</v>
      </c>
      <c r="G10" s="206">
        <f>SUM(G8:G9)</f>
        <v>0</v>
      </c>
      <c r="H10" s="188">
        <f t="shared" si="1"/>
        <v>0</v>
      </c>
      <c r="I10" s="188">
        <f t="shared" si="1"/>
        <v>0</v>
      </c>
      <c r="J10" s="188">
        <f t="shared" si="1"/>
        <v>0</v>
      </c>
      <c r="K10" s="188">
        <f t="shared" si="1"/>
        <v>0</v>
      </c>
      <c r="L10" s="188">
        <f t="shared" si="1"/>
        <v>0</v>
      </c>
      <c r="M10" s="207">
        <f>SUM(B10:L10)</f>
        <v>0</v>
      </c>
    </row>
    <row r="11" spans="1:20" x14ac:dyDescent="0.2">
      <c r="A11" s="53"/>
      <c r="B11" s="161"/>
      <c r="C11" s="161"/>
      <c r="D11" s="161"/>
      <c r="E11" s="192"/>
      <c r="F11" s="118"/>
      <c r="G11" s="161"/>
      <c r="H11" s="118"/>
      <c r="I11" s="118"/>
      <c r="J11" s="118"/>
      <c r="K11" s="118"/>
      <c r="L11" s="118"/>
      <c r="M11" s="170"/>
    </row>
    <row r="12" spans="1:20" ht="18" customHeight="1" thickBot="1" x14ac:dyDescent="0.25">
      <c r="A12" s="209" t="s">
        <v>28</v>
      </c>
      <c r="B12" s="210">
        <f>B6+B10</f>
        <v>46</v>
      </c>
      <c r="C12" s="210">
        <f>C6+C10</f>
        <v>176</v>
      </c>
      <c r="D12" s="210">
        <f>D6+D10</f>
        <v>232</v>
      </c>
      <c r="E12" s="211"/>
      <c r="F12" s="212">
        <f t="shared" ref="F12:L12" si="2">F6+F10</f>
        <v>0</v>
      </c>
      <c r="G12" s="210">
        <f>G6+G10</f>
        <v>46</v>
      </c>
      <c r="H12" s="212">
        <f t="shared" si="2"/>
        <v>46</v>
      </c>
      <c r="I12" s="212">
        <f t="shared" si="2"/>
        <v>546</v>
      </c>
      <c r="J12" s="212">
        <f t="shared" si="2"/>
        <v>4</v>
      </c>
      <c r="K12" s="212">
        <f t="shared" si="2"/>
        <v>44</v>
      </c>
      <c r="L12" s="212">
        <f t="shared" si="2"/>
        <v>44</v>
      </c>
      <c r="M12" s="213">
        <f>SUM(B12:L12)</f>
        <v>1184</v>
      </c>
    </row>
    <row r="13" spans="1:20" ht="18" customHeight="1" thickBot="1" x14ac:dyDescent="0.25">
      <c r="A13" s="177"/>
      <c r="B13" s="194"/>
      <c r="C13" s="194"/>
      <c r="D13" s="194"/>
      <c r="E13" s="195"/>
      <c r="F13" s="196"/>
      <c r="G13" s="194"/>
      <c r="H13" s="196"/>
      <c r="I13" s="178"/>
      <c r="J13" s="178"/>
      <c r="K13" s="178"/>
      <c r="L13" s="178"/>
      <c r="M13" s="5"/>
    </row>
    <row r="14" spans="1:20" ht="15" x14ac:dyDescent="0.25">
      <c r="A14" s="214" t="s">
        <v>95</v>
      </c>
      <c r="B14" s="215"/>
      <c r="C14" s="215"/>
      <c r="D14" s="215"/>
      <c r="E14" s="216"/>
      <c r="F14" s="175"/>
      <c r="G14" s="215"/>
      <c r="H14" s="175"/>
      <c r="I14" s="81"/>
      <c r="J14" s="81"/>
      <c r="K14" s="81"/>
      <c r="L14" s="81"/>
      <c r="M14" s="217"/>
    </row>
    <row r="15" spans="1:20" x14ac:dyDescent="0.2">
      <c r="A15" s="218" t="s">
        <v>96</v>
      </c>
      <c r="B15" s="161"/>
      <c r="C15" s="161"/>
      <c r="D15" s="161"/>
      <c r="E15" s="192"/>
      <c r="F15" s="118"/>
      <c r="G15" s="161"/>
      <c r="H15" s="118"/>
      <c r="I15" s="5"/>
      <c r="J15" s="5"/>
      <c r="K15" s="5"/>
      <c r="L15" s="5"/>
      <c r="M15" s="179"/>
    </row>
    <row r="16" spans="1:20" x14ac:dyDescent="0.2">
      <c r="A16" s="53" t="s">
        <v>37</v>
      </c>
      <c r="B16" s="161">
        <f>[3]DHL!$FE$47</f>
        <v>800135</v>
      </c>
      <c r="C16" s="161">
        <f>[3]FedEx!$FE$47</f>
        <v>8820963</v>
      </c>
      <c r="D16" s="161">
        <f>[3]UPS!$FE$47</f>
        <v>6303420</v>
      </c>
      <c r="E16" s="192"/>
      <c r="F16" s="118">
        <f>[3]ATI_BAX!$FE$47</f>
        <v>0</v>
      </c>
      <c r="G16" s="161">
        <f>[3]IFL!$FE$47</f>
        <v>29127</v>
      </c>
      <c r="H16" s="118">
        <f>'[3]Suburban Air Freight'!$FE$47</f>
        <v>29411</v>
      </c>
      <c r="I16" s="537" t="s">
        <v>88</v>
      </c>
      <c r="J16" s="118">
        <f>'[3]CSA Air'!$FE$47</f>
        <v>2098</v>
      </c>
      <c r="K16" s="118">
        <f>'[3]Mountain Cargo'!$FE$47</f>
        <v>66705</v>
      </c>
      <c r="L16" s="118">
        <f>'[3]Misc Cargo'!$FE$47</f>
        <v>54705</v>
      </c>
      <c r="M16" s="204">
        <f>SUM(B16:H16)+SUM(J16:L16)</f>
        <v>16106564</v>
      </c>
    </row>
    <row r="17" spans="1:14" x14ac:dyDescent="0.2">
      <c r="A17" s="53" t="s">
        <v>38</v>
      </c>
      <c r="B17" s="161">
        <f>[3]DHL!$FE$48</f>
        <v>0</v>
      </c>
      <c r="C17" s="161">
        <f>[3]FedEx!$FE$48</f>
        <v>0</v>
      </c>
      <c r="D17" s="161">
        <f>[3]UPS!$FE$48</f>
        <v>3345</v>
      </c>
      <c r="E17" s="192"/>
      <c r="F17" s="118">
        <f>[3]ATI_BAX!$FE$48</f>
        <v>0</v>
      </c>
      <c r="G17" s="161">
        <f>[3]IFL!$FE$48</f>
        <v>0</v>
      </c>
      <c r="H17" s="118">
        <f>'[3]Suburban Air Freight'!$FE$48</f>
        <v>0</v>
      </c>
      <c r="I17" s="538"/>
      <c r="J17" s="118">
        <f>'[3]CSA Air'!$FE$48</f>
        <v>0</v>
      </c>
      <c r="K17" s="118">
        <f>'[3]Mountain Cargo'!$FE$48</f>
        <v>0</v>
      </c>
      <c r="L17" s="118">
        <f>'[3]Misc Cargo'!$FE$48</f>
        <v>0</v>
      </c>
      <c r="M17" s="204">
        <f>SUM(B17:H17)+SUM(J17:L17)</f>
        <v>3345</v>
      </c>
    </row>
    <row r="18" spans="1:14" ht="18" customHeight="1" x14ac:dyDescent="0.2">
      <c r="A18" s="219" t="s">
        <v>39</v>
      </c>
      <c r="B18" s="302">
        <f>SUM(B16:B17)</f>
        <v>800135</v>
      </c>
      <c r="C18" s="302">
        <f>SUM(C16:C17)</f>
        <v>8820963</v>
      </c>
      <c r="D18" s="302">
        <f>SUM(D16:D17)</f>
        <v>6306765</v>
      </c>
      <c r="E18" s="197"/>
      <c r="F18" s="303">
        <f>SUM(F16:F17)</f>
        <v>0</v>
      </c>
      <c r="G18" s="302">
        <f>SUM(G16:G17)</f>
        <v>29127</v>
      </c>
      <c r="H18" s="303">
        <f>SUM(H16:H17)</f>
        <v>29411</v>
      </c>
      <c r="I18" s="538"/>
      <c r="J18" s="303">
        <f>SUM(J16:J17)</f>
        <v>2098</v>
      </c>
      <c r="K18" s="303">
        <f>SUM(K16:K17)</f>
        <v>66705</v>
      </c>
      <c r="L18" s="303">
        <f>SUM(L16:L17)</f>
        <v>54705</v>
      </c>
      <c r="M18" s="220">
        <f>SUM(B18:H18)+SUM(J18:L18)</f>
        <v>16109909</v>
      </c>
      <c r="N18" s="7"/>
    </row>
    <row r="19" spans="1:14" x14ac:dyDescent="0.2">
      <c r="A19" s="53"/>
      <c r="B19" s="161"/>
      <c r="C19" s="161"/>
      <c r="D19" s="161"/>
      <c r="E19" s="192"/>
      <c r="F19" s="118"/>
      <c r="G19" s="161"/>
      <c r="H19" s="118"/>
      <c r="I19" s="538"/>
      <c r="J19" s="118"/>
      <c r="K19" s="118"/>
      <c r="L19" s="118"/>
      <c r="M19" s="204"/>
    </row>
    <row r="20" spans="1:14" x14ac:dyDescent="0.2">
      <c r="A20" s="221" t="s">
        <v>89</v>
      </c>
      <c r="B20" s="161"/>
      <c r="C20" s="161"/>
      <c r="D20" s="161"/>
      <c r="E20" s="192"/>
      <c r="F20" s="118"/>
      <c r="G20" s="161"/>
      <c r="H20" s="118"/>
      <c r="I20" s="538"/>
      <c r="J20" s="118"/>
      <c r="K20" s="118"/>
      <c r="L20" s="118"/>
      <c r="M20" s="204"/>
    </row>
    <row r="21" spans="1:14" x14ac:dyDescent="0.2">
      <c r="A21" s="53" t="s">
        <v>59</v>
      </c>
      <c r="B21" s="161">
        <f>[3]DHL!$FE$52</f>
        <v>585643</v>
      </c>
      <c r="C21" s="161">
        <f>[3]FedEx!$FE$52</f>
        <v>8417392</v>
      </c>
      <c r="D21" s="161">
        <f>[3]UPS!$FE$52</f>
        <v>5369629</v>
      </c>
      <c r="E21" s="192"/>
      <c r="F21" s="118">
        <f>[3]ATI_BAX!$FE$52</f>
        <v>0</v>
      </c>
      <c r="G21" s="161">
        <f>[3]IFL!$FE$52</f>
        <v>18378</v>
      </c>
      <c r="H21" s="118">
        <f>'[3]Suburban Air Freight'!$FE$52</f>
        <v>69906</v>
      </c>
      <c r="I21" s="538"/>
      <c r="J21" s="118">
        <f>'[3]CSA Air'!$FE$52</f>
        <v>3741</v>
      </c>
      <c r="K21" s="118">
        <f>'[3]Mountain Cargo'!$FE$52</f>
        <v>146005</v>
      </c>
      <c r="L21" s="118">
        <f>'[3]Misc Cargo'!$FE$52</f>
        <v>38129</v>
      </c>
      <c r="M21" s="204">
        <f>SUM(B21:H21)+SUM(J21:L21)</f>
        <v>14648823</v>
      </c>
    </row>
    <row r="22" spans="1:14" x14ac:dyDescent="0.2">
      <c r="A22" s="53" t="s">
        <v>60</v>
      </c>
      <c r="B22" s="161">
        <f>[3]DHL!$FE$53</f>
        <v>0</v>
      </c>
      <c r="C22" s="161">
        <f>[3]FedEx!$FE$53</f>
        <v>0</v>
      </c>
      <c r="D22" s="161">
        <f>[3]UPS!$FE$53</f>
        <v>591797</v>
      </c>
      <c r="E22" s="192"/>
      <c r="F22" s="118">
        <f>[3]ATI_BAX!$FE$53</f>
        <v>0</v>
      </c>
      <c r="G22" s="161">
        <f>[3]IFL!$FE$53</f>
        <v>0</v>
      </c>
      <c r="H22" s="118">
        <f>'[3]Suburban Air Freight'!$FE$53</f>
        <v>0</v>
      </c>
      <c r="I22" s="538"/>
      <c r="J22" s="118">
        <f>'[3]CSA Air'!$FE$53</f>
        <v>0</v>
      </c>
      <c r="K22" s="118">
        <f>'[3]Mountain Cargo'!$FE$53</f>
        <v>0</v>
      </c>
      <c r="L22" s="118">
        <f>'[3]Misc Cargo'!$FE$53</f>
        <v>0</v>
      </c>
      <c r="M22" s="204">
        <f>SUM(B22:H22)+SUM(J22:L22)</f>
        <v>591797</v>
      </c>
    </row>
    <row r="23" spans="1:14" ht="18" customHeight="1" x14ac:dyDescent="0.2">
      <c r="A23" s="219" t="s">
        <v>41</v>
      </c>
      <c r="B23" s="302">
        <f>SUM(B21:B22)</f>
        <v>585643</v>
      </c>
      <c r="C23" s="302">
        <f>SUM(C21:C22)</f>
        <v>8417392</v>
      </c>
      <c r="D23" s="302">
        <f>SUM(D21:D22)</f>
        <v>5961426</v>
      </c>
      <c r="E23" s="197"/>
      <c r="F23" s="303">
        <f>SUM(F21:F22)</f>
        <v>0</v>
      </c>
      <c r="G23" s="302">
        <f>SUM(G21:G22)</f>
        <v>18378</v>
      </c>
      <c r="H23" s="303">
        <f>SUM(H21:H22)</f>
        <v>69906</v>
      </c>
      <c r="I23" s="538"/>
      <c r="J23" s="303">
        <f>SUM(J21:J22)</f>
        <v>3741</v>
      </c>
      <c r="K23" s="303">
        <f>SUM(K21:K22)</f>
        <v>146005</v>
      </c>
      <c r="L23" s="303">
        <f>SUM(L21:L22)</f>
        <v>38129</v>
      </c>
      <c r="M23" s="220">
        <f>SUM(B23:H23)+SUM(J23:L23)</f>
        <v>15240620</v>
      </c>
    </row>
    <row r="24" spans="1:14" x14ac:dyDescent="0.2">
      <c r="A24" s="53"/>
      <c r="B24" s="161"/>
      <c r="C24" s="161"/>
      <c r="D24" s="161"/>
      <c r="E24" s="192"/>
      <c r="F24" s="118"/>
      <c r="G24" s="161"/>
      <c r="H24" s="118"/>
      <c r="I24" s="538"/>
      <c r="J24" s="118"/>
      <c r="K24" s="118"/>
      <c r="L24" s="118"/>
      <c r="M24" s="204"/>
    </row>
    <row r="25" spans="1:14" x14ac:dyDescent="0.2">
      <c r="A25" s="221" t="s">
        <v>97</v>
      </c>
      <c r="B25" s="161"/>
      <c r="C25" s="161"/>
      <c r="D25" s="161"/>
      <c r="E25" s="192"/>
      <c r="F25" s="118"/>
      <c r="G25" s="161"/>
      <c r="H25" s="118"/>
      <c r="I25" s="538"/>
      <c r="J25" s="118"/>
      <c r="K25" s="118"/>
      <c r="L25" s="118"/>
      <c r="M25" s="204"/>
    </row>
    <row r="26" spans="1:14" x14ac:dyDescent="0.2">
      <c r="A26" s="53" t="s">
        <v>59</v>
      </c>
      <c r="B26" s="161">
        <f>[3]DHL!$FE$57</f>
        <v>0</v>
      </c>
      <c r="C26" s="161">
        <f>[3]FedEx!$FE$57</f>
        <v>0</v>
      </c>
      <c r="D26" s="161">
        <f>[3]UPS!$FE$57</f>
        <v>0</v>
      </c>
      <c r="E26" s="192"/>
      <c r="F26" s="118">
        <f>[3]ATI_BAX!$FE$57</f>
        <v>0</v>
      </c>
      <c r="G26" s="161">
        <f>[3]IFL!$FE$57</f>
        <v>0</v>
      </c>
      <c r="H26" s="118">
        <f>'[3]Suburban Air Freight'!$FE$57</f>
        <v>0</v>
      </c>
      <c r="I26" s="538"/>
      <c r="J26" s="118">
        <f>'[3]CSA Air'!$FE$57</f>
        <v>0</v>
      </c>
      <c r="K26" s="118">
        <f>'[3]Mountain Cargo'!$FE$57</f>
        <v>0</v>
      </c>
      <c r="L26" s="118">
        <f>'[3]Misc Cargo'!$FE$57</f>
        <v>0</v>
      </c>
      <c r="M26" s="204">
        <f>SUM(B26:H26)+SUM(J26:L26)</f>
        <v>0</v>
      </c>
    </row>
    <row r="27" spans="1:14" x14ac:dyDescent="0.2">
      <c r="A27" s="53" t="s">
        <v>60</v>
      </c>
      <c r="B27" s="161">
        <f>[3]DHL!$FE$58</f>
        <v>0</v>
      </c>
      <c r="C27" s="161">
        <f>[3]FedEx!$FE$58</f>
        <v>0</v>
      </c>
      <c r="D27" s="161">
        <f>[3]UPS!$FE$58</f>
        <v>0</v>
      </c>
      <c r="E27" s="192"/>
      <c r="F27" s="118">
        <f>[3]ATI_BAX!$FE$58</f>
        <v>0</v>
      </c>
      <c r="G27" s="161">
        <f>[3]IFL!$FE$58</f>
        <v>0</v>
      </c>
      <c r="H27" s="118">
        <f>'[3]Suburban Air Freight'!$FE$58</f>
        <v>0</v>
      </c>
      <c r="I27" s="538"/>
      <c r="J27" s="118">
        <f>'[3]CSA Air'!$FE$58</f>
        <v>0</v>
      </c>
      <c r="K27" s="118">
        <f>'[3]Mountain Cargo'!$FE$58</f>
        <v>0</v>
      </c>
      <c r="L27" s="118">
        <f>'[3]Misc Cargo'!$FE$58</f>
        <v>0</v>
      </c>
      <c r="M27" s="204">
        <f>SUM(B27:H27)+SUM(J27:L27)</f>
        <v>0</v>
      </c>
    </row>
    <row r="28" spans="1:14" ht="18" customHeight="1" x14ac:dyDescent="0.2">
      <c r="A28" s="219" t="s">
        <v>43</v>
      </c>
      <c r="B28" s="302">
        <f>SUM(B26:B27)</f>
        <v>0</v>
      </c>
      <c r="C28" s="302">
        <f>SUM(C26:C27)</f>
        <v>0</v>
      </c>
      <c r="D28" s="302">
        <f>SUM(D26:D27)</f>
        <v>0</v>
      </c>
      <c r="E28" s="197"/>
      <c r="F28" s="303">
        <f>SUM(F26:F27)</f>
        <v>0</v>
      </c>
      <c r="G28" s="302">
        <f>SUM(G26:G27)</f>
        <v>0</v>
      </c>
      <c r="H28" s="303">
        <f>SUM(H26:H27)</f>
        <v>0</v>
      </c>
      <c r="I28" s="538"/>
      <c r="J28" s="303">
        <f>SUM(J26:J27)</f>
        <v>0</v>
      </c>
      <c r="K28" s="303">
        <f>SUM(K26:K27)</f>
        <v>0</v>
      </c>
      <c r="L28" s="303">
        <f>SUM(L26:L27)</f>
        <v>0</v>
      </c>
      <c r="M28" s="220">
        <f>SUM(B28:H28)+SUM(J28:L28)</f>
        <v>0</v>
      </c>
    </row>
    <row r="29" spans="1:14" x14ac:dyDescent="0.2">
      <c r="A29" s="53"/>
      <c r="B29" s="161"/>
      <c r="C29" s="161"/>
      <c r="D29" s="161"/>
      <c r="E29" s="192"/>
      <c r="F29" s="118"/>
      <c r="G29" s="161"/>
      <c r="H29" s="118"/>
      <c r="I29" s="538"/>
      <c r="J29" s="118"/>
      <c r="K29" s="118"/>
      <c r="L29" s="118"/>
      <c r="M29" s="204"/>
    </row>
    <row r="30" spans="1:14" x14ac:dyDescent="0.2">
      <c r="A30" s="222" t="s">
        <v>44</v>
      </c>
      <c r="B30" s="161"/>
      <c r="C30" s="161"/>
      <c r="D30" s="161"/>
      <c r="E30" s="192"/>
      <c r="F30" s="118"/>
      <c r="G30" s="161"/>
      <c r="H30" s="118"/>
      <c r="I30" s="538"/>
      <c r="J30" s="118"/>
      <c r="K30" s="118"/>
      <c r="L30" s="118"/>
      <c r="M30" s="204"/>
    </row>
    <row r="31" spans="1:14" x14ac:dyDescent="0.2">
      <c r="A31" s="53" t="s">
        <v>90</v>
      </c>
      <c r="B31" s="161">
        <f t="shared" ref="B31:D33" si="3">B26+B21+B16</f>
        <v>1385778</v>
      </c>
      <c r="C31" s="161">
        <f t="shared" si="3"/>
        <v>17238355</v>
      </c>
      <c r="D31" s="161">
        <f t="shared" si="3"/>
        <v>11673049</v>
      </c>
      <c r="E31" s="192"/>
      <c r="F31" s="118">
        <f t="shared" ref="F31:H33" si="4">F26+F21+F16</f>
        <v>0</v>
      </c>
      <c r="G31" s="161">
        <f t="shared" si="4"/>
        <v>47505</v>
      </c>
      <c r="H31" s="118">
        <f t="shared" si="4"/>
        <v>99317</v>
      </c>
      <c r="I31" s="538"/>
      <c r="J31" s="118">
        <f t="shared" ref="J31:L33" si="5">J26+J21+J16</f>
        <v>5839</v>
      </c>
      <c r="K31" s="118">
        <f t="shared" si="5"/>
        <v>212710</v>
      </c>
      <c r="L31" s="118">
        <f>L26+L21+L16</f>
        <v>92834</v>
      </c>
      <c r="M31" s="204">
        <f>SUM(B31:H31)+SUM(J31:L31)</f>
        <v>30755387</v>
      </c>
    </row>
    <row r="32" spans="1:14" x14ac:dyDescent="0.2">
      <c r="A32" s="53" t="s">
        <v>60</v>
      </c>
      <c r="B32" s="161">
        <f t="shared" si="3"/>
        <v>0</v>
      </c>
      <c r="C32" s="161">
        <f t="shared" si="3"/>
        <v>0</v>
      </c>
      <c r="D32" s="161">
        <f t="shared" si="3"/>
        <v>595142</v>
      </c>
      <c r="E32" s="192"/>
      <c r="F32" s="118">
        <f t="shared" si="4"/>
        <v>0</v>
      </c>
      <c r="G32" s="161">
        <f t="shared" si="4"/>
        <v>0</v>
      </c>
      <c r="H32" s="118">
        <f t="shared" si="4"/>
        <v>0</v>
      </c>
      <c r="I32" s="539"/>
      <c r="J32" s="118">
        <f t="shared" si="5"/>
        <v>0</v>
      </c>
      <c r="K32" s="118">
        <f t="shared" si="5"/>
        <v>0</v>
      </c>
      <c r="L32" s="118">
        <f>L27+L22+L17</f>
        <v>0</v>
      </c>
      <c r="M32" s="208">
        <f>SUM(B32:H32)+SUM(J32:L32)</f>
        <v>595142</v>
      </c>
    </row>
    <row r="33" spans="1:13" ht="18" customHeight="1" thickBot="1" x14ac:dyDescent="0.25">
      <c r="A33" s="209" t="s">
        <v>46</v>
      </c>
      <c r="B33" s="210">
        <f t="shared" si="3"/>
        <v>1385778</v>
      </c>
      <c r="C33" s="210">
        <f t="shared" si="3"/>
        <v>17238355</v>
      </c>
      <c r="D33" s="210">
        <f t="shared" si="3"/>
        <v>12268191</v>
      </c>
      <c r="E33" s="223"/>
      <c r="F33" s="212">
        <f t="shared" si="4"/>
        <v>0</v>
      </c>
      <c r="G33" s="210">
        <f t="shared" si="4"/>
        <v>47505</v>
      </c>
      <c r="H33" s="212">
        <f t="shared" si="4"/>
        <v>99317</v>
      </c>
      <c r="I33" s="304">
        <f>I28+I23+I18</f>
        <v>0</v>
      </c>
      <c r="J33" s="212">
        <f t="shared" si="5"/>
        <v>5839</v>
      </c>
      <c r="K33" s="212">
        <f t="shared" si="5"/>
        <v>212710</v>
      </c>
      <c r="L33" s="212">
        <f t="shared" si="5"/>
        <v>92834</v>
      </c>
      <c r="M33" s="213">
        <f>SUM(B33:H33)+SUM(J33:L33)</f>
        <v>31350529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91</v>
      </c>
      <c r="B35" s="2"/>
      <c r="C35" s="2"/>
      <c r="D35" s="2"/>
      <c r="E35" s="2"/>
    </row>
    <row r="36" spans="1:13" x14ac:dyDescent="0.2">
      <c r="A36" t="s">
        <v>92</v>
      </c>
    </row>
    <row r="37" spans="1:13" x14ac:dyDescent="0.2">
      <c r="A37" t="s">
        <v>93</v>
      </c>
    </row>
    <row r="43" spans="1:13" ht="15" x14ac:dyDescent="0.25">
      <c r="I43" s="190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5" orientation="landscape" r:id="rId1"/>
  <headerFooter alignWithMargins="0">
    <oddHeader>&amp;L
Schedule 7
&amp;CMinneapolis-St. Paul International Airport
&amp;"Arial,Bold"Cargo
June 2017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I5" sqref="I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84">
        <v>42887</v>
      </c>
      <c r="B2" s="77" t="s">
        <v>63</v>
      </c>
      <c r="C2" s="77" t="s">
        <v>64</v>
      </c>
      <c r="D2" s="77" t="s">
        <v>65</v>
      </c>
      <c r="E2" s="316" t="s">
        <v>75</v>
      </c>
      <c r="F2" s="78" t="s">
        <v>200</v>
      </c>
      <c r="G2" s="78" t="s">
        <v>174</v>
      </c>
      <c r="H2" s="79" t="s">
        <v>66</v>
      </c>
      <c r="I2" s="80" t="s">
        <v>197</v>
      </c>
      <c r="J2" s="80" t="s">
        <v>172</v>
      </c>
      <c r="K2" s="90" t="s">
        <v>2</v>
      </c>
    </row>
    <row r="3" spans="1:18" ht="20.25" customHeight="1" x14ac:dyDescent="0.2">
      <c r="A3" s="87" t="s">
        <v>67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68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69</v>
      </c>
      <c r="B5" s="169">
        <f>'Major Airline Stats'!J28</f>
        <v>6678773</v>
      </c>
      <c r="C5" s="118">
        <f>'Regional Major'!M25</f>
        <v>412</v>
      </c>
      <c r="D5" s="118">
        <f>Cargo!M16</f>
        <v>16106564</v>
      </c>
      <c r="E5" s="118">
        <f>SUM(B5:D5)</f>
        <v>22785749</v>
      </c>
      <c r="F5" s="118">
        <f>E5*0.00045359237</f>
        <v>10335.441891135129</v>
      </c>
      <c r="G5" s="146">
        <f>'[1]Cargo Summary'!F5</f>
        <v>9037.2573530485406</v>
      </c>
      <c r="H5" s="98">
        <f>(F5-G5)/G5</f>
        <v>0.14364806570974456</v>
      </c>
      <c r="I5" s="146">
        <f>+F5+'[2]Cargo Summary'!I5</f>
        <v>54581.60630643028</v>
      </c>
      <c r="J5" s="146">
        <f>'[1]Cargo Summary'!I5</f>
        <v>46251.890001242311</v>
      </c>
      <c r="K5" s="85">
        <f>(I5-J5)/J5</f>
        <v>0.18009461461929957</v>
      </c>
      <c r="M5" s="35"/>
    </row>
    <row r="6" spans="1:18" x14ac:dyDescent="0.2">
      <c r="A6" s="62" t="s">
        <v>16</v>
      </c>
      <c r="B6" s="169">
        <f>'Major Airline Stats'!J29</f>
        <v>2010912</v>
      </c>
      <c r="C6" s="118">
        <f>'Regional Major'!M26</f>
        <v>318</v>
      </c>
      <c r="D6" s="118">
        <f>Cargo!M17</f>
        <v>3345</v>
      </c>
      <c r="E6" s="118">
        <f>SUM(B6:D6)</f>
        <v>2014575</v>
      </c>
      <c r="F6" s="118">
        <f>E6*0.00045359237</f>
        <v>913.79584879275001</v>
      </c>
      <c r="G6" s="146">
        <f>'[1]Cargo Summary'!F6</f>
        <v>496.58839075229997</v>
      </c>
      <c r="H6" s="37">
        <f>(F6-G6)/G6</f>
        <v>0.84014742553366406</v>
      </c>
      <c r="I6" s="146">
        <f>+F6+'[2]Cargo Summary'!I6</f>
        <v>5136.3557135706196</v>
      </c>
      <c r="J6" s="146">
        <f>'[1]Cargo Summary'!I6</f>
        <v>2717.779218365924</v>
      </c>
      <c r="K6" s="85">
        <f>(I6-J6)/J6</f>
        <v>0.88990911361036706</v>
      </c>
      <c r="M6" s="35"/>
    </row>
    <row r="7" spans="1:18" ht="18" customHeight="1" thickBot="1" x14ac:dyDescent="0.25">
      <c r="A7" s="73" t="s">
        <v>72</v>
      </c>
      <c r="B7" s="171">
        <f>SUM(B5:B6)</f>
        <v>8689685</v>
      </c>
      <c r="C7" s="133">
        <f t="shared" ref="C7:J7" si="0">SUM(C5:C6)</f>
        <v>730</v>
      </c>
      <c r="D7" s="133">
        <f t="shared" si="0"/>
        <v>16109909</v>
      </c>
      <c r="E7" s="133">
        <f t="shared" si="0"/>
        <v>24800324</v>
      </c>
      <c r="F7" s="133">
        <f t="shared" si="0"/>
        <v>11249.237739927879</v>
      </c>
      <c r="G7" s="133">
        <f t="shared" si="0"/>
        <v>9533.8457438008409</v>
      </c>
      <c r="H7" s="44">
        <f>(F7-G7)/G7</f>
        <v>0.17992655243477501</v>
      </c>
      <c r="I7" s="133">
        <f t="shared" si="0"/>
        <v>59717.962020000901</v>
      </c>
      <c r="J7" s="133">
        <f t="shared" si="0"/>
        <v>48969.669219608237</v>
      </c>
      <c r="K7" s="318">
        <f>(I7-J7)/J7</f>
        <v>0.21948877686290102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70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69</v>
      </c>
      <c r="B10" s="169">
        <f>'Major Airline Stats'!J33</f>
        <v>3452281</v>
      </c>
      <c r="C10" s="118">
        <f>'Regional Major'!M30</f>
        <v>1645</v>
      </c>
      <c r="D10" s="118">
        <f>Cargo!M21</f>
        <v>14648823</v>
      </c>
      <c r="E10" s="118">
        <f>SUM(B10:D10)</f>
        <v>18102749</v>
      </c>
      <c r="F10" s="118">
        <f>E10*0.00045359237</f>
        <v>8211.2688224251306</v>
      </c>
      <c r="G10" s="146">
        <f>'[1]Cargo Summary'!F10</f>
        <v>5739.6771105381395</v>
      </c>
      <c r="H10" s="37">
        <f>(F10-G10)/G10</f>
        <v>0.43061511375772499</v>
      </c>
      <c r="I10" s="146">
        <f>+F10+'[2]Cargo Summary'!I10</f>
        <v>45389.846773904712</v>
      </c>
      <c r="J10" s="146">
        <f>'[1]Cargo Summary'!I10</f>
        <v>43035.292779694595</v>
      </c>
      <c r="K10" s="85">
        <f>(I10-J10)/J10</f>
        <v>5.4712163950260601E-2</v>
      </c>
      <c r="M10" s="35"/>
    </row>
    <row r="11" spans="1:18" x14ac:dyDescent="0.2">
      <c r="A11" s="62" t="s">
        <v>16</v>
      </c>
      <c r="B11" s="169">
        <f>'Major Airline Stats'!J34</f>
        <v>2493260</v>
      </c>
      <c r="C11" s="118">
        <f>'Regional Major'!M31</f>
        <v>0</v>
      </c>
      <c r="D11" s="118">
        <f>Cargo!M22</f>
        <v>591797</v>
      </c>
      <c r="E11" s="118">
        <f>SUM(B11:D11)</f>
        <v>3085057</v>
      </c>
      <c r="F11" s="118">
        <f>E11*0.00045359237</f>
        <v>1399.3583162150899</v>
      </c>
      <c r="G11" s="146">
        <f>'[1]Cargo Summary'!F11</f>
        <v>759.69464497080003</v>
      </c>
      <c r="H11" s="35">
        <f>(F11-G11)/G11</f>
        <v>0.84200102696376944</v>
      </c>
      <c r="I11" s="146">
        <f>+F11+'[2]Cargo Summary'!I11</f>
        <v>7053.2075856865695</v>
      </c>
      <c r="J11" s="146">
        <f>'[1]Cargo Summary'!I11</f>
        <v>2958.1253205735002</v>
      </c>
      <c r="K11" s="85">
        <f>(I11-J11)/J11</f>
        <v>1.3843504994978184</v>
      </c>
      <c r="M11" s="35"/>
    </row>
    <row r="12" spans="1:18" ht="18" customHeight="1" thickBot="1" x14ac:dyDescent="0.25">
      <c r="A12" s="73" t="s">
        <v>73</v>
      </c>
      <c r="B12" s="171">
        <f>SUM(B10:B11)</f>
        <v>5945541</v>
      </c>
      <c r="C12" s="133">
        <f t="shared" ref="C12:J12" si="1">SUM(C10:C11)</f>
        <v>1645</v>
      </c>
      <c r="D12" s="133">
        <f t="shared" si="1"/>
        <v>15240620</v>
      </c>
      <c r="E12" s="133">
        <f t="shared" si="1"/>
        <v>21187806</v>
      </c>
      <c r="F12" s="133">
        <f t="shared" si="1"/>
        <v>9610.6271386402204</v>
      </c>
      <c r="G12" s="133">
        <f t="shared" si="1"/>
        <v>6499.3717555089397</v>
      </c>
      <c r="H12" s="44">
        <f>(F12-G12)/G12</f>
        <v>0.47870094220939835</v>
      </c>
      <c r="I12" s="133">
        <f t="shared" si="1"/>
        <v>52443.054359591282</v>
      </c>
      <c r="J12" s="133">
        <f t="shared" si="1"/>
        <v>45993.418100268093</v>
      </c>
      <c r="K12" s="318">
        <f>(I12-J12)/J12</f>
        <v>0.14022954861199141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71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69</v>
      </c>
      <c r="B15" s="169">
        <f>'Major Airline Stats'!J38</f>
        <v>0</v>
      </c>
      <c r="C15" s="118">
        <f>'Regional Major'!M35</f>
        <v>0</v>
      </c>
      <c r="D15" s="118">
        <f>Cargo!M26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28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16</v>
      </c>
      <c r="B16" s="169">
        <f>'Major Airline Stats'!J39</f>
        <v>0</v>
      </c>
      <c r="C16" s="118">
        <f>'Regional Major'!M36</f>
        <v>0</v>
      </c>
      <c r="D16" s="118">
        <f>Cargo!M27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74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18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14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69</v>
      </c>
      <c r="B20" s="169">
        <f t="shared" ref="B20:D21" si="3">B15+B10+B5</f>
        <v>10131054</v>
      </c>
      <c r="C20" s="118">
        <f t="shared" si="3"/>
        <v>2057</v>
      </c>
      <c r="D20" s="118">
        <f t="shared" si="3"/>
        <v>30755387</v>
      </c>
      <c r="E20" s="118">
        <f>SUM(B20:D20)</f>
        <v>40888498</v>
      </c>
      <c r="F20" s="118">
        <f>E20*0.00045359237</f>
        <v>18546.71071356026</v>
      </c>
      <c r="G20" s="146">
        <f>'[1]Cargo Summary'!F20</f>
        <v>14776.93446358668</v>
      </c>
      <c r="H20" s="37">
        <f>(F20-G20)/G20</f>
        <v>0.25511219930379081</v>
      </c>
      <c r="I20" s="146">
        <f>+F20+'[2]Cargo Summary'!I20</f>
        <v>99971.453080334992</v>
      </c>
      <c r="J20" s="146">
        <f>+J5+J10+J15</f>
        <v>89287.182780936913</v>
      </c>
      <c r="K20" s="85">
        <f>(I20-J20)/J20</f>
        <v>0.1196618592571296</v>
      </c>
      <c r="M20" s="35"/>
    </row>
    <row r="21" spans="1:13" x14ac:dyDescent="0.2">
      <c r="A21" s="62" t="s">
        <v>16</v>
      </c>
      <c r="B21" s="169">
        <f t="shared" si="3"/>
        <v>4504172</v>
      </c>
      <c r="C21" s="120">
        <f t="shared" si="3"/>
        <v>318</v>
      </c>
      <c r="D21" s="120">
        <f t="shared" si="3"/>
        <v>595142</v>
      </c>
      <c r="E21" s="118">
        <f>SUM(B21:D21)</f>
        <v>5099632</v>
      </c>
      <c r="F21" s="118">
        <f>E21*0.00045359237</f>
        <v>2313.1541650078398</v>
      </c>
      <c r="G21" s="146">
        <f>'[1]Cargo Summary'!F21</f>
        <v>1256.2830357231001</v>
      </c>
      <c r="H21" s="37">
        <f>(F21-G21)/G21</f>
        <v>0.84126832826045328</v>
      </c>
      <c r="I21" s="146">
        <f>+F21+'[2]Cargo Summary'!I21</f>
        <v>12189.563299257188</v>
      </c>
      <c r="J21" s="146">
        <f>+J6+J11+J16</f>
        <v>5675.9045389394241</v>
      </c>
      <c r="K21" s="85">
        <f>(I21-J21)/J21</f>
        <v>1.1475983635085729</v>
      </c>
      <c r="M21" s="35"/>
    </row>
    <row r="22" spans="1:13" ht="18" customHeight="1" thickBot="1" x14ac:dyDescent="0.25">
      <c r="A22" s="88" t="s">
        <v>62</v>
      </c>
      <c r="B22" s="172">
        <f>SUM(B20:B21)</f>
        <v>14635226</v>
      </c>
      <c r="C22" s="173">
        <f t="shared" ref="C22:J22" si="4">SUM(C20:C21)</f>
        <v>2375</v>
      </c>
      <c r="D22" s="173">
        <f t="shared" si="4"/>
        <v>31350529</v>
      </c>
      <c r="E22" s="173">
        <f t="shared" si="4"/>
        <v>45988130</v>
      </c>
      <c r="F22" s="173">
        <f t="shared" si="4"/>
        <v>20859.8648785681</v>
      </c>
      <c r="G22" s="173">
        <f t="shared" si="4"/>
        <v>16033.21749930978</v>
      </c>
      <c r="H22" s="324">
        <f>(F22-G22)/G22</f>
        <v>0.30104047297219688</v>
      </c>
      <c r="I22" s="173">
        <f t="shared" si="4"/>
        <v>112161.01637959218</v>
      </c>
      <c r="J22" s="173">
        <f t="shared" si="4"/>
        <v>94963.087319876344</v>
      </c>
      <c r="K22" s="325">
        <f>(I22-J22)/J22</f>
        <v>0.18110119989871276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June 2017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61"/>
  <sheetViews>
    <sheetView zoomScaleNormal="100" workbookViewId="0">
      <selection activeCell="F7" sqref="F7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25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7" customWidth="1"/>
    <col min="11" max="11" width="18.42578125" style="232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31"/>
      <c r="K1" s="11"/>
    </row>
    <row r="2" spans="1:19" s="224" customFormat="1" ht="26.25" thickBot="1" x14ac:dyDescent="0.25">
      <c r="A2" s="550" t="s">
        <v>218</v>
      </c>
      <c r="B2" s="551"/>
      <c r="C2" s="475" t="s">
        <v>201</v>
      </c>
      <c r="D2" s="477" t="s">
        <v>175</v>
      </c>
      <c r="E2" s="478" t="s">
        <v>98</v>
      </c>
      <c r="F2" s="479" t="s">
        <v>202</v>
      </c>
      <c r="G2" s="477" t="s">
        <v>176</v>
      </c>
      <c r="H2" s="476" t="s">
        <v>99</v>
      </c>
      <c r="I2" s="478" t="s">
        <v>140</v>
      </c>
      <c r="J2" s="550" t="s">
        <v>211</v>
      </c>
      <c r="K2" s="551"/>
      <c r="L2" s="475" t="s">
        <v>203</v>
      </c>
      <c r="M2" s="477" t="s">
        <v>177</v>
      </c>
      <c r="N2" s="480" t="s">
        <v>99</v>
      </c>
      <c r="O2" s="481" t="s">
        <v>204</v>
      </c>
      <c r="P2" s="481" t="s">
        <v>178</v>
      </c>
      <c r="Q2" s="514" t="s">
        <v>99</v>
      </c>
      <c r="R2" s="478" t="s">
        <v>217</v>
      </c>
    </row>
    <row r="3" spans="1:19" s="224" customFormat="1" ht="13.5" customHeight="1" thickBot="1" x14ac:dyDescent="0.25">
      <c r="A3" s="552">
        <v>42887</v>
      </c>
      <c r="B3" s="553"/>
      <c r="C3" s="554" t="s">
        <v>9</v>
      </c>
      <c r="D3" s="555"/>
      <c r="E3" s="555"/>
      <c r="F3" s="555"/>
      <c r="G3" s="555"/>
      <c r="H3" s="556"/>
      <c r="I3" s="482"/>
      <c r="J3" s="552">
        <f>+A3</f>
        <v>42887</v>
      </c>
      <c r="K3" s="553"/>
      <c r="L3" s="544" t="s">
        <v>212</v>
      </c>
      <c r="M3" s="545"/>
      <c r="N3" s="545"/>
      <c r="O3" s="545"/>
      <c r="P3" s="545"/>
      <c r="Q3" s="545"/>
      <c r="R3" s="546"/>
    </row>
    <row r="4" spans="1:19" x14ac:dyDescent="0.2">
      <c r="A4" s="346"/>
      <c r="B4" s="347"/>
      <c r="C4" s="348"/>
      <c r="D4" s="349"/>
      <c r="E4" s="350"/>
      <c r="F4" s="483"/>
      <c r="G4" s="418"/>
      <c r="H4" s="500"/>
      <c r="I4" s="350"/>
      <c r="J4" s="351"/>
      <c r="K4" s="347"/>
      <c r="L4" s="509"/>
      <c r="M4" s="5"/>
      <c r="N4" s="85"/>
      <c r="O4" s="53"/>
      <c r="P4" s="11"/>
      <c r="Q4" s="11"/>
      <c r="R4" s="55"/>
    </row>
    <row r="5" spans="1:19" ht="14.1" customHeight="1" x14ac:dyDescent="0.2">
      <c r="A5" s="353" t="s">
        <v>213</v>
      </c>
      <c r="B5" s="55"/>
      <c r="C5" s="354">
        <f>+[3]DHL!$FE$12</f>
        <v>46</v>
      </c>
      <c r="D5" s="356">
        <f>+[3]DHL!$EQ$12</f>
        <v>44</v>
      </c>
      <c r="E5" s="357">
        <f>(C5-D5)/D5</f>
        <v>4.5454545454545456E-2</v>
      </c>
      <c r="F5" s="354">
        <f>SUM([3]DHL!$EZ$12:$FE$12)</f>
        <v>258</v>
      </c>
      <c r="G5" s="356">
        <f>+SUM([3]DHL!$EL$12:$EQ$12)</f>
        <v>260</v>
      </c>
      <c r="H5" s="355">
        <f>(F5-G5)/G5</f>
        <v>-7.6923076923076927E-3</v>
      </c>
      <c r="I5" s="357">
        <f>+F5/$F$24</f>
        <v>3.8143110585452396E-2</v>
      </c>
      <c r="J5" s="353" t="s">
        <v>213</v>
      </c>
      <c r="K5" s="55"/>
      <c r="L5" s="354">
        <f>+[3]DHL!$FE$64</f>
        <v>1385778</v>
      </c>
      <c r="M5" s="356">
        <f>+[3]DHL!$EQ$64</f>
        <v>1229056</v>
      </c>
      <c r="N5" s="357">
        <f>(L5-M5)/M5</f>
        <v>0.12751412466152884</v>
      </c>
      <c r="O5" s="354">
        <f>SUM([3]DHL!$EZ$64:$FE$64)</f>
        <v>7481186</v>
      </c>
      <c r="P5" s="356">
        <f>+SUM([3]DHL!$EL$64:$EQ$64)</f>
        <v>6758316</v>
      </c>
      <c r="Q5" s="355">
        <f>(O5-P5)/P5</f>
        <v>0.10696007703694234</v>
      </c>
      <c r="R5" s="357">
        <f>O5/$O$24</f>
        <v>4.3086036269373948E-2</v>
      </c>
      <c r="S5" s="20"/>
    </row>
    <row r="6" spans="1:19" ht="14.1" customHeight="1" x14ac:dyDescent="0.2">
      <c r="A6" s="353"/>
      <c r="B6" s="368"/>
      <c r="C6" s="354"/>
      <c r="D6" s="356"/>
      <c r="E6" s="357"/>
      <c r="F6" s="354"/>
      <c r="G6" s="356"/>
      <c r="H6" s="355"/>
      <c r="I6" s="357"/>
      <c r="J6" s="353"/>
      <c r="K6" s="55"/>
      <c r="L6" s="358"/>
      <c r="M6" s="9"/>
      <c r="N6" s="86"/>
      <c r="O6" s="354"/>
      <c r="P6" s="356"/>
      <c r="Q6" s="39"/>
      <c r="R6" s="86"/>
      <c r="S6" s="20"/>
    </row>
    <row r="7" spans="1:19" ht="14.1" customHeight="1" x14ac:dyDescent="0.2">
      <c r="A7" s="353" t="s">
        <v>214</v>
      </c>
      <c r="B7" s="368"/>
      <c r="C7" s="354">
        <f>+[3]FedEx!$FE$12</f>
        <v>176</v>
      </c>
      <c r="D7" s="356">
        <f>+[3]FedEx!$EQ$12</f>
        <v>180</v>
      </c>
      <c r="E7" s="357">
        <f>(C7-D7)/D7</f>
        <v>-2.2222222222222223E-2</v>
      </c>
      <c r="F7" s="354">
        <f>SUM([3]FedEx!$EZ$12:$FE$12)</f>
        <v>1067</v>
      </c>
      <c r="G7" s="356">
        <f>+SUM([3]FedEx!$EL$12:$EQ$12)</f>
        <v>1022</v>
      </c>
      <c r="H7" s="355">
        <f t="shared" ref="H7" si="0">(F7-G7)/G7</f>
        <v>4.4031311154598823E-2</v>
      </c>
      <c r="I7" s="357">
        <f>+F7/$F$24</f>
        <v>0.15774689532820815</v>
      </c>
      <c r="J7" s="353" t="s">
        <v>214</v>
      </c>
      <c r="K7" s="55"/>
      <c r="L7" s="354">
        <f>+[3]FedEx!$FE$64</f>
        <v>17238355</v>
      </c>
      <c r="M7" s="356">
        <f>+[3]FedEx!$EQ$64</f>
        <v>17428529</v>
      </c>
      <c r="N7" s="357">
        <f>(L7-M7)/M7</f>
        <v>-1.0911649514425458E-2</v>
      </c>
      <c r="O7" s="354">
        <f>SUM([3]FedEx!$EZ$64:$FE$64)</f>
        <v>100262051</v>
      </c>
      <c r="P7" s="356">
        <f>+SUM([3]FedEx!$EL$64:$EQ$64)</f>
        <v>95922834</v>
      </c>
      <c r="Q7" s="355">
        <f t="shared" ref="Q7" si="1">(O7-P7)/P7</f>
        <v>4.5236538778660358E-2</v>
      </c>
      <c r="R7" s="357">
        <f>O7/$O$24</f>
        <v>0.57743442895656127</v>
      </c>
      <c r="S7" s="20"/>
    </row>
    <row r="8" spans="1:19" ht="14.1" customHeight="1" x14ac:dyDescent="0.2">
      <c r="A8" s="353"/>
      <c r="B8" s="368"/>
      <c r="C8" s="354"/>
      <c r="D8" s="356"/>
      <c r="E8" s="357"/>
      <c r="F8" s="354"/>
      <c r="G8" s="356"/>
      <c r="H8" s="355"/>
      <c r="I8" s="357"/>
      <c r="J8" s="353"/>
      <c r="K8" s="55"/>
      <c r="L8" s="358"/>
      <c r="M8" s="9"/>
      <c r="N8" s="86"/>
      <c r="O8" s="354"/>
      <c r="P8" s="356"/>
      <c r="Q8" s="39"/>
      <c r="R8" s="86"/>
      <c r="S8" s="20"/>
    </row>
    <row r="9" spans="1:19" ht="14.1" customHeight="1" x14ac:dyDescent="0.2">
      <c r="A9" s="353" t="s">
        <v>83</v>
      </c>
      <c r="B9" s="368"/>
      <c r="C9" s="354">
        <f>+[3]UPS!$FE$12</f>
        <v>198</v>
      </c>
      <c r="D9" s="356">
        <f>+[3]UPS!$EQ$12</f>
        <v>180</v>
      </c>
      <c r="E9" s="357">
        <f>(C9-D9)/D9</f>
        <v>0.1</v>
      </c>
      <c r="F9" s="354">
        <f>SUM([3]UPS!$EZ$12:$FE$12)</f>
        <v>1126</v>
      </c>
      <c r="G9" s="356">
        <f>+SUM([3]UPS!$EL$12:$EQ$12)</f>
        <v>1016</v>
      </c>
      <c r="H9" s="355">
        <f>(F9-G9)/G9</f>
        <v>0.10826771653543307</v>
      </c>
      <c r="I9" s="357">
        <f>+F9/$F$24</f>
        <v>0.16646954464813721</v>
      </c>
      <c r="J9" s="353" t="s">
        <v>83</v>
      </c>
      <c r="K9" s="55"/>
      <c r="L9" s="354">
        <f>+[3]UPS!$FE$64</f>
        <v>12268191</v>
      </c>
      <c r="M9" s="356">
        <f>+[3]UPS!$EQ$64</f>
        <v>6118201</v>
      </c>
      <c r="N9" s="357">
        <f>(L9-M9)/M9</f>
        <v>1.0051958083756973</v>
      </c>
      <c r="O9" s="354">
        <f>SUM([3]UPS!$EZ$64:$FE$64)</f>
        <v>62914716</v>
      </c>
      <c r="P9" s="356">
        <f>+SUM([3]UPS!$EL$64:$EQ$64)</f>
        <v>47903911</v>
      </c>
      <c r="Q9" s="355">
        <f>(O9-P9)/P9</f>
        <v>0.31335238995413128</v>
      </c>
      <c r="R9" s="357">
        <f>O9/$O$24</f>
        <v>0.36234171098718326</v>
      </c>
      <c r="S9" s="20"/>
    </row>
    <row r="10" spans="1:19" ht="14.1" customHeight="1" x14ac:dyDescent="0.2">
      <c r="A10" s="353"/>
      <c r="B10" s="368"/>
      <c r="C10" s="354"/>
      <c r="D10" s="356"/>
      <c r="E10" s="357"/>
      <c r="F10" s="354"/>
      <c r="G10" s="356"/>
      <c r="H10" s="355"/>
      <c r="I10" s="357"/>
      <c r="J10" s="353"/>
      <c r="K10" s="55"/>
      <c r="L10" s="358"/>
      <c r="M10" s="9"/>
      <c r="N10" s="86"/>
      <c r="O10" s="354"/>
      <c r="P10" s="356"/>
      <c r="Q10" s="39"/>
      <c r="R10" s="86"/>
      <c r="S10" s="20"/>
    </row>
    <row r="11" spans="1:19" ht="14.1" customHeight="1" x14ac:dyDescent="0.2">
      <c r="A11" s="353" t="s">
        <v>195</v>
      </c>
      <c r="B11" s="368"/>
      <c r="C11" s="354">
        <f>+[3]IFL!$FE$12</f>
        <v>46</v>
      </c>
      <c r="D11" s="356">
        <f>+[3]IFL!$EQ$12</f>
        <v>70</v>
      </c>
      <c r="E11" s="357">
        <f>(C11-D11)/D11</f>
        <v>-0.34285714285714286</v>
      </c>
      <c r="F11" s="354">
        <f>SUM([3]IFL!$EZ$12:$FE$12)</f>
        <v>370</v>
      </c>
      <c r="G11" s="356">
        <f>+SUM([3]IFL!$EL$12:$EQ$12)</f>
        <v>394</v>
      </c>
      <c r="H11" s="355">
        <f>(F11-G11)/G11</f>
        <v>-6.0913705583756347E-2</v>
      </c>
      <c r="I11" s="357">
        <f>+F11/$F$24</f>
        <v>5.4701360141927856E-2</v>
      </c>
      <c r="J11" s="353" t="s">
        <v>195</v>
      </c>
      <c r="K11" s="55"/>
      <c r="L11" s="354">
        <f>+[3]IFL!$FE$64</f>
        <v>47505</v>
      </c>
      <c r="M11" s="356">
        <f>+[3]IFL!$EQ$64</f>
        <v>92211</v>
      </c>
      <c r="N11" s="357">
        <f>(L11-M11)/M11</f>
        <v>-0.48482285193740443</v>
      </c>
      <c r="O11" s="354">
        <f>SUM([3]IFL!$EZ$64:$FE$64)</f>
        <v>465906</v>
      </c>
      <c r="P11" s="356">
        <f>+SUM([3]IFL!$EL$64:$EQ$64)</f>
        <v>464698</v>
      </c>
      <c r="Q11" s="355">
        <f>(O11-P11)/P11</f>
        <v>2.5995377643114452E-3</v>
      </c>
      <c r="R11" s="357">
        <f>O11/$O$24</f>
        <v>2.6832701144068522E-3</v>
      </c>
      <c r="S11" s="20"/>
    </row>
    <row r="12" spans="1:19" ht="14.1" customHeight="1" x14ac:dyDescent="0.2">
      <c r="A12" s="353"/>
      <c r="B12" s="368"/>
      <c r="C12" s="354"/>
      <c r="D12" s="359"/>
      <c r="E12" s="357"/>
      <c r="F12" s="484"/>
      <c r="G12" s="359"/>
      <c r="H12" s="355"/>
      <c r="I12" s="357"/>
      <c r="J12" s="353"/>
      <c r="K12" s="55"/>
      <c r="L12" s="360"/>
      <c r="M12" s="146"/>
      <c r="N12" s="86"/>
      <c r="O12" s="360"/>
      <c r="P12" s="146"/>
      <c r="Q12" s="39"/>
      <c r="R12" s="86"/>
      <c r="S12" s="20"/>
    </row>
    <row r="13" spans="1:19" ht="14.1" customHeight="1" x14ac:dyDescent="0.2">
      <c r="A13" s="353" t="s">
        <v>166</v>
      </c>
      <c r="B13" s="366"/>
      <c r="C13" s="354">
        <f>+'[3]Suburban Air Freight'!$FE$12</f>
        <v>0</v>
      </c>
      <c r="D13" s="356">
        <f>+'[3]Suburban Air Freight'!$EQ$12</f>
        <v>0</v>
      </c>
      <c r="E13" s="357" t="e">
        <f>(C13-D13)/D13</f>
        <v>#DIV/0!</v>
      </c>
      <c r="F13" s="354">
        <f>SUM('[3]Suburban Air Freight'!$EZ$12:$FE$12)</f>
        <v>0</v>
      </c>
      <c r="G13" s="356">
        <f>+SUM('[3]Suburban Air Freight'!$EL$12:$EQ$12)</f>
        <v>0</v>
      </c>
      <c r="H13" s="355" t="e">
        <f t="shared" ref="H13" si="2">(F13-G13)/G13</f>
        <v>#DIV/0!</v>
      </c>
      <c r="I13" s="357">
        <f>+F13/$F$24</f>
        <v>0</v>
      </c>
      <c r="J13" s="353" t="s">
        <v>166</v>
      </c>
      <c r="K13" s="361"/>
      <c r="L13" s="354">
        <f>+'[3]Suburban Air Freight'!$FE$64</f>
        <v>99317</v>
      </c>
      <c r="M13" s="356">
        <f>+'[3]Suburban Air Freight'!$EQ$64</f>
        <v>96082</v>
      </c>
      <c r="N13" s="357">
        <f>(L13-M13)/M13</f>
        <v>3.3669157594554654E-2</v>
      </c>
      <c r="O13" s="354">
        <f>SUM('[3]Suburban Air Freight'!$EZ$64:$FE$64)</f>
        <v>594219</v>
      </c>
      <c r="P13" s="356">
        <f>+SUM('[3]Suburban Air Freight'!$EL$64:$EQ$64)</f>
        <v>523963</v>
      </c>
      <c r="Q13" s="355">
        <f t="shared" ref="Q13" si="3">(O13-P13)/P13</f>
        <v>0.13408580376858673</v>
      </c>
      <c r="R13" s="357">
        <f>O13/$O$24</f>
        <v>3.4222570306300525E-3</v>
      </c>
      <c r="S13" s="20"/>
    </row>
    <row r="14" spans="1:19" ht="14.1" customHeight="1" x14ac:dyDescent="0.2">
      <c r="A14" s="53"/>
      <c r="B14" s="363"/>
      <c r="C14" s="354"/>
      <c r="D14" s="9"/>
      <c r="E14" s="86"/>
      <c r="F14" s="358"/>
      <c r="G14" s="9"/>
      <c r="H14" s="39"/>
      <c r="I14" s="86"/>
      <c r="J14" s="53"/>
      <c r="K14" s="363"/>
      <c r="L14" s="358"/>
      <c r="M14" s="9"/>
      <c r="N14" s="86"/>
      <c r="O14" s="358"/>
      <c r="P14" s="9"/>
      <c r="Q14" s="39"/>
      <c r="R14" s="86"/>
      <c r="S14" s="20"/>
    </row>
    <row r="15" spans="1:19" ht="14.1" customHeight="1" x14ac:dyDescent="0.2">
      <c r="A15" s="353" t="s">
        <v>85</v>
      </c>
      <c r="B15" s="363"/>
      <c r="C15" s="354">
        <f>+[3]Bemidji!$FE$12</f>
        <v>546</v>
      </c>
      <c r="D15" s="356">
        <f>+[3]Bemidji!$EQ$12</f>
        <v>514</v>
      </c>
      <c r="E15" s="357">
        <f>(C15-D15)/D15</f>
        <v>6.2256809338521402E-2</v>
      </c>
      <c r="F15" s="354">
        <f>SUM([3]Bemidji!$EZ$12:$FE$12)</f>
        <v>3214</v>
      </c>
      <c r="G15" s="356">
        <f>+SUM([3]Bemidji!$EL$12:$EQ$12)</f>
        <v>2830</v>
      </c>
      <c r="H15" s="355">
        <f t="shared" ref="H15" si="4">(F15-G15)/G15</f>
        <v>0.13568904593639575</v>
      </c>
      <c r="I15" s="357">
        <f>+F15/$F$24</f>
        <v>0.47516262566528683</v>
      </c>
      <c r="J15" s="353" t="s">
        <v>85</v>
      </c>
      <c r="K15" s="363"/>
      <c r="L15" s="547" t="s">
        <v>219</v>
      </c>
      <c r="M15" s="548"/>
      <c r="N15" s="548"/>
      <c r="O15" s="548"/>
      <c r="P15" s="548"/>
      <c r="Q15" s="548"/>
      <c r="R15" s="549"/>
      <c r="S15" s="20"/>
    </row>
    <row r="16" spans="1:19" ht="14.1" customHeight="1" x14ac:dyDescent="0.2">
      <c r="A16" s="53"/>
      <c r="B16" s="363"/>
      <c r="C16" s="354"/>
      <c r="D16" s="9"/>
      <c r="E16" s="86"/>
      <c r="F16" s="358"/>
      <c r="G16" s="9"/>
      <c r="H16" s="39"/>
      <c r="I16" s="86"/>
      <c r="J16" s="53"/>
      <c r="K16" s="363"/>
      <c r="L16" s="358"/>
      <c r="M16" s="9"/>
      <c r="N16" s="86"/>
      <c r="O16" s="358"/>
      <c r="P16" s="9"/>
      <c r="Q16" s="39"/>
      <c r="R16" s="86"/>
      <c r="S16" s="20"/>
    </row>
    <row r="17" spans="1:19" ht="14.1" customHeight="1" x14ac:dyDescent="0.2">
      <c r="A17" s="353" t="s">
        <v>86</v>
      </c>
      <c r="B17" s="363"/>
      <c r="C17" s="354">
        <f>+'[3]CSA Air'!$FE$12</f>
        <v>4</v>
      </c>
      <c r="D17" s="356">
        <f>+'[3]CSA Air'!$EQ$12</f>
        <v>48</v>
      </c>
      <c r="E17" s="357">
        <f>(C17-D17)/D17</f>
        <v>-0.91666666666666663</v>
      </c>
      <c r="F17" s="354">
        <f>SUM('[3]CSA Air'!$EZ$12:$FE$12)</f>
        <v>222</v>
      </c>
      <c r="G17" s="356">
        <f>+SUM('[3]CSA Air'!$EL$12:$EQ$12)</f>
        <v>266</v>
      </c>
      <c r="H17" s="355">
        <f t="shared" ref="H17" si="5">(F17-G17)/G17</f>
        <v>-0.16541353383458646</v>
      </c>
      <c r="I17" s="357">
        <f>+F17/$F$24</f>
        <v>3.2820816085156711E-2</v>
      </c>
      <c r="J17" s="353" t="s">
        <v>86</v>
      </c>
      <c r="K17" s="363"/>
      <c r="L17" s="354">
        <f>+'[3]CSA Air'!$FE$64</f>
        <v>5839</v>
      </c>
      <c r="M17" s="356">
        <f>+'[3]CSA Air'!$EQ$64</f>
        <v>65327</v>
      </c>
      <c r="N17" s="357">
        <f>(L17-M17)/M17</f>
        <v>-0.91061888652471412</v>
      </c>
      <c r="O17" s="354">
        <f>SUM('[3]CSA Air'!$EZ$64:$FE$64)</f>
        <v>316444</v>
      </c>
      <c r="P17" s="356">
        <f>+SUM('[3]CSA Air'!$EL$64:$EQ$64)</f>
        <v>367823</v>
      </c>
      <c r="Q17" s="355">
        <f t="shared" ref="Q17" si="6">(O17-P17)/P17</f>
        <v>-0.13968403280925881</v>
      </c>
      <c r="R17" s="357">
        <f>O17/$O$24</f>
        <v>1.8224807752708957E-3</v>
      </c>
      <c r="S17" s="20"/>
    </row>
    <row r="18" spans="1:19" ht="14.1" customHeight="1" x14ac:dyDescent="0.2">
      <c r="A18" s="53"/>
      <c r="B18" s="363"/>
      <c r="C18" s="354"/>
      <c r="D18" s="9"/>
      <c r="E18" s="86"/>
      <c r="F18" s="358"/>
      <c r="G18" s="9"/>
      <c r="H18" s="39"/>
      <c r="I18" s="86"/>
      <c r="J18" s="53"/>
      <c r="K18" s="363"/>
      <c r="L18" s="358"/>
      <c r="M18" s="9"/>
      <c r="N18" s="86"/>
      <c r="O18" s="358"/>
      <c r="P18" s="9"/>
      <c r="Q18" s="39"/>
      <c r="R18" s="86"/>
      <c r="S18" s="20"/>
    </row>
    <row r="19" spans="1:19" ht="14.1" customHeight="1" x14ac:dyDescent="0.2">
      <c r="A19" s="353" t="s">
        <v>87</v>
      </c>
      <c r="B19" s="366"/>
      <c r="C19" s="354">
        <f>+'[3]Mountain Cargo'!$FE$12</f>
        <v>44</v>
      </c>
      <c r="D19" s="356">
        <f>+'[3]Mountain Cargo'!$EQ$12</f>
        <v>42</v>
      </c>
      <c r="E19" s="357">
        <f>(C19-D19)/D19</f>
        <v>4.7619047619047616E-2</v>
      </c>
      <c r="F19" s="354">
        <f>SUM('[3]Mountain Cargo'!$EZ$12:$FE$12)</f>
        <v>248</v>
      </c>
      <c r="G19" s="356">
        <f>+SUM('[3]Mountain Cargo'!$EL$12:$EQ$12)</f>
        <v>250</v>
      </c>
      <c r="H19" s="355">
        <f>(F19-G19)/G19</f>
        <v>-8.0000000000000002E-3</v>
      </c>
      <c r="I19" s="357">
        <f>+F19/$F$24</f>
        <v>3.666469544648137E-2</v>
      </c>
      <c r="J19" s="353" t="s">
        <v>87</v>
      </c>
      <c r="K19" s="366"/>
      <c r="L19" s="354">
        <f>+'[3]Mountain Cargo'!$FE$64</f>
        <v>212710</v>
      </c>
      <c r="M19" s="356">
        <f>+'[3]Mountain Cargo'!$EQ$64</f>
        <v>160643</v>
      </c>
      <c r="N19" s="357">
        <f>(L19-M19)/M19</f>
        <v>0.32411620798914365</v>
      </c>
      <c r="O19" s="354">
        <f>SUM('[3]Mountain Cargo'!$EZ$64:$FE$64)</f>
        <v>1072969</v>
      </c>
      <c r="P19" s="356">
        <f>+SUM('[3]Mountain Cargo'!$EL$64:$EQ$64)</f>
        <v>977206</v>
      </c>
      <c r="Q19" s="355">
        <f t="shared" ref="Q19" si="7">(O19-P19)/P19</f>
        <v>9.7996737637714049E-2</v>
      </c>
      <c r="R19" s="357">
        <f>O19/$O$24</f>
        <v>6.1794989791610451E-3</v>
      </c>
      <c r="S19" s="420"/>
    </row>
    <row r="20" spans="1:19" ht="14.1" customHeight="1" x14ac:dyDescent="0.2">
      <c r="A20" s="53"/>
      <c r="B20" s="436"/>
      <c r="C20" s="354"/>
      <c r="D20" s="9"/>
      <c r="E20" s="86"/>
      <c r="F20" s="358"/>
      <c r="G20" s="9"/>
      <c r="H20" s="39"/>
      <c r="I20" s="86"/>
      <c r="J20" s="53"/>
      <c r="K20" s="436"/>
      <c r="L20" s="358"/>
      <c r="M20" s="9"/>
      <c r="N20" s="86"/>
      <c r="O20" s="358"/>
      <c r="P20" s="9"/>
      <c r="Q20" s="39"/>
      <c r="R20" s="86"/>
      <c r="S20" s="328"/>
    </row>
    <row r="21" spans="1:19" s="7" customFormat="1" ht="14.1" customHeight="1" x14ac:dyDescent="0.2">
      <c r="A21" s="353" t="s">
        <v>130</v>
      </c>
      <c r="B21" s="368"/>
      <c r="C21" s="354">
        <f>+'[3]Misc Cargo'!$FE$12</f>
        <v>44</v>
      </c>
      <c r="D21" s="356">
        <f>+'[3]Misc Cargo'!$EQ$12</f>
        <v>62</v>
      </c>
      <c r="E21" s="357">
        <f>(C21-D21)/D21</f>
        <v>-0.29032258064516131</v>
      </c>
      <c r="F21" s="354">
        <f>SUM('[3]Misc Cargo'!$EZ$12:$FE$12)</f>
        <v>259</v>
      </c>
      <c r="G21" s="356">
        <f>+SUM('[3]Misc Cargo'!$EL$12:$EQ$12)</f>
        <v>274</v>
      </c>
      <c r="H21" s="355">
        <f>(F21-G21)/G21</f>
        <v>-5.4744525547445258E-2</v>
      </c>
      <c r="I21" s="357">
        <f>+F21/$F$24</f>
        <v>3.8290952099349497E-2</v>
      </c>
      <c r="J21" s="353" t="s">
        <v>130</v>
      </c>
      <c r="K21" s="368"/>
      <c r="L21" s="354">
        <f>+'[3]Misc Cargo'!$FE$64</f>
        <v>92834</v>
      </c>
      <c r="M21" s="356">
        <f>+'[3]Misc Cargo'!$EQ$64</f>
        <v>84472</v>
      </c>
      <c r="N21" s="357">
        <f>(L21-M21)/M21</f>
        <v>9.8991381759636329E-2</v>
      </c>
      <c r="O21" s="354">
        <f>SUM('[3]Misc Cargo'!$EZ$64:$FE$64)</f>
        <v>526165</v>
      </c>
      <c r="P21" s="356">
        <f>+SUM('[3]Misc Cargo'!$EL$64:$EQ$64)</f>
        <v>445444</v>
      </c>
      <c r="Q21" s="355">
        <f>(O21-P21)/P21</f>
        <v>0.18121469814387442</v>
      </c>
      <c r="R21" s="357">
        <f>O21/$O$24</f>
        <v>3.0303168874126567E-3</v>
      </c>
      <c r="S21" s="485"/>
    </row>
    <row r="22" spans="1:19" s="7" customFormat="1" ht="14.1" customHeight="1" thickBot="1" x14ac:dyDescent="0.25">
      <c r="A22" s="486"/>
      <c r="B22" s="487"/>
      <c r="C22" s="488"/>
      <c r="D22" s="490"/>
      <c r="E22" s="491"/>
      <c r="F22" s="488"/>
      <c r="G22" s="490"/>
      <c r="H22" s="489"/>
      <c r="I22" s="491"/>
      <c r="J22" s="353"/>
      <c r="K22" s="368"/>
      <c r="L22" s="370"/>
      <c r="M22" s="374"/>
      <c r="N22" s="373"/>
      <c r="O22" s="370"/>
      <c r="P22" s="374"/>
      <c r="Q22" s="371"/>
      <c r="R22" s="487"/>
      <c r="S22" s="485"/>
    </row>
    <row r="23" spans="1:19" ht="13.5" thickBot="1" x14ac:dyDescent="0.25">
      <c r="B23" s="7"/>
      <c r="D23" s="227"/>
      <c r="E23" s="227"/>
      <c r="F23" s="4"/>
      <c r="G23" s="7"/>
      <c r="H23"/>
      <c r="I23"/>
      <c r="J23"/>
      <c r="K23"/>
      <c r="M23"/>
      <c r="N23"/>
    </row>
    <row r="24" spans="1:19" s="492" customFormat="1" ht="15.75" thickBot="1" x14ac:dyDescent="0.3">
      <c r="B24" s="493" t="s">
        <v>215</v>
      </c>
      <c r="C24" s="494">
        <f>+SUM(C5:C21)</f>
        <v>1104</v>
      </c>
      <c r="D24" s="495">
        <f>SUM(D5:D22)</f>
        <v>1140</v>
      </c>
      <c r="E24" s="496">
        <f>(C24-D24)/D24</f>
        <v>-3.1578947368421054E-2</v>
      </c>
      <c r="F24" s="494">
        <f>+SUM(F5:F21)</f>
        <v>6764</v>
      </c>
      <c r="G24" s="494">
        <f>+SUM(G5:G21)</f>
        <v>6312</v>
      </c>
      <c r="H24" s="497">
        <f>(F24-G24)/G24</f>
        <v>7.1609632446134344E-2</v>
      </c>
      <c r="I24" s="513"/>
      <c r="K24" s="493" t="s">
        <v>215</v>
      </c>
      <c r="L24" s="494">
        <f>+SUM(L5:L21)</f>
        <v>31350529</v>
      </c>
      <c r="M24" s="498">
        <f>SUM(M5:M22)</f>
        <v>25274521</v>
      </c>
      <c r="N24" s="499">
        <f>(L24-M24)/M24</f>
        <v>0.24040052035011861</v>
      </c>
      <c r="O24" s="494">
        <f>+SUM(O5:O21)</f>
        <v>173633656</v>
      </c>
      <c r="P24" s="494">
        <f>+SUM(P5:P21)</f>
        <v>153364195</v>
      </c>
      <c r="Q24" s="497">
        <f t="shared" ref="Q24" si="8">(O24-P24)/P24</f>
        <v>0.13216553576928436</v>
      </c>
      <c r="R24" s="513"/>
    </row>
    <row r="25" spans="1:19" x14ac:dyDescent="0.2">
      <c r="B25" s="7"/>
      <c r="D25" s="3"/>
      <c r="F25"/>
      <c r="G25"/>
      <c r="H25"/>
      <c r="I25"/>
      <c r="J25"/>
      <c r="K25"/>
      <c r="L25"/>
      <c r="M25"/>
      <c r="N25"/>
    </row>
    <row r="26" spans="1:19" x14ac:dyDescent="0.2">
      <c r="B26" s="7"/>
      <c r="D26" s="3"/>
      <c r="F26"/>
      <c r="G26"/>
      <c r="H26"/>
      <c r="I26"/>
      <c r="J26"/>
      <c r="K26"/>
      <c r="L26"/>
      <c r="M26"/>
      <c r="N26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D71" s="3"/>
      <c r="F71"/>
      <c r="G71"/>
      <c r="H71"/>
      <c r="I71"/>
      <c r="J71"/>
      <c r="K71"/>
      <c r="L71"/>
      <c r="M71"/>
      <c r="N71"/>
    </row>
    <row r="72" spans="2:14" x14ac:dyDescent="0.2"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E94" s="37"/>
      <c r="F94" s="231"/>
      <c r="G94" s="5"/>
      <c r="H94" s="37"/>
      <c r="I94" s="37"/>
      <c r="K94" s="11"/>
    </row>
    <row r="95" spans="4:14" x14ac:dyDescent="0.2">
      <c r="E95" s="37"/>
      <c r="F95" s="231"/>
      <c r="G95" s="5"/>
      <c r="H95" s="37"/>
      <c r="I95" s="37"/>
      <c r="K95" s="11"/>
    </row>
    <row r="96" spans="4:14" x14ac:dyDescent="0.2">
      <c r="E96" s="37"/>
      <c r="F96" s="231"/>
      <c r="G96" s="5"/>
      <c r="H96" s="37"/>
      <c r="I96" s="37"/>
      <c r="K96" s="11"/>
    </row>
    <row r="97" spans="5:11" x14ac:dyDescent="0.2">
      <c r="E97" s="37"/>
      <c r="F97" s="231"/>
      <c r="G97" s="5"/>
      <c r="H97" s="37"/>
      <c r="I97" s="37"/>
      <c r="K97" s="11"/>
    </row>
    <row r="98" spans="5:11" x14ac:dyDescent="0.2">
      <c r="E98" s="37"/>
      <c r="F98" s="231"/>
      <c r="G98" s="5"/>
      <c r="H98" s="37"/>
      <c r="I98" s="37"/>
      <c r="K98" s="11"/>
    </row>
    <row r="99" spans="5:11" x14ac:dyDescent="0.2">
      <c r="E99" s="37"/>
      <c r="F99" s="231"/>
      <c r="G99" s="5"/>
      <c r="H99" s="37"/>
      <c r="I99" s="37"/>
      <c r="K99" s="11"/>
    </row>
    <row r="100" spans="5:11" x14ac:dyDescent="0.2">
      <c r="E100" s="37"/>
      <c r="F100" s="231"/>
      <c r="G100" s="5"/>
      <c r="H100" s="37"/>
      <c r="I100" s="37"/>
      <c r="K100" s="11"/>
    </row>
    <row r="101" spans="5:11" x14ac:dyDescent="0.2">
      <c r="E101" s="37"/>
      <c r="F101" s="231"/>
      <c r="G101" s="5"/>
      <c r="H101" s="37"/>
      <c r="I101" s="37"/>
      <c r="K101" s="11"/>
    </row>
    <row r="102" spans="5:11" x14ac:dyDescent="0.2">
      <c r="E102" s="37"/>
      <c r="F102" s="231"/>
      <c r="G102" s="5"/>
      <c r="H102" s="37"/>
      <c r="I102" s="37"/>
      <c r="K102" s="11"/>
    </row>
    <row r="103" spans="5:11" x14ac:dyDescent="0.2">
      <c r="E103" s="37"/>
      <c r="F103" s="231"/>
      <c r="G103" s="5"/>
      <c r="H103" s="37"/>
      <c r="I103" s="37"/>
      <c r="K103" s="11"/>
    </row>
    <row r="104" spans="5:11" x14ac:dyDescent="0.2">
      <c r="E104" s="37"/>
      <c r="F104" s="231"/>
      <c r="G104" s="5"/>
      <c r="H104" s="37"/>
      <c r="I104" s="37"/>
      <c r="K104" s="11"/>
    </row>
    <row r="105" spans="5:11" x14ac:dyDescent="0.2">
      <c r="E105" s="37"/>
      <c r="F105" s="231"/>
      <c r="G105" s="5"/>
      <c r="H105" s="37"/>
      <c r="I105" s="37"/>
      <c r="K105" s="11"/>
    </row>
    <row r="106" spans="5:11" x14ac:dyDescent="0.2">
      <c r="E106" s="37"/>
      <c r="F106" s="231"/>
      <c r="G106" s="5"/>
      <c r="H106" s="37"/>
      <c r="I106" s="37"/>
      <c r="K106" s="11"/>
    </row>
    <row r="107" spans="5:11" x14ac:dyDescent="0.2">
      <c r="E107" s="37"/>
      <c r="F107" s="231"/>
      <c r="G107" s="5"/>
      <c r="H107" s="37"/>
      <c r="I107" s="37"/>
      <c r="K107" s="11"/>
    </row>
    <row r="108" spans="5:11" x14ac:dyDescent="0.2">
      <c r="E108" s="37"/>
      <c r="F108" s="231"/>
      <c r="G108" s="5"/>
      <c r="H108" s="37"/>
      <c r="I108" s="37"/>
      <c r="K108" s="11"/>
    </row>
    <row r="109" spans="5:11" x14ac:dyDescent="0.2">
      <c r="E109" s="37"/>
      <c r="F109" s="231"/>
      <c r="G109" s="5"/>
      <c r="H109" s="37"/>
      <c r="I109" s="37"/>
      <c r="K109" s="11"/>
    </row>
    <row r="110" spans="5:11" x14ac:dyDescent="0.2">
      <c r="E110" s="37"/>
      <c r="F110" s="231"/>
      <c r="G110" s="5"/>
      <c r="H110" s="37"/>
      <c r="I110" s="37"/>
      <c r="K110" s="11"/>
    </row>
    <row r="111" spans="5:11" x14ac:dyDescent="0.2">
      <c r="E111" s="37"/>
      <c r="F111" s="231"/>
      <c r="G111" s="5"/>
      <c r="H111" s="37"/>
      <c r="I111" s="37"/>
      <c r="K111" s="11"/>
    </row>
    <row r="112" spans="5:11" x14ac:dyDescent="0.2">
      <c r="E112" s="37"/>
      <c r="F112" s="231"/>
      <c r="G112" s="5"/>
      <c r="H112" s="37"/>
      <c r="I112" s="37"/>
      <c r="K112" s="11"/>
    </row>
    <row r="113" spans="5:11" x14ac:dyDescent="0.2">
      <c r="E113" s="37"/>
      <c r="F113" s="231"/>
      <c r="G113" s="5"/>
      <c r="H113" s="37"/>
      <c r="I113" s="37"/>
      <c r="K113" s="11"/>
    </row>
    <row r="114" spans="5:11" x14ac:dyDescent="0.2">
      <c r="E114" s="37"/>
      <c r="F114" s="231"/>
      <c r="G114" s="5"/>
      <c r="H114" s="37"/>
      <c r="I114" s="37"/>
      <c r="K114" s="11"/>
    </row>
    <row r="115" spans="5:11" x14ac:dyDescent="0.2">
      <c r="E115" s="37"/>
      <c r="F115" s="231"/>
      <c r="G115" s="5"/>
      <c r="H115" s="37"/>
      <c r="I115" s="37"/>
      <c r="K115" s="11"/>
    </row>
    <row r="116" spans="5:11" x14ac:dyDescent="0.2">
      <c r="E116" s="37"/>
      <c r="F116" s="231"/>
      <c r="G116" s="5"/>
      <c r="H116" s="37"/>
      <c r="I116" s="37"/>
      <c r="K116" s="11"/>
    </row>
    <row r="117" spans="5:11" x14ac:dyDescent="0.2">
      <c r="E117" s="37"/>
      <c r="F117" s="231"/>
      <c r="G117" s="5"/>
      <c r="H117" s="37"/>
      <c r="I117" s="37"/>
      <c r="K117" s="11"/>
    </row>
    <row r="118" spans="5:11" x14ac:dyDescent="0.2">
      <c r="E118" s="37"/>
      <c r="F118" s="231"/>
      <c r="G118" s="5"/>
      <c r="H118" s="37"/>
      <c r="I118" s="37"/>
      <c r="K118" s="11"/>
    </row>
    <row r="119" spans="5:11" x14ac:dyDescent="0.2">
      <c r="E119" s="37"/>
      <c r="F119" s="231"/>
      <c r="G119" s="5"/>
      <c r="H119" s="37"/>
      <c r="I119" s="37"/>
      <c r="K119" s="11"/>
    </row>
    <row r="120" spans="5:11" x14ac:dyDescent="0.2">
      <c r="E120" s="37"/>
      <c r="F120" s="231"/>
      <c r="G120" s="5"/>
      <c r="H120" s="37"/>
      <c r="I120" s="37"/>
      <c r="K120" s="11"/>
    </row>
    <row r="121" spans="5:11" x14ac:dyDescent="0.2">
      <c r="E121" s="37"/>
      <c r="F121" s="231"/>
      <c r="G121" s="5"/>
      <c r="H121" s="37"/>
      <c r="I121" s="37"/>
      <c r="K121" s="11"/>
    </row>
    <row r="122" spans="5:11" x14ac:dyDescent="0.2">
      <c r="E122" s="37"/>
      <c r="F122" s="231"/>
      <c r="G122" s="5"/>
      <c r="H122" s="37"/>
      <c r="I122" s="37"/>
      <c r="K122" s="11"/>
    </row>
    <row r="123" spans="5:11" x14ac:dyDescent="0.2">
      <c r="E123" s="37"/>
      <c r="F123" s="231"/>
      <c r="G123" s="5"/>
      <c r="H123" s="37"/>
      <c r="I123" s="37"/>
      <c r="K123" s="11"/>
    </row>
    <row r="124" spans="5:11" x14ac:dyDescent="0.2">
      <c r="E124" s="37"/>
      <c r="F124" s="231"/>
      <c r="G124" s="5"/>
      <c r="H124" s="37"/>
      <c r="I124" s="37"/>
      <c r="K124" s="11"/>
    </row>
    <row r="125" spans="5:11" x14ac:dyDescent="0.2">
      <c r="E125" s="37"/>
      <c r="F125" s="231"/>
      <c r="G125" s="5"/>
      <c r="H125" s="37"/>
      <c r="I125" s="37"/>
      <c r="K125" s="11"/>
    </row>
    <row r="126" spans="5:11" x14ac:dyDescent="0.2">
      <c r="E126" s="37"/>
      <c r="F126" s="231"/>
      <c r="G126" s="5"/>
      <c r="H126" s="37"/>
      <c r="I126" s="37"/>
      <c r="K126" s="11"/>
    </row>
    <row r="127" spans="5:11" x14ac:dyDescent="0.2">
      <c r="E127" s="37"/>
      <c r="F127" s="231"/>
      <c r="G127" s="5"/>
      <c r="H127" s="37"/>
      <c r="I127" s="37"/>
      <c r="K127" s="11"/>
    </row>
    <row r="128" spans="5:11" x14ac:dyDescent="0.2">
      <c r="E128" s="37"/>
      <c r="F128" s="231"/>
      <c r="G128" s="5"/>
      <c r="H128" s="37"/>
      <c r="I128" s="37"/>
      <c r="K128" s="11"/>
    </row>
    <row r="129" spans="5:11" x14ac:dyDescent="0.2">
      <c r="E129" s="37"/>
      <c r="F129" s="231"/>
      <c r="G129" s="5"/>
      <c r="H129" s="37"/>
      <c r="I129" s="37"/>
      <c r="K129" s="11"/>
    </row>
    <row r="130" spans="5:11" x14ac:dyDescent="0.2">
      <c r="E130" s="37"/>
      <c r="F130" s="231"/>
      <c r="G130" s="5"/>
      <c r="H130" s="37"/>
      <c r="I130" s="37"/>
      <c r="K130" s="11"/>
    </row>
    <row r="131" spans="5:11" x14ac:dyDescent="0.2">
      <c r="E131" s="37"/>
      <c r="F131" s="231"/>
      <c r="G131" s="5"/>
      <c r="H131" s="37"/>
      <c r="I131" s="37"/>
      <c r="K131" s="11"/>
    </row>
    <row r="132" spans="5:11" x14ac:dyDescent="0.2">
      <c r="E132" s="37"/>
      <c r="F132" s="231"/>
      <c r="G132" s="5"/>
      <c r="H132" s="37"/>
      <c r="I132" s="37"/>
      <c r="K132" s="11"/>
    </row>
    <row r="133" spans="5:11" x14ac:dyDescent="0.2">
      <c r="E133" s="37"/>
      <c r="F133" s="231"/>
      <c r="G133" s="5"/>
      <c r="H133" s="37"/>
      <c r="I133" s="37"/>
      <c r="K133" s="11"/>
    </row>
    <row r="134" spans="5:11" x14ac:dyDescent="0.2">
      <c r="E134" s="37"/>
      <c r="F134" s="231"/>
      <c r="G134" s="5"/>
      <c r="H134" s="37"/>
      <c r="I134" s="37"/>
      <c r="K134" s="11"/>
    </row>
    <row r="135" spans="5:11" x14ac:dyDescent="0.2">
      <c r="E135" s="37"/>
      <c r="F135" s="231"/>
      <c r="G135" s="5"/>
      <c r="H135" s="37"/>
      <c r="I135" s="37"/>
      <c r="K135" s="11"/>
    </row>
    <row r="136" spans="5:11" x14ac:dyDescent="0.2">
      <c r="E136" s="37"/>
      <c r="F136" s="231"/>
      <c r="G136" s="5"/>
      <c r="H136" s="37"/>
      <c r="I136" s="37"/>
      <c r="K136" s="11"/>
    </row>
    <row r="137" spans="5:11" x14ac:dyDescent="0.2">
      <c r="E137" s="37"/>
      <c r="F137" s="231"/>
      <c r="G137" s="5"/>
      <c r="H137" s="37"/>
      <c r="I137" s="37"/>
      <c r="K137" s="11"/>
    </row>
    <row r="138" spans="5:11" x14ac:dyDescent="0.2">
      <c r="E138" s="37"/>
      <c r="F138" s="231"/>
      <c r="G138" s="5"/>
      <c r="H138" s="37"/>
      <c r="I138" s="37"/>
      <c r="K138" s="11"/>
    </row>
    <row r="139" spans="5:11" x14ac:dyDescent="0.2">
      <c r="E139" s="37"/>
      <c r="F139" s="231"/>
      <c r="G139" s="5"/>
      <c r="H139" s="37"/>
      <c r="I139" s="37"/>
      <c r="K139" s="11"/>
    </row>
    <row r="140" spans="5:11" x14ac:dyDescent="0.2">
      <c r="E140" s="37"/>
      <c r="F140" s="231"/>
      <c r="G140" s="5"/>
      <c r="H140" s="37"/>
      <c r="I140" s="37"/>
      <c r="K140" s="11"/>
    </row>
    <row r="141" spans="5:11" x14ac:dyDescent="0.2">
      <c r="E141" s="37"/>
      <c r="F141" s="231"/>
      <c r="G141" s="5"/>
      <c r="H141" s="37"/>
      <c r="I141" s="37"/>
      <c r="K141" s="11"/>
    </row>
    <row r="142" spans="5:11" x14ac:dyDescent="0.2">
      <c r="E142" s="37"/>
      <c r="F142" s="231"/>
      <c r="G142" s="5"/>
      <c r="H142" s="37"/>
      <c r="I142" s="37"/>
      <c r="K142" s="11"/>
    </row>
    <row r="143" spans="5:11" x14ac:dyDescent="0.2">
      <c r="E143" s="37"/>
      <c r="F143" s="231"/>
      <c r="G143" s="5"/>
      <c r="H143" s="37"/>
      <c r="I143" s="37"/>
      <c r="K143" s="11"/>
    </row>
    <row r="144" spans="5:11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F1147" s="231"/>
      <c r="G1147" s="5"/>
      <c r="H1147" s="37"/>
      <c r="I1147" s="37"/>
      <c r="K1147" s="11"/>
    </row>
    <row r="1148" spans="5:11" x14ac:dyDescent="0.2">
      <c r="F1148" s="231"/>
      <c r="G1148" s="5"/>
      <c r="H1148" s="37"/>
      <c r="I1148" s="37"/>
      <c r="K1148" s="11"/>
    </row>
    <row r="1149" spans="5:11" x14ac:dyDescent="0.2">
      <c r="F1149" s="231"/>
      <c r="G1149" s="5"/>
      <c r="H1149" s="37"/>
      <c r="I1149" s="37"/>
      <c r="K1149" s="11"/>
    </row>
    <row r="1150" spans="5:11" x14ac:dyDescent="0.2">
      <c r="F1150" s="231"/>
      <c r="G1150" s="5"/>
      <c r="H1150" s="37"/>
      <c r="I1150" s="37"/>
      <c r="K1150" s="11"/>
    </row>
    <row r="1151" spans="5:11" x14ac:dyDescent="0.2">
      <c r="F1151" s="231"/>
      <c r="G1151" s="5"/>
      <c r="H1151" s="37"/>
      <c r="I1151" s="37"/>
      <c r="K1151" s="11"/>
    </row>
    <row r="1152" spans="5:11" x14ac:dyDescent="0.2">
      <c r="F1152" s="231"/>
      <c r="G1152" s="5"/>
      <c r="H1152" s="37"/>
      <c r="I1152" s="37"/>
      <c r="K1152" s="11"/>
    </row>
    <row r="1153" spans="6:11" x14ac:dyDescent="0.2">
      <c r="F1153" s="231"/>
      <c r="G1153" s="5"/>
      <c r="H1153" s="37"/>
      <c r="I1153" s="37"/>
      <c r="K1153" s="11"/>
    </row>
    <row r="1154" spans="6:11" x14ac:dyDescent="0.2">
      <c r="F1154" s="231"/>
      <c r="G1154" s="5"/>
      <c r="H1154" s="37"/>
      <c r="I1154" s="37"/>
      <c r="K1154" s="11"/>
    </row>
    <row r="1155" spans="6:11" x14ac:dyDescent="0.2">
      <c r="F1155" s="231"/>
      <c r="G1155" s="5"/>
      <c r="H1155" s="37"/>
      <c r="I1155" s="37"/>
      <c r="K1155" s="11"/>
    </row>
    <row r="1156" spans="6:11" x14ac:dyDescent="0.2">
      <c r="F1156" s="231"/>
      <c r="G1156" s="5"/>
      <c r="H1156" s="37"/>
      <c r="I1156" s="37"/>
      <c r="K1156" s="11"/>
    </row>
    <row r="1157" spans="6:11" x14ac:dyDescent="0.2">
      <c r="F1157" s="231"/>
      <c r="G1157" s="5"/>
      <c r="H1157" s="37"/>
      <c r="I1157" s="37"/>
      <c r="K1157" s="11"/>
    </row>
    <row r="1158" spans="6:11" x14ac:dyDescent="0.2">
      <c r="F1158" s="231"/>
      <c r="G1158" s="5"/>
      <c r="H1158" s="37"/>
      <c r="I1158" s="37"/>
      <c r="K1158" s="11"/>
    </row>
    <row r="1159" spans="6:11" x14ac:dyDescent="0.2">
      <c r="F1159" s="231"/>
      <c r="G1159" s="5"/>
      <c r="H1159" s="37"/>
      <c r="I1159" s="37"/>
      <c r="K1159" s="11"/>
    </row>
    <row r="1160" spans="6:11" x14ac:dyDescent="0.2">
      <c r="F1160" s="231"/>
      <c r="G1160" s="5"/>
      <c r="H1160" s="37"/>
      <c r="I1160" s="37"/>
      <c r="K1160" s="11"/>
    </row>
    <row r="1161" spans="6:11" x14ac:dyDescent="0.2">
      <c r="F1161" s="231"/>
      <c r="G1161" s="5"/>
      <c r="H1161" s="37"/>
      <c r="I1161" s="37"/>
      <c r="K1161" s="11"/>
    </row>
    <row r="1162" spans="6:11" x14ac:dyDescent="0.2">
      <c r="F1162" s="231"/>
      <c r="G1162" s="5"/>
      <c r="H1162" s="37"/>
      <c r="I1162" s="37"/>
      <c r="K1162" s="11"/>
    </row>
    <row r="1163" spans="6:11" x14ac:dyDescent="0.2">
      <c r="F1163" s="231"/>
      <c r="G1163" s="5"/>
      <c r="H1163" s="37"/>
      <c r="I1163" s="37"/>
      <c r="K1163" s="11"/>
    </row>
    <row r="1164" spans="6:11" x14ac:dyDescent="0.2">
      <c r="F1164" s="231"/>
      <c r="G1164" s="5"/>
      <c r="H1164" s="37"/>
      <c r="I1164" s="37"/>
      <c r="K1164" s="11"/>
    </row>
    <row r="1165" spans="6:11" x14ac:dyDescent="0.2">
      <c r="F1165" s="231"/>
      <c r="G1165" s="5"/>
      <c r="H1165" s="37"/>
      <c r="I1165" s="37"/>
      <c r="K1165" s="11"/>
    </row>
    <row r="1166" spans="6:11" x14ac:dyDescent="0.2">
      <c r="F1166" s="231"/>
      <c r="G1166" s="5"/>
      <c r="H1166" s="37"/>
      <c r="I1166" s="37"/>
      <c r="K1166" s="11"/>
    </row>
    <row r="1167" spans="6:11" x14ac:dyDescent="0.2">
      <c r="F1167" s="231"/>
      <c r="G1167" s="5"/>
      <c r="H1167" s="37"/>
      <c r="I1167" s="37"/>
      <c r="K1167" s="11"/>
    </row>
    <row r="1168" spans="6:11" x14ac:dyDescent="0.2">
      <c r="F1168" s="231"/>
      <c r="G1168" s="5"/>
      <c r="H1168" s="37"/>
      <c r="I1168" s="37"/>
      <c r="K1168" s="11"/>
    </row>
    <row r="1169" spans="6:11" x14ac:dyDescent="0.2">
      <c r="F1169" s="231"/>
      <c r="G1169" s="5"/>
      <c r="H1169" s="37"/>
      <c r="I1169" s="37"/>
      <c r="K1169" s="11"/>
    </row>
    <row r="1170" spans="6:11" x14ac:dyDescent="0.2">
      <c r="F1170" s="231"/>
      <c r="G1170" s="5"/>
      <c r="H1170" s="37"/>
      <c r="I1170" s="37"/>
      <c r="K1170" s="11"/>
    </row>
    <row r="1171" spans="6:11" x14ac:dyDescent="0.2">
      <c r="F1171" s="231"/>
      <c r="G1171" s="5"/>
      <c r="H1171" s="37"/>
      <c r="I1171" s="37"/>
      <c r="K1171" s="11"/>
    </row>
    <row r="1172" spans="6:11" x14ac:dyDescent="0.2">
      <c r="F1172" s="231"/>
      <c r="G1172" s="5"/>
      <c r="H1172" s="37"/>
      <c r="I1172" s="37"/>
      <c r="K1172" s="11"/>
    </row>
    <row r="1173" spans="6:11" x14ac:dyDescent="0.2">
      <c r="F1173" s="231"/>
      <c r="G1173" s="5"/>
      <c r="H1173" s="37"/>
      <c r="I1173" s="37"/>
      <c r="K1173" s="11"/>
    </row>
    <row r="1174" spans="6:11" x14ac:dyDescent="0.2">
      <c r="F1174" s="231"/>
      <c r="G1174" s="5"/>
      <c r="H1174" s="37"/>
      <c r="I1174" s="37"/>
      <c r="K1174" s="11"/>
    </row>
    <row r="1175" spans="6:11" x14ac:dyDescent="0.2">
      <c r="F1175" s="231"/>
      <c r="G1175" s="5"/>
      <c r="H1175" s="37"/>
      <c r="I1175" s="37"/>
      <c r="K1175" s="11"/>
    </row>
    <row r="1176" spans="6:11" x14ac:dyDescent="0.2">
      <c r="F1176" s="231"/>
      <c r="G1176" s="5"/>
      <c r="H1176" s="37"/>
      <c r="I1176" s="37"/>
      <c r="K1176" s="11"/>
    </row>
    <row r="1177" spans="6:11" x14ac:dyDescent="0.2">
      <c r="F1177" s="231"/>
      <c r="G1177" s="5"/>
      <c r="H1177" s="37"/>
      <c r="I1177" s="37"/>
      <c r="K1177" s="11"/>
    </row>
    <row r="1178" spans="6:11" x14ac:dyDescent="0.2">
      <c r="F1178" s="231"/>
      <c r="G1178" s="5"/>
      <c r="H1178" s="37"/>
      <c r="I1178" s="37"/>
      <c r="K1178" s="11"/>
    </row>
    <row r="1179" spans="6:11" x14ac:dyDescent="0.2">
      <c r="F1179" s="231"/>
      <c r="G1179" s="5"/>
      <c r="H1179" s="37"/>
      <c r="I1179" s="37"/>
      <c r="K1179" s="11"/>
    </row>
    <row r="1180" spans="6:11" x14ac:dyDescent="0.2">
      <c r="F1180" s="231"/>
      <c r="G1180" s="5"/>
      <c r="H1180" s="37"/>
      <c r="I1180" s="37"/>
      <c r="K1180" s="11"/>
    </row>
    <row r="1181" spans="6:11" x14ac:dyDescent="0.2">
      <c r="F1181" s="231"/>
      <c r="G1181" s="5"/>
      <c r="H1181" s="37"/>
      <c r="I1181" s="37"/>
      <c r="K1181" s="11"/>
    </row>
    <row r="1182" spans="6:11" x14ac:dyDescent="0.2">
      <c r="F1182" s="231"/>
      <c r="G1182" s="5"/>
      <c r="H1182" s="37"/>
      <c r="I1182" s="37"/>
      <c r="K1182" s="11"/>
    </row>
    <row r="1183" spans="6:11" x14ac:dyDescent="0.2">
      <c r="F1183" s="231"/>
      <c r="G1183" s="5"/>
      <c r="H1183" s="37"/>
      <c r="I1183" s="37"/>
      <c r="K1183" s="11"/>
    </row>
    <row r="1184" spans="6:11" x14ac:dyDescent="0.2">
      <c r="F1184" s="231"/>
      <c r="G1184" s="5"/>
      <c r="H1184" s="37"/>
      <c r="I1184" s="37"/>
      <c r="K1184" s="11"/>
    </row>
    <row r="1185" spans="6:11" x14ac:dyDescent="0.2">
      <c r="F1185" s="231"/>
      <c r="G1185" s="5"/>
      <c r="H1185" s="37"/>
      <c r="I1185" s="37"/>
      <c r="K1185" s="11"/>
    </row>
    <row r="1186" spans="6:11" x14ac:dyDescent="0.2">
      <c r="F1186" s="231"/>
      <c r="G1186" s="5"/>
      <c r="H1186" s="37"/>
      <c r="I1186" s="37"/>
      <c r="K1186" s="11"/>
    </row>
    <row r="1187" spans="6:11" x14ac:dyDescent="0.2">
      <c r="F1187" s="231"/>
      <c r="G1187" s="5"/>
      <c r="H1187" s="37"/>
      <c r="I1187" s="37"/>
      <c r="K1187" s="11"/>
    </row>
    <row r="1188" spans="6:11" x14ac:dyDescent="0.2">
      <c r="F1188" s="231"/>
      <c r="G1188" s="5"/>
      <c r="H1188" s="37"/>
      <c r="I1188" s="37"/>
      <c r="K1188" s="11"/>
    </row>
    <row r="1189" spans="6:11" x14ac:dyDescent="0.2">
      <c r="F1189" s="231"/>
      <c r="G1189" s="5"/>
      <c r="H1189" s="37"/>
      <c r="I1189" s="37"/>
      <c r="K1189" s="11"/>
    </row>
    <row r="1190" spans="6:11" x14ac:dyDescent="0.2">
      <c r="F1190" s="231"/>
      <c r="G1190" s="5"/>
      <c r="H1190" s="37"/>
      <c r="I1190" s="37"/>
      <c r="K1190" s="11"/>
    </row>
    <row r="1191" spans="6:11" x14ac:dyDescent="0.2">
      <c r="F1191" s="231"/>
      <c r="G1191" s="5"/>
      <c r="H1191" s="37"/>
      <c r="I1191" s="37"/>
      <c r="K1191" s="11"/>
    </row>
    <row r="1192" spans="6:11" x14ac:dyDescent="0.2">
      <c r="F1192" s="231"/>
      <c r="G1192" s="5"/>
      <c r="H1192" s="37"/>
      <c r="I1192" s="37"/>
      <c r="K1192" s="11"/>
    </row>
    <row r="1193" spans="6:11" x14ac:dyDescent="0.2">
      <c r="F1193" s="231"/>
      <c r="G1193" s="5"/>
      <c r="H1193" s="37"/>
      <c r="I1193" s="37"/>
      <c r="K1193" s="11"/>
    </row>
    <row r="1194" spans="6:11" x14ac:dyDescent="0.2">
      <c r="F1194" s="231"/>
      <c r="G1194" s="5"/>
      <c r="H1194" s="37"/>
      <c r="I1194" s="37"/>
      <c r="K1194" s="11"/>
    </row>
    <row r="1195" spans="6:11" x14ac:dyDescent="0.2">
      <c r="F1195" s="231"/>
      <c r="G1195" s="5"/>
      <c r="H1195" s="37"/>
      <c r="I1195" s="37"/>
      <c r="K1195" s="11"/>
    </row>
    <row r="1196" spans="6:11" x14ac:dyDescent="0.2">
      <c r="F1196" s="231"/>
      <c r="G1196" s="5"/>
      <c r="H1196" s="37"/>
      <c r="I1196" s="37"/>
      <c r="K1196" s="11"/>
    </row>
    <row r="1197" spans="6:11" x14ac:dyDescent="0.2">
      <c r="F1197" s="231"/>
      <c r="G1197" s="5"/>
      <c r="H1197" s="37"/>
      <c r="I1197" s="37"/>
      <c r="K1197" s="11"/>
    </row>
    <row r="1198" spans="6:11" x14ac:dyDescent="0.2">
      <c r="F1198" s="231"/>
      <c r="G1198" s="5"/>
      <c r="H1198" s="37"/>
      <c r="I1198" s="37"/>
      <c r="K1198" s="11"/>
    </row>
    <row r="1199" spans="6:11" x14ac:dyDescent="0.2">
      <c r="F1199" s="231"/>
      <c r="G1199" s="5"/>
      <c r="H1199" s="37"/>
      <c r="I1199" s="37"/>
      <c r="K1199" s="11"/>
    </row>
    <row r="1200" spans="6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</sheetData>
  <mergeCells count="7">
    <mergeCell ref="L3:R3"/>
    <mergeCell ref="L15:R15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June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2017-07-17T20:43:28Z</cp:lastPrinted>
  <dcterms:created xsi:type="dcterms:W3CDTF">2007-09-24T12:26:24Z</dcterms:created>
  <dcterms:modified xsi:type="dcterms:W3CDTF">2019-05-19T07:38:22Z</dcterms:modified>
</cp:coreProperties>
</file>