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Activity'!$A$1:$R$66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H49" i="3" l="1"/>
  <c r="G49" i="3"/>
  <c r="H48" i="3"/>
  <c r="G48" i="3"/>
  <c r="C21" i="1" l="1"/>
  <c r="B21" i="1"/>
  <c r="J35" i="16" l="1"/>
  <c r="J34" i="16"/>
  <c r="J28" i="16"/>
  <c r="J27" i="16"/>
  <c r="J22" i="16"/>
  <c r="J21" i="16"/>
  <c r="J23" i="16" s="1"/>
  <c r="J17" i="16"/>
  <c r="J16" i="16"/>
  <c r="J10" i="16"/>
  <c r="J9" i="16"/>
  <c r="J11" i="16" s="1"/>
  <c r="J5" i="16"/>
  <c r="J4" i="16"/>
  <c r="J6" i="16" l="1"/>
  <c r="J30" i="16"/>
  <c r="J18" i="16"/>
  <c r="J37" i="16"/>
  <c r="K10" i="16"/>
  <c r="K9" i="16"/>
  <c r="K5" i="16"/>
  <c r="K4" i="16"/>
  <c r="K35" i="16"/>
  <c r="K34" i="16"/>
  <c r="K28" i="16"/>
  <c r="K27" i="16"/>
  <c r="K22" i="16"/>
  <c r="K21" i="16"/>
  <c r="K17" i="16"/>
  <c r="K16" i="16"/>
  <c r="D36" i="1" l="1"/>
  <c r="P45" i="9" l="1"/>
  <c r="O45" i="9"/>
  <c r="M45" i="9"/>
  <c r="L45" i="9"/>
  <c r="G45" i="9"/>
  <c r="F45" i="9"/>
  <c r="D45" i="9"/>
  <c r="C45" i="9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45" i="9" l="1"/>
  <c r="H21" i="2"/>
  <c r="H44" i="2"/>
  <c r="H6" i="2"/>
  <c r="H17" i="2"/>
  <c r="H40" i="2"/>
  <c r="H43" i="2"/>
  <c r="H35" i="2"/>
  <c r="E45" i="9"/>
  <c r="N45" i="9"/>
  <c r="H11" i="2"/>
  <c r="H45" i="9"/>
  <c r="H30" i="2"/>
  <c r="H45" i="2" l="1"/>
  <c r="H23" i="2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3" i="7"/>
  <c r="J23" i="7"/>
  <c r="E23" i="7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3" i="9"/>
  <c r="M43" i="9"/>
  <c r="G43" i="9"/>
  <c r="D43" i="9"/>
  <c r="P41" i="9"/>
  <c r="M41" i="9"/>
  <c r="G41" i="9"/>
  <c r="D41" i="9"/>
  <c r="P39" i="9"/>
  <c r="M39" i="9"/>
  <c r="G39" i="9"/>
  <c r="D39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31" i="9"/>
  <c r="M31" i="9"/>
  <c r="G31" i="9"/>
  <c r="D31" i="9"/>
  <c r="P28" i="9"/>
  <c r="M28" i="9"/>
  <c r="G28" i="9"/>
  <c r="D28" i="9"/>
  <c r="P26" i="9"/>
  <c r="M26" i="9"/>
  <c r="G26" i="9"/>
  <c r="D26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8" i="9"/>
  <c r="M18" i="9"/>
  <c r="G18" i="9"/>
  <c r="D18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3" i="9"/>
  <c r="L43" i="9"/>
  <c r="F43" i="9"/>
  <c r="C43" i="9"/>
  <c r="O41" i="9"/>
  <c r="L41" i="9"/>
  <c r="F41" i="9"/>
  <c r="C41" i="9"/>
  <c r="O39" i="9"/>
  <c r="L39" i="9"/>
  <c r="F39" i="9"/>
  <c r="C39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31" i="9"/>
  <c r="L31" i="9"/>
  <c r="F31" i="9"/>
  <c r="C31" i="9"/>
  <c r="O28" i="9"/>
  <c r="L28" i="9"/>
  <c r="F28" i="9"/>
  <c r="C28" i="9"/>
  <c r="O26" i="9"/>
  <c r="L26" i="9"/>
  <c r="F26" i="9"/>
  <c r="C26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8" i="9"/>
  <c r="L18" i="9"/>
  <c r="F18" i="9"/>
  <c r="C18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N35" i="16"/>
  <c r="M35" i="16"/>
  <c r="L35" i="16"/>
  <c r="I35" i="16"/>
  <c r="H35" i="16"/>
  <c r="G35" i="16"/>
  <c r="F35" i="16"/>
  <c r="E35" i="16"/>
  <c r="D35" i="16"/>
  <c r="C35" i="16"/>
  <c r="B35" i="16"/>
  <c r="N34" i="16"/>
  <c r="M34" i="16"/>
  <c r="L34" i="16"/>
  <c r="I34" i="16"/>
  <c r="H34" i="16"/>
  <c r="G34" i="16"/>
  <c r="F34" i="16"/>
  <c r="E34" i="16"/>
  <c r="D34" i="16"/>
  <c r="C34" i="16"/>
  <c r="B34" i="16"/>
  <c r="N28" i="16"/>
  <c r="M28" i="16"/>
  <c r="L28" i="16"/>
  <c r="I28" i="16"/>
  <c r="H28" i="16"/>
  <c r="G28" i="16"/>
  <c r="F28" i="16"/>
  <c r="E28" i="16"/>
  <c r="D28" i="16"/>
  <c r="C28" i="16"/>
  <c r="B28" i="16"/>
  <c r="N27" i="16"/>
  <c r="M27" i="16"/>
  <c r="L27" i="16"/>
  <c r="I27" i="16"/>
  <c r="H27" i="16"/>
  <c r="G27" i="16"/>
  <c r="F27" i="16"/>
  <c r="E27" i="16"/>
  <c r="D27" i="16"/>
  <c r="C27" i="16"/>
  <c r="B27" i="16"/>
  <c r="N22" i="16"/>
  <c r="M22" i="16"/>
  <c r="L22" i="16"/>
  <c r="I22" i="16"/>
  <c r="H22" i="16"/>
  <c r="G22" i="16"/>
  <c r="F22" i="16"/>
  <c r="E22" i="16"/>
  <c r="D22" i="16"/>
  <c r="C22" i="16"/>
  <c r="B22" i="16"/>
  <c r="N21" i="16"/>
  <c r="M21" i="16"/>
  <c r="L21" i="16"/>
  <c r="I21" i="16"/>
  <c r="H21" i="16"/>
  <c r="G21" i="16"/>
  <c r="F21" i="16"/>
  <c r="E21" i="16"/>
  <c r="D21" i="16"/>
  <c r="C21" i="16"/>
  <c r="B21" i="16"/>
  <c r="N17" i="16"/>
  <c r="M17" i="16"/>
  <c r="L17" i="16"/>
  <c r="I17" i="16"/>
  <c r="H17" i="16"/>
  <c r="G17" i="16"/>
  <c r="F17" i="16"/>
  <c r="E17" i="16"/>
  <c r="D17" i="16"/>
  <c r="C17" i="16"/>
  <c r="B17" i="16"/>
  <c r="N16" i="16"/>
  <c r="M16" i="16"/>
  <c r="L16" i="16"/>
  <c r="I16" i="16"/>
  <c r="H16" i="16"/>
  <c r="G16" i="16"/>
  <c r="F16" i="16"/>
  <c r="E16" i="16"/>
  <c r="D16" i="16"/>
  <c r="C16" i="16"/>
  <c r="B16" i="16"/>
  <c r="N10" i="16"/>
  <c r="M10" i="16"/>
  <c r="L10" i="16"/>
  <c r="I10" i="16"/>
  <c r="H10" i="16"/>
  <c r="G10" i="16"/>
  <c r="F10" i="16"/>
  <c r="E10" i="16"/>
  <c r="D10" i="16"/>
  <c r="C10" i="16"/>
  <c r="B10" i="16"/>
  <c r="N9" i="16"/>
  <c r="M9" i="16"/>
  <c r="L9" i="16"/>
  <c r="I9" i="16"/>
  <c r="H9" i="16"/>
  <c r="G9" i="16"/>
  <c r="F9" i="16"/>
  <c r="E9" i="16"/>
  <c r="D9" i="16"/>
  <c r="C9" i="16"/>
  <c r="B9" i="16"/>
  <c r="N5" i="16"/>
  <c r="M5" i="16"/>
  <c r="L5" i="16"/>
  <c r="I5" i="16"/>
  <c r="H5" i="16"/>
  <c r="G5" i="16"/>
  <c r="F5" i="16"/>
  <c r="E5" i="16"/>
  <c r="D5" i="16"/>
  <c r="C5" i="16"/>
  <c r="B5" i="16"/>
  <c r="N4" i="16"/>
  <c r="M4" i="16"/>
  <c r="L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L47" i="15" l="1"/>
  <c r="L46" i="15"/>
  <c r="C65" i="9"/>
  <c r="N22" i="9"/>
  <c r="G37" i="4"/>
  <c r="G7" i="4" l="1"/>
  <c r="G17" i="4"/>
  <c r="G27" i="4"/>
  <c r="G12" i="4"/>
  <c r="G32" i="4"/>
  <c r="E22" i="9"/>
  <c r="G41" i="4"/>
  <c r="G20" i="4"/>
  <c r="Q22" i="9"/>
  <c r="H22" i="9"/>
  <c r="G40" i="4"/>
  <c r="O22" i="7"/>
  <c r="J22" i="7"/>
  <c r="E22" i="7"/>
  <c r="G21" i="4" l="1"/>
  <c r="P54" i="9"/>
  <c r="P65" i="9"/>
  <c r="G42" i="4"/>
  <c r="G65" i="9"/>
  <c r="D65" i="9"/>
  <c r="M65" i="9"/>
  <c r="F65" i="9"/>
  <c r="O65" i="9"/>
  <c r="L65" i="9"/>
  <c r="O30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1" i="9"/>
  <c r="N21" i="9"/>
  <c r="J20" i="4"/>
  <c r="D12" i="15"/>
  <c r="D20" i="15"/>
  <c r="D21" i="15" s="1"/>
  <c r="D32" i="15"/>
  <c r="Q21" i="9"/>
  <c r="D22" i="3"/>
  <c r="D7" i="3"/>
  <c r="D40" i="3"/>
  <c r="E7" i="3"/>
  <c r="E18" i="3"/>
  <c r="E30" i="3"/>
  <c r="H26" i="9"/>
  <c r="Q26" i="9"/>
  <c r="J17" i="4"/>
  <c r="J27" i="4"/>
  <c r="J41" i="4"/>
  <c r="D41" i="15"/>
  <c r="E12" i="3"/>
  <c r="E35" i="3"/>
  <c r="I20" i="4"/>
  <c r="J37" i="4"/>
  <c r="H21" i="9"/>
  <c r="J12" i="4"/>
  <c r="D12" i="3"/>
  <c r="D35" i="3"/>
  <c r="I7" i="4"/>
  <c r="I27" i="4"/>
  <c r="N59" i="9"/>
  <c r="E26" i="9"/>
  <c r="H59" i="9"/>
  <c r="Q59" i="9"/>
  <c r="N26" i="9"/>
  <c r="E59" i="9"/>
  <c r="H9" i="9"/>
  <c r="E9" i="9"/>
  <c r="Q9" i="9"/>
  <c r="N9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7" i="9" l="1"/>
  <c r="C13" i="9"/>
  <c r="O21" i="7"/>
  <c r="J21" i="7"/>
  <c r="E21" i="7"/>
  <c r="D54" i="9" l="1"/>
  <c r="C4" i="9"/>
  <c r="D17" i="9"/>
  <c r="D30" i="9"/>
  <c r="G30" i="9"/>
  <c r="G54" i="9"/>
  <c r="F30" i="9"/>
  <c r="L10" i="15"/>
  <c r="L18" i="15"/>
  <c r="C54" i="9"/>
  <c r="O4" i="16"/>
  <c r="C30" i="9"/>
  <c r="L5" i="15"/>
  <c r="L15" i="15"/>
  <c r="L6" i="15"/>
  <c r="L16" i="15"/>
  <c r="F54" i="9"/>
  <c r="L11" i="15"/>
  <c r="L19" i="15"/>
  <c r="G32" i="8" l="1"/>
  <c r="G18" i="8"/>
  <c r="G6" i="8"/>
  <c r="G12" i="8" s="1"/>
  <c r="G31" i="8"/>
  <c r="G10" i="8"/>
  <c r="G23" i="8" l="1"/>
  <c r="G28" i="8"/>
  <c r="G33" i="8" l="1"/>
  <c r="Q28" i="9" l="1"/>
  <c r="E28" i="9"/>
  <c r="H28" i="9"/>
  <c r="N28" i="9"/>
  <c r="F41" i="4" l="1"/>
  <c r="F20" i="4"/>
  <c r="F17" i="4"/>
  <c r="F40" i="4"/>
  <c r="F7" i="4"/>
  <c r="F27" i="4"/>
  <c r="F12" i="4"/>
  <c r="F32" i="4"/>
  <c r="F37" i="4"/>
  <c r="F21" i="4" l="1"/>
  <c r="F42" i="4"/>
  <c r="M13" i="9"/>
  <c r="D13" i="9"/>
  <c r="Q5" i="9"/>
  <c r="N5" i="9"/>
  <c r="H5" i="9"/>
  <c r="E5" i="9"/>
  <c r="O4" i="9"/>
  <c r="G4" i="9"/>
  <c r="E19" i="9"/>
  <c r="E18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3" i="9" l="1"/>
  <c r="F17" i="9"/>
  <c r="G17" i="9"/>
  <c r="N7" i="9"/>
  <c r="G13" i="9"/>
  <c r="O17" i="9"/>
  <c r="P17" i="9"/>
  <c r="E20" i="9"/>
  <c r="E23" i="9"/>
  <c r="E24" i="9"/>
  <c r="Q15" i="9"/>
  <c r="H20" i="9"/>
  <c r="Q20" i="9"/>
  <c r="H23" i="9"/>
  <c r="Q23" i="9"/>
  <c r="H24" i="9"/>
  <c r="Q24" i="9"/>
  <c r="L13" i="9"/>
  <c r="O13" i="9"/>
  <c r="H6" i="9"/>
  <c r="E7" i="9"/>
  <c r="F13" i="9"/>
  <c r="N6" i="9"/>
  <c r="E15" i="9"/>
  <c r="L4" i="9"/>
  <c r="E14" i="9"/>
  <c r="Q14" i="9"/>
  <c r="H15" i="9"/>
  <c r="F4" i="9"/>
  <c r="L17" i="9"/>
  <c r="M17" i="9"/>
  <c r="Q7" i="9"/>
  <c r="H14" i="9"/>
  <c r="E13" i="9"/>
  <c r="N15" i="9"/>
  <c r="N14" i="9"/>
  <c r="P4" i="9"/>
  <c r="D4" i="9"/>
  <c r="Q6" i="9"/>
  <c r="M4" i="9"/>
  <c r="E6" i="9"/>
  <c r="N20" i="9"/>
  <c r="N23" i="9"/>
  <c r="N24" i="9"/>
  <c r="J7" i="15"/>
  <c r="L23" i="16"/>
  <c r="F11" i="2"/>
  <c r="F21" i="2"/>
  <c r="F35" i="2"/>
  <c r="G6" i="2"/>
  <c r="G17" i="2"/>
  <c r="G30" i="2"/>
  <c r="G40" i="2"/>
  <c r="J37" i="15"/>
  <c r="L30" i="16"/>
  <c r="L6" i="16"/>
  <c r="G43" i="2"/>
  <c r="L37" i="16"/>
  <c r="F6" i="2"/>
  <c r="F17" i="2"/>
  <c r="F30" i="2"/>
  <c r="F40" i="2"/>
  <c r="G11" i="2"/>
  <c r="J32" i="15"/>
  <c r="J12" i="15"/>
  <c r="J27" i="15"/>
  <c r="J17" i="15"/>
  <c r="G35" i="2"/>
  <c r="L18" i="16"/>
  <c r="G21" i="2"/>
  <c r="J40" i="15"/>
  <c r="J20" i="15"/>
  <c r="L11" i="16"/>
  <c r="J41" i="15"/>
  <c r="F43" i="2"/>
  <c r="G44" i="2"/>
  <c r="F44" i="2"/>
  <c r="E4" i="9" l="1"/>
  <c r="E17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7" i="9"/>
  <c r="Q60" i="9"/>
  <c r="N32" i="9"/>
  <c r="H48" i="9"/>
  <c r="H31" i="9"/>
  <c r="H50" i="9"/>
  <c r="E43" i="9"/>
  <c r="O33" i="7"/>
  <c r="J33" i="7"/>
  <c r="E33" i="7"/>
  <c r="J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D27" i="7"/>
  <c r="F27" i="7" s="1"/>
  <c r="D28" i="7"/>
  <c r="N24" i="7"/>
  <c r="N25" i="7"/>
  <c r="D24" i="7"/>
  <c r="F24" i="7" s="1"/>
  <c r="D25" i="7"/>
  <c r="F25" i="7"/>
  <c r="N32" i="7"/>
  <c r="P32" i="7" s="1"/>
  <c r="I32" i="7"/>
  <c r="K32" i="7"/>
  <c r="D32" i="7"/>
  <c r="F32" i="7" s="1"/>
  <c r="I31" i="7"/>
  <c r="K31" i="7"/>
  <c r="F31" i="7"/>
  <c r="I30" i="7"/>
  <c r="K30" i="7" s="1"/>
  <c r="P29" i="7"/>
  <c r="I29" i="7"/>
  <c r="K29" i="7" s="1"/>
  <c r="P28" i="7"/>
  <c r="I28" i="7"/>
  <c r="K28" i="7" s="1"/>
  <c r="F28" i="7"/>
  <c r="I27" i="7"/>
  <c r="K27" i="7" s="1"/>
  <c r="N26" i="7"/>
  <c r="P26" i="7"/>
  <c r="I26" i="7"/>
  <c r="K26" i="7" s="1"/>
  <c r="D26" i="7"/>
  <c r="F26" i="7"/>
  <c r="P25" i="7"/>
  <c r="I25" i="7"/>
  <c r="K25" i="7" s="1"/>
  <c r="P24" i="7"/>
  <c r="I24" i="7"/>
  <c r="K24" i="7" s="1"/>
  <c r="L45" i="15"/>
  <c r="L44" i="15"/>
  <c r="O20" i="16"/>
  <c r="O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N37" i="16"/>
  <c r="H18" i="3"/>
  <c r="H23" i="3" s="1"/>
  <c r="C17" i="4"/>
  <c r="K37" i="4"/>
  <c r="K37" i="16"/>
  <c r="D32" i="8"/>
  <c r="I37" i="16"/>
  <c r="Q61" i="9"/>
  <c r="B18" i="3"/>
  <c r="E17" i="15"/>
  <c r="B37" i="16"/>
  <c r="F37" i="16"/>
  <c r="G47" i="9"/>
  <c r="H44" i="3"/>
  <c r="J48" i="3"/>
  <c r="I50" i="2" s="1"/>
  <c r="J50" i="2" s="1"/>
  <c r="D30" i="16"/>
  <c r="I30" i="16"/>
  <c r="E34" i="9"/>
  <c r="N58" i="9"/>
  <c r="E60" i="9"/>
  <c r="E32" i="9"/>
  <c r="N11" i="16"/>
  <c r="E41" i="15"/>
  <c r="K41" i="4"/>
  <c r="N31" i="9"/>
  <c r="C23" i="16"/>
  <c r="K28" i="8"/>
  <c r="B22" i="3"/>
  <c r="K20" i="4"/>
  <c r="K17" i="4"/>
  <c r="B46" i="4"/>
  <c r="B47" i="4" s="1"/>
  <c r="M47" i="9"/>
  <c r="B44" i="3"/>
  <c r="D44" i="2"/>
  <c r="B18" i="8"/>
  <c r="N19" i="9"/>
  <c r="M18" i="16"/>
  <c r="N35" i="9"/>
  <c r="Q13" i="9"/>
  <c r="Q55" i="9"/>
  <c r="D6" i="16"/>
  <c r="C7" i="7"/>
  <c r="G18" i="3"/>
  <c r="H20" i="15"/>
  <c r="H17" i="4"/>
  <c r="J28" i="8"/>
  <c r="B28" i="8"/>
  <c r="H37" i="15"/>
  <c r="E40" i="2"/>
  <c r="B40" i="2"/>
  <c r="G40" i="15"/>
  <c r="N18" i="16"/>
  <c r="B27" i="15"/>
  <c r="B30" i="16"/>
  <c r="F30" i="16"/>
  <c r="M30" i="16"/>
  <c r="E18" i="16"/>
  <c r="K18" i="16"/>
  <c r="N41" i="9"/>
  <c r="Q41" i="9"/>
  <c r="Q39" i="9"/>
  <c r="Q52" i="9"/>
  <c r="E39" i="9"/>
  <c r="H35" i="9"/>
  <c r="E56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5" i="9"/>
  <c r="N43" i="9"/>
  <c r="E43" i="2"/>
  <c r="B43" i="2"/>
  <c r="G32" i="15"/>
  <c r="C32" i="15"/>
  <c r="G44" i="3"/>
  <c r="B23" i="16"/>
  <c r="H18" i="9"/>
  <c r="N13" i="9"/>
  <c r="Q56" i="9"/>
  <c r="Q19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1" i="9"/>
  <c r="C47" i="9"/>
  <c r="C66" i="9" s="1"/>
  <c r="C64" i="9" s="1"/>
  <c r="H61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1" i="9"/>
  <c r="H60" i="9"/>
  <c r="H32" i="9"/>
  <c r="H6" i="16"/>
  <c r="C6" i="16"/>
  <c r="E6" i="16"/>
  <c r="F7" i="3"/>
  <c r="I7" i="3"/>
  <c r="C7" i="3"/>
  <c r="B6" i="8"/>
  <c r="B12" i="8" s="1"/>
  <c r="B40" i="4"/>
  <c r="E23" i="16"/>
  <c r="K23" i="16"/>
  <c r="H43" i="9"/>
  <c r="E37" i="9"/>
  <c r="N33" i="9"/>
  <c r="N61" i="9"/>
  <c r="N56" i="9"/>
  <c r="Q11" i="9"/>
  <c r="Q36" i="9"/>
  <c r="K7" i="4"/>
  <c r="C7" i="4"/>
  <c r="J10" i="3"/>
  <c r="I9" i="2" s="1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8" i="9"/>
  <c r="Q43" i="9"/>
  <c r="Q50" i="9"/>
  <c r="Q48" i="9"/>
  <c r="H7" i="15"/>
  <c r="K12" i="15"/>
  <c r="D12" i="4"/>
  <c r="C12" i="3"/>
  <c r="C22" i="3"/>
  <c r="G40" i="3"/>
  <c r="C40" i="2"/>
  <c r="N37" i="9"/>
  <c r="Q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0" i="9"/>
  <c r="L54" i="9"/>
  <c r="G6" i="7"/>
  <c r="C7" i="1" s="1"/>
  <c r="J11" i="3"/>
  <c r="I10" i="2" s="1"/>
  <c r="J10" i="2" s="1"/>
  <c r="G11" i="7"/>
  <c r="C18" i="1" s="1"/>
  <c r="O5" i="16"/>
  <c r="L26" i="15"/>
  <c r="L26" i="4" s="1"/>
  <c r="M26" i="4" s="1"/>
  <c r="C6" i="5" s="1"/>
  <c r="C40" i="3"/>
  <c r="B23" i="8"/>
  <c r="M23" i="16"/>
  <c r="Q58" i="9"/>
  <c r="D37" i="4"/>
  <c r="B40" i="15"/>
  <c r="J20" i="3"/>
  <c r="I19" i="2" s="1"/>
  <c r="J19" i="2" s="1"/>
  <c r="M8" i="8"/>
  <c r="G43" i="3"/>
  <c r="B27" i="4"/>
  <c r="L19" i="4"/>
  <c r="M19" i="4" s="1"/>
  <c r="D31" i="8"/>
  <c r="H41" i="9"/>
  <c r="H52" i="9"/>
  <c r="P47" i="9"/>
  <c r="H56" i="9"/>
  <c r="Q33" i="9"/>
  <c r="D7" i="4"/>
  <c r="J39" i="3"/>
  <c r="I39" i="2" s="1"/>
  <c r="J39" i="2" s="1"/>
  <c r="B16" i="5" s="1"/>
  <c r="B32" i="4"/>
  <c r="E35" i="2"/>
  <c r="B35" i="2"/>
  <c r="F23" i="8"/>
  <c r="D43" i="2"/>
  <c r="F23" i="16"/>
  <c r="O47" i="9"/>
  <c r="M11" i="16"/>
  <c r="K20" i="15"/>
  <c r="K21" i="15" s="1"/>
  <c r="C40" i="4"/>
  <c r="C31" i="8"/>
  <c r="F43" i="3"/>
  <c r="B41" i="4"/>
  <c r="C32" i="4"/>
  <c r="B18" i="16"/>
  <c r="F18" i="16"/>
  <c r="O21" i="16"/>
  <c r="H57" i="9"/>
  <c r="M30" i="9"/>
  <c r="N36" i="9"/>
  <c r="N55" i="9"/>
  <c r="E35" i="9"/>
  <c r="H7" i="3"/>
  <c r="C6" i="2"/>
  <c r="E7" i="15"/>
  <c r="G7" i="15"/>
  <c r="E7" i="4"/>
  <c r="J16" i="3"/>
  <c r="I15" i="2" s="1"/>
  <c r="J15" i="2" s="1"/>
  <c r="H40" i="15"/>
  <c r="Q57" i="9"/>
  <c r="O54" i="9"/>
  <c r="O66" i="9" s="1"/>
  <c r="D6" i="8"/>
  <c r="D12" i="8" s="1"/>
  <c r="M5" i="8"/>
  <c r="C19" i="1" s="1"/>
  <c r="M27" i="8"/>
  <c r="D16" i="5" s="1"/>
  <c r="C44" i="2"/>
  <c r="H23" i="16"/>
  <c r="Q32" i="9"/>
  <c r="P30" i="9"/>
  <c r="N48" i="9"/>
  <c r="L47" i="9"/>
  <c r="J5" i="3"/>
  <c r="I4" i="2" s="1"/>
  <c r="J4" i="2" s="1"/>
  <c r="B5" i="1" s="1"/>
  <c r="C7" i="15"/>
  <c r="L5" i="4"/>
  <c r="M5" i="4" s="1"/>
  <c r="L16" i="4"/>
  <c r="M16" i="4" s="1"/>
  <c r="F20" i="15"/>
  <c r="F21" i="15" s="1"/>
  <c r="I30" i="3"/>
  <c r="I43" i="3"/>
  <c r="E31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O28" i="16"/>
  <c r="O17" i="16"/>
  <c r="H18" i="16"/>
  <c r="D23" i="16"/>
  <c r="H40" i="4"/>
  <c r="H37" i="4"/>
  <c r="J38" i="3"/>
  <c r="I38" i="2" s="1"/>
  <c r="F40" i="3"/>
  <c r="F28" i="8"/>
  <c r="F32" i="8"/>
  <c r="M16" i="8"/>
  <c r="D5" i="5" s="1"/>
  <c r="F47" i="9"/>
  <c r="F66" i="9" s="1"/>
  <c r="G37" i="15"/>
  <c r="L18" i="4"/>
  <c r="M18" i="4" s="1"/>
  <c r="J32" i="8"/>
  <c r="E41" i="9"/>
  <c r="O10" i="16"/>
  <c r="B11" i="16"/>
  <c r="J51" i="2"/>
  <c r="J21" i="3"/>
  <c r="I20" i="2" s="1"/>
  <c r="J20" i="2" s="1"/>
  <c r="G22" i="3"/>
  <c r="H41" i="4"/>
  <c r="M26" i="8"/>
  <c r="D15" i="5" s="1"/>
  <c r="C37" i="15"/>
  <c r="G30" i="3"/>
  <c r="L44" i="4"/>
  <c r="M44" i="4" s="1"/>
  <c r="M37" i="16"/>
  <c r="E52" i="9"/>
  <c r="H39" i="9"/>
  <c r="N34" i="9"/>
  <c r="N57" i="9"/>
  <c r="E58" i="9"/>
  <c r="E57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1" i="9"/>
  <c r="H37" i="16"/>
  <c r="H13" i="9"/>
  <c r="N50" i="9"/>
  <c r="Q35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5" i="9"/>
  <c r="E50" i="9"/>
  <c r="H37" i="9"/>
  <c r="N60" i="9"/>
  <c r="E33" i="9"/>
  <c r="N6" i="16"/>
  <c r="J6" i="3"/>
  <c r="I5" i="2" s="1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1" i="9"/>
  <c r="H58" i="9"/>
  <c r="H36" i="9"/>
  <c r="H33" i="9"/>
  <c r="B6" i="2"/>
  <c r="J17" i="3"/>
  <c r="I16" i="2" s="1"/>
  <c r="C41" i="4"/>
  <c r="C40" i="15"/>
  <c r="L25" i="15"/>
  <c r="L25" i="4" s="1"/>
  <c r="C27" i="15"/>
  <c r="E40" i="4"/>
  <c r="E27" i="4"/>
  <c r="N30" i="16"/>
  <c r="O27" i="16"/>
  <c r="O16" i="16"/>
  <c r="D18" i="16"/>
  <c r="N23" i="16"/>
  <c r="O22" i="16"/>
  <c r="E37" i="16"/>
  <c r="O34" i="16"/>
  <c r="J12" i="5"/>
  <c r="J21" i="5"/>
  <c r="M4" i="8"/>
  <c r="B19" i="1" s="1"/>
  <c r="C6" i="8"/>
  <c r="K31" i="8"/>
  <c r="K23" i="8"/>
  <c r="C32" i="8"/>
  <c r="E11" i="9"/>
  <c r="B43" i="3"/>
  <c r="C11" i="16"/>
  <c r="O9" i="16"/>
  <c r="B23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O35" i="16"/>
  <c r="N18" i="9"/>
  <c r="N39" i="9"/>
  <c r="N52" i="9"/>
  <c r="L11" i="4"/>
  <c r="M11" i="4" s="1"/>
  <c r="E36" i="9"/>
  <c r="Q18" i="9"/>
  <c r="L15" i="4"/>
  <c r="M15" i="4" s="1"/>
  <c r="D47" i="9"/>
  <c r="M54" i="9"/>
  <c r="M6" i="16"/>
  <c r="B7" i="7"/>
  <c r="F32" i="15"/>
  <c r="C43" i="2"/>
  <c r="C35" i="2"/>
  <c r="D21" i="4"/>
  <c r="C18" i="16"/>
  <c r="H34" i="9"/>
  <c r="H19" i="9"/>
  <c r="B7" i="4"/>
  <c r="C12" i="4"/>
  <c r="H12" i="3"/>
  <c r="C18" i="3"/>
  <c r="G10" i="7"/>
  <c r="B18" i="1" s="1"/>
  <c r="C37" i="4"/>
  <c r="H43" i="3"/>
  <c r="H30" i="3"/>
  <c r="C30" i="3"/>
  <c r="C43" i="3"/>
  <c r="M66" i="9" l="1"/>
  <c r="M64" i="9" s="1"/>
  <c r="P66" i="9"/>
  <c r="P64" i="9" s="1"/>
  <c r="G66" i="9"/>
  <c r="G64" i="9" s="1"/>
  <c r="D66" i="9"/>
  <c r="D64" i="9" s="1"/>
  <c r="L66" i="9"/>
  <c r="L64" i="9" s="1"/>
  <c r="J5" i="2"/>
  <c r="C5" i="1" s="1"/>
  <c r="C23" i="7"/>
  <c r="F20" i="1"/>
  <c r="F21" i="1"/>
  <c r="I45" i="9"/>
  <c r="R45" i="9"/>
  <c r="L20" i="15"/>
  <c r="L7" i="15"/>
  <c r="B21" i="15"/>
  <c r="L17" i="15"/>
  <c r="L12" i="15"/>
  <c r="M6" i="4"/>
  <c r="C6" i="1" s="1"/>
  <c r="B6" i="1"/>
  <c r="B8" i="1" s="1"/>
  <c r="H21" i="4"/>
  <c r="N30" i="9"/>
  <c r="E54" i="9"/>
  <c r="G21" i="15"/>
  <c r="B23" i="3"/>
  <c r="B42" i="15"/>
  <c r="K42" i="4"/>
  <c r="K42" i="15"/>
  <c r="H47" i="9"/>
  <c r="N47" i="9"/>
  <c r="L7" i="4"/>
  <c r="M7" i="4" s="1"/>
  <c r="K21" i="4"/>
  <c r="I45" i="3"/>
  <c r="N54" i="9"/>
  <c r="Q17" i="9"/>
  <c r="E47" i="9"/>
  <c r="C21" i="4"/>
  <c r="B23" i="2"/>
  <c r="B33" i="1"/>
  <c r="M10" i="8"/>
  <c r="H45" i="3"/>
  <c r="H17" i="9"/>
  <c r="J33" i="8"/>
  <c r="E21" i="15"/>
  <c r="G45" i="3"/>
  <c r="D45" i="2"/>
  <c r="C45" i="3"/>
  <c r="L12" i="8"/>
  <c r="G23" i="3"/>
  <c r="B33" i="8"/>
  <c r="G42" i="15"/>
  <c r="H21" i="15"/>
  <c r="E42" i="15"/>
  <c r="Q47" i="9"/>
  <c r="B42" i="4"/>
  <c r="D7" i="1"/>
  <c r="I17" i="2"/>
  <c r="J17" i="2" s="1"/>
  <c r="Q30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O6" i="16"/>
  <c r="J7" i="3"/>
  <c r="M23" i="8"/>
  <c r="B21" i="4"/>
  <c r="M18" i="8"/>
  <c r="M31" i="8"/>
  <c r="G12" i="7"/>
  <c r="O11" i="16"/>
  <c r="J22" i="5"/>
  <c r="J29" i="2"/>
  <c r="B6" i="5" s="1"/>
  <c r="B7" i="5" s="1"/>
  <c r="I21" i="2"/>
  <c r="J21" i="2" s="1"/>
  <c r="H42" i="4"/>
  <c r="O23" i="16"/>
  <c r="L32" i="4"/>
  <c r="M32" i="4" s="1"/>
  <c r="C37" i="1"/>
  <c r="H42" i="15"/>
  <c r="J22" i="3"/>
  <c r="Q54" i="9"/>
  <c r="E23" i="2"/>
  <c r="L27" i="15"/>
  <c r="B16" i="1"/>
  <c r="C17" i="1"/>
  <c r="O37" i="16"/>
  <c r="L41" i="4"/>
  <c r="M41" i="4" s="1"/>
  <c r="O18" i="16"/>
  <c r="D19" i="1"/>
  <c r="I6" i="2"/>
  <c r="H30" i="9"/>
  <c r="L20" i="4"/>
  <c r="M20" i="4" s="1"/>
  <c r="M32" i="8"/>
  <c r="G7" i="7"/>
  <c r="O30" i="16"/>
  <c r="M28" i="8"/>
  <c r="J38" i="2"/>
  <c r="B15" i="5" s="1"/>
  <c r="B17" i="5" s="1"/>
  <c r="I40" i="2"/>
  <c r="J40" i="2" s="1"/>
  <c r="M31" i="4"/>
  <c r="I30" i="2"/>
  <c r="J30" i="2" s="1"/>
  <c r="E36" i="1"/>
  <c r="C45" i="2"/>
  <c r="E30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7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4" i="9"/>
  <c r="D23" i="7" l="1"/>
  <c r="F23" i="7" s="1"/>
  <c r="J6" i="2"/>
  <c r="D5" i="1" s="1"/>
  <c r="R30" i="9"/>
  <c r="R22" i="9"/>
  <c r="I47" i="9"/>
  <c r="I22" i="9"/>
  <c r="F18" i="1"/>
  <c r="R47" i="9"/>
  <c r="O64" i="9"/>
  <c r="R66" i="9"/>
  <c r="R51" i="9"/>
  <c r="R5" i="9"/>
  <c r="R9" i="9"/>
  <c r="R26" i="9"/>
  <c r="R59" i="9"/>
  <c r="R21" i="9"/>
  <c r="R7" i="9"/>
  <c r="R24" i="9"/>
  <c r="R37" i="9"/>
  <c r="R6" i="9"/>
  <c r="R23" i="9"/>
  <c r="R36" i="9"/>
  <c r="R55" i="9"/>
  <c r="R60" i="9"/>
  <c r="R11" i="9"/>
  <c r="R61" i="9"/>
  <c r="R15" i="9"/>
  <c r="R20" i="9"/>
  <c r="R34" i="9"/>
  <c r="R52" i="9"/>
  <c r="R19" i="9"/>
  <c r="R35" i="9"/>
  <c r="R50" i="9"/>
  <c r="R58" i="9"/>
  <c r="R14" i="9"/>
  <c r="R28" i="9"/>
  <c r="R41" i="9"/>
  <c r="R31" i="9"/>
  <c r="R39" i="9"/>
  <c r="R56" i="9"/>
  <c r="R18" i="9"/>
  <c r="R32" i="9"/>
  <c r="R48" i="9"/>
  <c r="R33" i="9"/>
  <c r="R43" i="9"/>
  <c r="R57" i="9"/>
  <c r="R65" i="9"/>
  <c r="R4" i="9"/>
  <c r="R13" i="9"/>
  <c r="R17" i="9"/>
  <c r="R54" i="9"/>
  <c r="F64" i="9"/>
  <c r="I5" i="9"/>
  <c r="I7" i="9"/>
  <c r="I9" i="9"/>
  <c r="I55" i="9"/>
  <c r="I26" i="9"/>
  <c r="I59" i="9"/>
  <c r="I21" i="9"/>
  <c r="I14" i="9"/>
  <c r="I20" i="9"/>
  <c r="I31" i="9"/>
  <c r="I35" i="9"/>
  <c r="I41" i="9"/>
  <c r="I52" i="9"/>
  <c r="I56" i="9"/>
  <c r="I32" i="9"/>
  <c r="I58" i="9"/>
  <c r="I60" i="9"/>
  <c r="I37" i="9"/>
  <c r="I61" i="9"/>
  <c r="I11" i="9"/>
  <c r="I19" i="9"/>
  <c r="I28" i="9"/>
  <c r="I34" i="9"/>
  <c r="I39" i="9"/>
  <c r="I50" i="9"/>
  <c r="I6" i="9"/>
  <c r="I57" i="9"/>
  <c r="I15" i="9"/>
  <c r="I23" i="9"/>
  <c r="I36" i="9"/>
  <c r="I43" i="9"/>
  <c r="I18" i="9"/>
  <c r="I24" i="9"/>
  <c r="I33" i="9"/>
  <c r="I48" i="9"/>
  <c r="I65" i="9"/>
  <c r="I30" i="9"/>
  <c r="I54" i="9"/>
  <c r="I17" i="9"/>
  <c r="I4" i="9"/>
  <c r="I13" i="9"/>
  <c r="L21" i="15"/>
  <c r="D6" i="1"/>
  <c r="C8" i="1"/>
  <c r="C33" i="1" s="1"/>
  <c r="M12" i="8"/>
  <c r="B10" i="1"/>
  <c r="D10" i="1" s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L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D17" i="1" l="1"/>
  <c r="F5" i="1"/>
  <c r="R64" i="9"/>
  <c r="I64" i="9"/>
  <c r="D8" i="1"/>
  <c r="F8" i="1" s="1"/>
  <c r="F6" i="1"/>
  <c r="C11" i="1"/>
  <c r="M23" i="7" s="1"/>
  <c r="B32" i="1"/>
  <c r="B11" i="1"/>
  <c r="L23" i="7" s="1"/>
  <c r="D28" i="1"/>
  <c r="B22" i="1"/>
  <c r="B29" i="1"/>
  <c r="C12" i="5"/>
  <c r="C21" i="5"/>
  <c r="E21" i="5" s="1"/>
  <c r="F21" i="5" s="1"/>
  <c r="E11" i="5"/>
  <c r="F11" i="5" s="1"/>
  <c r="C29" i="1"/>
  <c r="F10" i="1"/>
  <c r="F5" i="5"/>
  <c r="E7" i="5"/>
  <c r="F16" i="1"/>
  <c r="D22" i="5"/>
  <c r="F15" i="5"/>
  <c r="E17" i="5"/>
  <c r="D27" i="1" s="1"/>
  <c r="B22" i="5"/>
  <c r="E20" i="5"/>
  <c r="H6" i="5"/>
  <c r="F10" i="5"/>
  <c r="G23" i="7" l="1"/>
  <c r="F17" i="1"/>
  <c r="D22" i="1"/>
  <c r="F22" i="1" s="1"/>
  <c r="N23" i="7"/>
  <c r="P23" i="7" s="1"/>
  <c r="H23" i="7"/>
  <c r="H21" i="5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3" i="7" l="1"/>
  <c r="K23" i="7" s="1"/>
  <c r="F22" i="5"/>
  <c r="H22" i="5" s="1"/>
  <c r="H20" i="5"/>
  <c r="Q65" i="9" l="1"/>
  <c r="Q4" i="9"/>
  <c r="N4" i="9"/>
  <c r="N66" i="9" l="1"/>
  <c r="N65" i="9"/>
  <c r="Q64" i="9"/>
  <c r="Q66" i="9"/>
  <c r="H65" i="9"/>
  <c r="H4" i="9"/>
  <c r="N64" i="9" l="1"/>
  <c r="H66" i="9"/>
  <c r="I66" i="9" s="1"/>
  <c r="H64" i="9"/>
  <c r="E66" i="9"/>
  <c r="E65" i="9"/>
  <c r="E64" i="9" l="1"/>
  <c r="B21" i="7" l="1"/>
  <c r="C21" i="7"/>
  <c r="D21" i="7" s="1"/>
  <c r="F21" i="7" l="1"/>
  <c r="M21" i="7" l="1"/>
  <c r="H21" i="7" s="1"/>
  <c r="L21" i="7"/>
  <c r="G21" i="7" s="1"/>
  <c r="N21" i="7" l="1"/>
  <c r="P21" i="7" s="1"/>
  <c r="I21" i="7"/>
  <c r="K21" i="7" l="1"/>
  <c r="B22" i="7" l="1"/>
  <c r="B33" i="7" s="1"/>
  <c r="C22" i="7" l="1"/>
  <c r="C33" i="7" s="1"/>
  <c r="D22" i="7" l="1"/>
  <c r="F22" i="7" s="1"/>
  <c r="D33" i="7" l="1"/>
  <c r="F33" i="7" s="1"/>
  <c r="L22" i="7"/>
  <c r="G22" i="7" s="1"/>
  <c r="L33" i="7" l="1"/>
  <c r="M22" i="7"/>
  <c r="G33" i="7"/>
  <c r="H22" i="7" l="1"/>
  <c r="M33" i="7"/>
  <c r="N22" i="7"/>
  <c r="P22" i="7" l="1"/>
  <c r="N33" i="7"/>
  <c r="P33" i="7" s="1"/>
  <c r="H33" i="7"/>
  <c r="I22" i="7"/>
  <c r="K22" i="7" l="1"/>
  <c r="I33" i="7"/>
  <c r="K33" i="7" s="1"/>
  <c r="G19" i="1" l="1"/>
  <c r="G7" i="1"/>
  <c r="G21" i="1"/>
  <c r="G20" i="1"/>
  <c r="D33" i="1"/>
  <c r="I16" i="5"/>
  <c r="G5" i="1"/>
  <c r="I19" i="1" l="1"/>
  <c r="I7" i="1"/>
  <c r="I20" i="1"/>
  <c r="I21" i="1"/>
  <c r="I5" i="1"/>
  <c r="G6" i="1"/>
  <c r="G18" i="1"/>
  <c r="G16" i="1"/>
  <c r="I6" i="5"/>
  <c r="K6" i="5" l="1"/>
  <c r="I18" i="1"/>
  <c r="I6" i="1"/>
  <c r="I16" i="1"/>
  <c r="G8" i="1"/>
  <c r="G10" i="1"/>
  <c r="G17" i="1"/>
  <c r="G27" i="1"/>
  <c r="I5" i="5"/>
  <c r="I15" i="5"/>
  <c r="I10" i="5"/>
  <c r="I17" i="1" l="1"/>
  <c r="I10" i="1"/>
  <c r="K10" i="5"/>
  <c r="I17" i="5"/>
  <c r="K17" i="5" s="1"/>
  <c r="K15" i="5"/>
  <c r="I8" i="1"/>
  <c r="G11" i="1"/>
  <c r="I11" i="1" s="1"/>
  <c r="K5" i="5"/>
  <c r="I7" i="5"/>
  <c r="K7" i="5" s="1"/>
  <c r="G22" i="1"/>
  <c r="I22" i="1" s="1"/>
  <c r="I27" i="1"/>
  <c r="G28" i="1"/>
  <c r="D32" i="1"/>
  <c r="I11" i="5"/>
  <c r="I20" i="5"/>
  <c r="I28" i="1" l="1"/>
  <c r="K11" i="5"/>
  <c r="D34" i="1"/>
  <c r="E33" i="1" s="1"/>
  <c r="G29" i="1"/>
  <c r="I29" i="1" s="1"/>
  <c r="K20" i="5"/>
  <c r="I12" i="5"/>
  <c r="K12" i="5" s="1"/>
  <c r="I21" i="5"/>
  <c r="E32" i="1" l="1"/>
  <c r="K21" i="5"/>
  <c r="I22" i="5"/>
  <c r="K22" i="5" s="1"/>
</calcChain>
</file>

<file path=xl/sharedStrings.xml><?xml version="1.0" encoding="utf-8"?>
<sst xmlns="http://schemas.openxmlformats.org/spreadsheetml/2006/main" count="591" uniqueCount="227">
  <si>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</si>
  <si>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</si>
  <si>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</si>
  <si>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</si>
  <si>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</si>
  <si>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</si>
  <si>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</si>
  <si>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</si>
  <si>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</si>
  <si>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</si>
  <si>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</si>
  <si>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</si>
  <si>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</si>
  <si>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</si>
  <si>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</si>
  <si>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</si>
  <si>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</si>
  <si>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</si>
  <si>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</si>
  <si>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</si>
  <si>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</si>
  <si>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</si>
  <si>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</si>
  <si>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</si>
  <si>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</si>
  <si>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</si>
  <si>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</si>
  <si>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</si>
  <si>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</si>
  <si>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</si>
  <si>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</si>
  <si>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</si>
  <si>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</si>
  <si>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</si>
  <si>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</si>
  <si>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</si>
  <si>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</si>
  <si>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</si>
  <si>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</si>
  <si>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</si>
  <si>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</si>
  <si>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</si>
  <si>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</si>
  <si>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</si>
  <si>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</si>
  <si>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</si>
  <si>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</si>
  <si>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</si>
  <si>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</si>
  <si>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</si>
  <si>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</si>
  <si>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</si>
  <si>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</si>
  <si>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</si>
  <si>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</si>
  <si>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</si>
  <si>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</si>
  <si>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</si>
  <si>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</si>
  <si>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</si>
  <si>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</si>
  <si>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</si>
  <si>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</si>
  <si>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</si>
  <si>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</si>
  <si>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</si>
  <si>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</si>
  <si>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</si>
  <si>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</si>
  <si>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</si>
  <si>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</si>
  <si>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</si>
  <si>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</si>
  <si>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</si>
  <si>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</si>
  <si>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</si>
  <si>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</si>
  <si>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</si>
  <si>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</si>
  <si>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</si>
  <si>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</si>
  <si>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</si>
  <si>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</si>
  <si>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</si>
  <si>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</si>
  <si>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</si>
  <si>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</si>
  <si>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</si>
  <si>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</si>
  <si>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</si>
  <si>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</si>
  <si>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</si>
  <si>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</si>
  <si>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</si>
  <si>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</si>
  <si>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</si>
  <si>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</si>
  <si>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</si>
  <si>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</si>
  <si>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</si>
  <si>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</si>
  <si>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</si>
  <si>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</si>
  <si>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</si>
  <si>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</si>
  <si>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</si>
  <si>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</si>
  <si>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</si>
  <si>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</si>
  <si>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</si>
  <si>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</si>
  <si>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</si>
  <si>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</si>
  <si>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</si>
  <si>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</si>
  <si>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</si>
  <si>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</si>
  <si>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</si>
  <si>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</si>
  <si>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</si>
  <si>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</si>
  <si>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</si>
  <si>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</si>
  <si>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</si>
  <si>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</si>
  <si>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</si>
  <si>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</si>
  <si>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</si>
  <si>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</si>
  <si>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</si>
  <si>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</si>
  <si>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</si>
  <si>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</si>
  <si>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</si>
  <si>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</si>
  <si>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</si>
  <si>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</si>
  <si>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</si>
  <si>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</si>
  <si>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</si>
  <si>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</si>
  <si>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</si>
  <si>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</si>
  <si>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</si>
  <si>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</si>
  <si>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</si>
  <si>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</si>
  <si>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</si>
  <si>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</si>
  <si>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</si>
  <si>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</si>
  <si>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</si>
  <si>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</si>
  <si>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</si>
  <si>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</si>
  <si>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</si>
  <si>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</si>
  <si>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</si>
  <si>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</si>
  <si>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</si>
  <si>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</si>
  <si>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</si>
  <si>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</si>
  <si>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</si>
  <si>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</si>
  <si>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</si>
  <si>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</si>
  <si>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</si>
  <si>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</si>
  <si>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</si>
  <si>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</si>
  <si>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</si>
  <si>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</si>
  <si>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</si>
  <si>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</si>
  <si>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</si>
  <si>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</si>
  <si>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</si>
  <si>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</si>
  <si>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</si>
  <si>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</si>
  <si>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</si>
  <si>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</si>
  <si>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</si>
  <si>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</si>
  <si>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</si>
  <si>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</si>
  <si>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</si>
  <si>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</si>
  <si>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</si>
  <si>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</si>
  <si>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</si>
  <si>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</si>
  <si>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</si>
  <si>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</si>
  <si>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</si>
  <si>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</si>
  <si>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</si>
  <si>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</si>
  <si>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</si>
  <si>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</si>
  <si>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</si>
  <si>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</si>
  <si>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</si>
  <si>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</si>
  <si>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</si>
  <si>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</si>
  <si>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</si>
  <si>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</si>
  <si>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Air Georgian - Air Canada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</si>
  <si>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</si>
  <si>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</si>
  <si>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</si>
  <si>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</si>
  <si>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</si>
  <si>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</si>
  <si>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</si>
  <si>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</si>
  <si>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</si>
  <si>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</si>
  <si>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</si>
  <si>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</si>
  <si>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</si>
  <si>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March 2016</t>
  </si>
  <si>
    <t>KLM</t>
  </si>
  <si>
    <t>Landing</t>
  </si>
  <si>
    <t>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</si>
</sst>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2483798</v>
          </cell>
          <cell r="G5">
            <v>6410045</v>
          </cell>
        </row>
        <row r="6">
          <cell r="D6">
            <v>733932</v>
          </cell>
          <cell r="G6">
            <v>1971407</v>
          </cell>
        </row>
        <row r="7">
          <cell r="D7">
            <v>0</v>
          </cell>
          <cell r="G7">
            <v>480</v>
          </cell>
        </row>
        <row r="10">
          <cell r="D10">
            <v>98493</v>
          </cell>
          <cell r="G10">
            <v>273502</v>
          </cell>
        </row>
        <row r="16">
          <cell r="D16">
            <v>18137</v>
          </cell>
          <cell r="G16">
            <v>49187</v>
          </cell>
        </row>
        <row r="17">
          <cell r="D17">
            <v>13998</v>
          </cell>
          <cell r="G17">
            <v>39273</v>
          </cell>
        </row>
        <row r="18">
          <cell r="D18">
            <v>0</v>
          </cell>
          <cell r="G18">
            <v>6</v>
          </cell>
        </row>
        <row r="19">
          <cell r="D19">
            <v>1188</v>
          </cell>
          <cell r="G19">
            <v>3322</v>
          </cell>
        </row>
        <row r="20">
          <cell r="D20">
            <v>1789</v>
          </cell>
          <cell r="G20">
            <v>4928</v>
          </cell>
        </row>
        <row r="21">
          <cell r="D21">
            <v>100</v>
          </cell>
          <cell r="G21">
            <v>272</v>
          </cell>
        </row>
        <row r="27">
          <cell r="D27">
            <v>15929.865570620539</v>
          </cell>
          <cell r="G27">
            <v>41814.54190227545</v>
          </cell>
        </row>
        <row r="28">
          <cell r="D28">
            <v>969.03321449567397</v>
          </cell>
          <cell r="G28">
            <v>3061.2212172351237</v>
          </cell>
        </row>
        <row r="32">
          <cell r="B32">
            <v>998582</v>
          </cell>
          <cell r="D32">
            <v>2575693</v>
          </cell>
        </row>
        <row r="33">
          <cell r="B33">
            <v>615010</v>
          </cell>
          <cell r="D33">
            <v>1635358</v>
          </cell>
        </row>
      </sheetData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>
        <row r="5">
          <cell r="F5">
            <v>7837.2079778038196</v>
          </cell>
          <cell r="I5">
            <v>19290.60537550685</v>
          </cell>
        </row>
        <row r="6">
          <cell r="F6">
            <v>313.24161294366399</v>
          </cell>
          <cell r="I6">
            <v>1463.8394408262441</v>
          </cell>
        </row>
        <row r="10">
          <cell r="F10">
            <v>8092.6575928167194</v>
          </cell>
          <cell r="I10">
            <v>22523.936526768597</v>
          </cell>
        </row>
        <row r="11">
          <cell r="F11">
            <v>655.79160155200998</v>
          </cell>
          <cell r="I11">
            <v>1597.3817764088799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15929.865570620539</v>
          </cell>
        </row>
        <row r="21">
          <cell r="F21">
            <v>969.03321449567409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3987968</v>
          </cell>
        </row>
        <row r="6">
          <cell r="G6">
            <v>1133999</v>
          </cell>
        </row>
        <row r="7">
          <cell r="G7">
            <v>686</v>
          </cell>
        </row>
        <row r="10">
          <cell r="G10">
            <v>180195</v>
          </cell>
        </row>
        <row r="16">
          <cell r="G16">
            <v>32891</v>
          </cell>
        </row>
        <row r="17">
          <cell r="G17">
            <v>23460</v>
          </cell>
        </row>
        <row r="18">
          <cell r="G18">
            <v>9</v>
          </cell>
        </row>
        <row r="19">
          <cell r="G19">
            <v>2314</v>
          </cell>
        </row>
        <row r="20">
          <cell r="G20">
            <v>3320</v>
          </cell>
        </row>
        <row r="21">
          <cell r="G21">
            <v>87</v>
          </cell>
        </row>
        <row r="27">
          <cell r="G27">
            <v>29967.42995615138</v>
          </cell>
        </row>
        <row r="28">
          <cell r="G28">
            <v>3210.8025790209599</v>
          </cell>
        </row>
        <row r="32">
          <cell r="D32">
            <v>1645414</v>
          </cell>
        </row>
        <row r="33">
          <cell r="D33">
            <v>934458</v>
          </cell>
        </row>
      </sheetData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>
        <row r="5">
          <cell r="I5">
            <v>15760.031969037511</v>
          </cell>
        </row>
        <row r="6">
          <cell r="I6">
            <v>1506.63200453535</v>
          </cell>
        </row>
        <row r="10">
          <cell r="I10">
            <v>14207.397987113869</v>
          </cell>
        </row>
        <row r="11">
          <cell r="I11">
            <v>1704.1705744856099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29967.42995615138</v>
          </cell>
        </row>
        <row r="21">
          <cell r="I21">
            <v>3210.8025790209599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B4">
            <v>127</v>
          </cell>
        </row>
        <row r="5">
          <cell r="FB5">
            <v>127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0</v>
          </cell>
          <cell r="EN19">
            <v>0</v>
          </cell>
          <cell r="EZ19">
            <v>232</v>
          </cell>
          <cell r="FA19">
            <v>232</v>
          </cell>
          <cell r="FB19">
            <v>254</v>
          </cell>
        </row>
        <row r="22">
          <cell r="FB22">
            <v>431</v>
          </cell>
        </row>
        <row r="23">
          <cell r="FB23">
            <v>426</v>
          </cell>
        </row>
        <row r="27">
          <cell r="FB27"/>
        </row>
        <row r="28">
          <cell r="FB28"/>
        </row>
        <row r="41">
          <cell r="EL41">
            <v>0</v>
          </cell>
          <cell r="EM41">
            <v>0</v>
          </cell>
          <cell r="EN41">
            <v>0</v>
          </cell>
          <cell r="EZ41">
            <v>663</v>
          </cell>
          <cell r="FA41">
            <v>811</v>
          </cell>
          <cell r="FB41">
            <v>857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3"/>
      <sheetData sheetId="4">
        <row r="4">
          <cell r="FB4"/>
        </row>
        <row r="5">
          <cell r="FB5"/>
        </row>
        <row r="8">
          <cell r="FB8"/>
        </row>
        <row r="9">
          <cell r="FB9"/>
        </row>
        <row r="15">
          <cell r="EZ15"/>
          <cell r="FA15"/>
          <cell r="FB15"/>
        </row>
        <row r="16">
          <cell r="EZ16"/>
          <cell r="FA16"/>
          <cell r="FB16"/>
        </row>
        <row r="19">
          <cell r="EL19">
            <v>0</v>
          </cell>
          <cell r="EM19">
            <v>0</v>
          </cell>
          <cell r="EN19">
            <v>0</v>
          </cell>
          <cell r="EZ19">
            <v>0</v>
          </cell>
          <cell r="FA19">
            <v>0</v>
          </cell>
          <cell r="FB19">
            <v>0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32">
          <cell r="EZ32"/>
          <cell r="FA32"/>
          <cell r="FB32"/>
        </row>
        <row r="33">
          <cell r="EZ33"/>
          <cell r="FA33"/>
          <cell r="FB33"/>
        </row>
        <row r="37">
          <cell r="EZ37"/>
          <cell r="FA37"/>
          <cell r="FB37"/>
        </row>
        <row r="38">
          <cell r="EZ38"/>
          <cell r="FA38"/>
          <cell r="FB38"/>
        </row>
        <row r="41">
          <cell r="EL41">
            <v>0</v>
          </cell>
          <cell r="EM41">
            <v>0</v>
          </cell>
          <cell r="EN41">
            <v>0</v>
          </cell>
          <cell r="EZ41">
            <v>0</v>
          </cell>
          <cell r="FA41">
            <v>0</v>
          </cell>
          <cell r="FB41">
            <v>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5">
        <row r="4">
          <cell r="FB4">
            <v>51</v>
          </cell>
        </row>
        <row r="5">
          <cell r="FB5">
            <v>51</v>
          </cell>
        </row>
        <row r="8">
          <cell r="FB8"/>
        </row>
        <row r="9">
          <cell r="FB9"/>
        </row>
        <row r="19">
          <cell r="EL19">
            <v>124</v>
          </cell>
          <cell r="EM19">
            <v>142</v>
          </cell>
          <cell r="EN19">
            <v>124</v>
          </cell>
          <cell r="EZ19">
            <v>114</v>
          </cell>
          <cell r="FA19">
            <v>62</v>
          </cell>
          <cell r="FB19">
            <v>102</v>
          </cell>
        </row>
        <row r="22">
          <cell r="FB22">
            <v>8084</v>
          </cell>
        </row>
        <row r="23">
          <cell r="FB23">
            <v>7662</v>
          </cell>
        </row>
        <row r="27">
          <cell r="FB27">
            <v>251</v>
          </cell>
        </row>
        <row r="28">
          <cell r="FB28">
            <v>308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Z41">
            <v>15185</v>
          </cell>
          <cell r="FA41">
            <v>8520</v>
          </cell>
          <cell r="FB41">
            <v>15746</v>
          </cell>
        </row>
        <row r="47">
          <cell r="FB47">
            <v>18192</v>
          </cell>
        </row>
        <row r="48">
          <cell r="FB48">
            <v>46756</v>
          </cell>
        </row>
        <row r="52">
          <cell r="FB52">
            <v>8811</v>
          </cell>
        </row>
        <row r="53">
          <cell r="FB53">
            <v>10979</v>
          </cell>
        </row>
        <row r="57">
          <cell r="FB57"/>
        </row>
        <row r="58">
          <cell r="FB58"/>
        </row>
      </sheetData>
      <sheetData sheetId="6"/>
      <sheetData sheetId="7">
        <row r="4">
          <cell r="FB4">
            <v>811</v>
          </cell>
        </row>
        <row r="5">
          <cell r="FB5">
            <v>812</v>
          </cell>
        </row>
        <row r="8">
          <cell r="FB8"/>
        </row>
        <row r="9">
          <cell r="FB9"/>
        </row>
        <row r="19">
          <cell r="EL19">
            <v>1451</v>
          </cell>
          <cell r="EM19">
            <v>1348</v>
          </cell>
          <cell r="EN19">
            <v>1431</v>
          </cell>
          <cell r="EZ19">
            <v>1485</v>
          </cell>
          <cell r="FA19">
            <v>1390</v>
          </cell>
          <cell r="FB19">
            <v>1623</v>
          </cell>
        </row>
        <row r="22">
          <cell r="FB22">
            <v>100508</v>
          </cell>
        </row>
        <row r="23">
          <cell r="FB23">
            <v>100906</v>
          </cell>
        </row>
        <row r="27">
          <cell r="FB27">
            <v>3591</v>
          </cell>
        </row>
        <row r="28">
          <cell r="FB28">
            <v>3961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Z41">
            <v>159472</v>
          </cell>
          <cell r="FA41">
            <v>160767</v>
          </cell>
          <cell r="FB41">
            <v>201414</v>
          </cell>
        </row>
        <row r="47">
          <cell r="FB47">
            <v>41758</v>
          </cell>
        </row>
        <row r="48">
          <cell r="FB48">
            <v>91318</v>
          </cell>
        </row>
        <row r="52">
          <cell r="FB52">
            <v>11021</v>
          </cell>
        </row>
        <row r="53">
          <cell r="FB53">
            <v>53438</v>
          </cell>
        </row>
        <row r="57">
          <cell r="FB57"/>
        </row>
        <row r="58">
          <cell r="FB58"/>
        </row>
      </sheetData>
      <sheetData sheetId="8"/>
      <sheetData sheetId="9">
        <row r="4">
          <cell r="FB4">
            <v>79</v>
          </cell>
        </row>
        <row r="5">
          <cell r="FB5">
            <v>79</v>
          </cell>
        </row>
        <row r="8">
          <cell r="FB8">
            <v>4</v>
          </cell>
        </row>
        <row r="9">
          <cell r="FB9">
            <v>4</v>
          </cell>
        </row>
        <row r="19">
          <cell r="EL19">
            <v>0</v>
          </cell>
          <cell r="EM19">
            <v>0</v>
          </cell>
          <cell r="EN19">
            <v>0</v>
          </cell>
          <cell r="EZ19">
            <v>151</v>
          </cell>
          <cell r="FA19">
            <v>145</v>
          </cell>
          <cell r="FB19">
            <v>166</v>
          </cell>
        </row>
        <row r="22">
          <cell r="FB22">
            <v>553</v>
          </cell>
        </row>
        <row r="23">
          <cell r="FB23">
            <v>532</v>
          </cell>
        </row>
        <row r="27">
          <cell r="FB27"/>
        </row>
        <row r="28">
          <cell r="FB28"/>
        </row>
        <row r="41">
          <cell r="EL41">
            <v>0</v>
          </cell>
          <cell r="EM41">
            <v>0</v>
          </cell>
          <cell r="EN41">
            <v>0</v>
          </cell>
          <cell r="EZ41">
            <v>1054</v>
          </cell>
          <cell r="FA41">
            <v>983</v>
          </cell>
          <cell r="FB41">
            <v>1085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10">
        <row r="4">
          <cell r="FB4"/>
        </row>
        <row r="5">
          <cell r="FB5"/>
        </row>
        <row r="8">
          <cell r="FB8"/>
        </row>
        <row r="9">
          <cell r="FB9"/>
        </row>
        <row r="15">
          <cell r="EZ15"/>
          <cell r="FA15"/>
          <cell r="FB15"/>
        </row>
        <row r="16">
          <cell r="EZ16"/>
          <cell r="FA16"/>
          <cell r="FB16"/>
        </row>
        <row r="19">
          <cell r="EL19">
            <v>0</v>
          </cell>
          <cell r="EM19">
            <v>0</v>
          </cell>
          <cell r="EN19">
            <v>0</v>
          </cell>
          <cell r="EZ19">
            <v>0</v>
          </cell>
          <cell r="FA19">
            <v>0</v>
          </cell>
          <cell r="FB19">
            <v>0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32">
          <cell r="EZ32"/>
          <cell r="FA32"/>
          <cell r="FB32"/>
        </row>
        <row r="33">
          <cell r="EZ33"/>
          <cell r="FA33"/>
          <cell r="FB33"/>
        </row>
        <row r="37">
          <cell r="EZ37"/>
          <cell r="FA37"/>
          <cell r="FB37"/>
        </row>
        <row r="38">
          <cell r="EZ38"/>
          <cell r="FA38"/>
          <cell r="FB38"/>
        </row>
        <row r="41">
          <cell r="EL41">
            <v>0</v>
          </cell>
          <cell r="EM41">
            <v>0</v>
          </cell>
          <cell r="EN41">
            <v>0</v>
          </cell>
          <cell r="EZ41">
            <v>0</v>
          </cell>
          <cell r="FA41">
            <v>0</v>
          </cell>
          <cell r="FB41">
            <v>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11">
        <row r="4">
          <cell r="FB4">
            <v>5214</v>
          </cell>
        </row>
        <row r="5">
          <cell r="FB5">
            <v>5209</v>
          </cell>
        </row>
        <row r="8">
          <cell r="FB8">
            <v>2</v>
          </cell>
        </row>
        <row r="9">
          <cell r="FB9">
            <v>12</v>
          </cell>
        </row>
        <row r="15">
          <cell r="EZ15">
            <v>479</v>
          </cell>
          <cell r="FA15">
            <v>459</v>
          </cell>
          <cell r="FB15">
            <v>584</v>
          </cell>
        </row>
        <row r="16">
          <cell r="EZ16">
            <v>482</v>
          </cell>
          <cell r="FA16">
            <v>458</v>
          </cell>
          <cell r="FB16">
            <v>586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Z19">
            <v>10013</v>
          </cell>
          <cell r="FA19">
            <v>9416</v>
          </cell>
          <cell r="FB19">
            <v>11607</v>
          </cell>
        </row>
        <row r="22">
          <cell r="FB22">
            <v>733914</v>
          </cell>
        </row>
        <row r="23">
          <cell r="FB23">
            <v>742669</v>
          </cell>
        </row>
        <row r="27">
          <cell r="FB27">
            <v>27314</v>
          </cell>
        </row>
        <row r="28">
          <cell r="FB28">
            <v>26590</v>
          </cell>
        </row>
        <row r="32">
          <cell r="EZ32">
            <v>76571</v>
          </cell>
          <cell r="FA32">
            <v>72852</v>
          </cell>
          <cell r="FB32">
            <v>98938</v>
          </cell>
        </row>
        <row r="33">
          <cell r="EZ33">
            <v>72286</v>
          </cell>
          <cell r="FA33">
            <v>72995</v>
          </cell>
          <cell r="FB33">
            <v>99064</v>
          </cell>
        </row>
        <row r="37">
          <cell r="EZ37">
            <v>2186</v>
          </cell>
          <cell r="FA37">
            <v>2201</v>
          </cell>
          <cell r="FB37">
            <v>2334</v>
          </cell>
        </row>
        <row r="38">
          <cell r="EZ38">
            <v>2286</v>
          </cell>
          <cell r="FA38">
            <v>2141</v>
          </cell>
          <cell r="FB38">
            <v>2469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Z41">
            <v>1293152</v>
          </cell>
          <cell r="FA41">
            <v>1245416</v>
          </cell>
          <cell r="FB41">
            <v>1674585</v>
          </cell>
        </row>
        <row r="47">
          <cell r="FB47">
            <v>4594951</v>
          </cell>
        </row>
        <row r="48">
          <cell r="FB48">
            <v>1227691</v>
          </cell>
        </row>
        <row r="52">
          <cell r="FB52">
            <v>2698847</v>
          </cell>
        </row>
        <row r="53">
          <cell r="FB53">
            <v>1637325</v>
          </cell>
        </row>
        <row r="57">
          <cell r="FB57"/>
        </row>
        <row r="58">
          <cell r="FB58"/>
        </row>
        <row r="70">
          <cell r="FB70">
            <v>409211</v>
          </cell>
        </row>
        <row r="71">
          <cell r="FB71">
            <v>333458</v>
          </cell>
        </row>
        <row r="73">
          <cell r="FB73">
            <v>54584</v>
          </cell>
        </row>
        <row r="74">
          <cell r="FB74">
            <v>44480</v>
          </cell>
        </row>
      </sheetData>
      <sheetData sheetId="12">
        <row r="4">
          <cell r="FB4">
            <v>86</v>
          </cell>
        </row>
        <row r="5">
          <cell r="FB5">
            <v>86</v>
          </cell>
        </row>
        <row r="8">
          <cell r="FB8"/>
        </row>
        <row r="9">
          <cell r="FB9"/>
        </row>
        <row r="19">
          <cell r="EL19">
            <v>148</v>
          </cell>
          <cell r="EM19">
            <v>158</v>
          </cell>
          <cell r="EN19">
            <v>186</v>
          </cell>
          <cell r="EZ19">
            <v>178</v>
          </cell>
          <cell r="FA19">
            <v>160</v>
          </cell>
          <cell r="FB19">
            <v>172</v>
          </cell>
        </row>
        <row r="22">
          <cell r="FB22">
            <v>15666</v>
          </cell>
        </row>
        <row r="23">
          <cell r="FB23">
            <v>15894</v>
          </cell>
        </row>
        <row r="27">
          <cell r="FB27">
            <v>123</v>
          </cell>
        </row>
        <row r="28">
          <cell r="FB28">
            <v>143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Z41">
            <v>29207</v>
          </cell>
          <cell r="FA41">
            <v>27143</v>
          </cell>
          <cell r="FB41">
            <v>31560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13">
        <row r="4">
          <cell r="FB4"/>
        </row>
        <row r="5">
          <cell r="FB5"/>
        </row>
        <row r="8">
          <cell r="FB8"/>
        </row>
        <row r="9">
          <cell r="FB9"/>
        </row>
        <row r="19">
          <cell r="EL19">
            <v>143</v>
          </cell>
          <cell r="EM19">
            <v>134</v>
          </cell>
          <cell r="EN19">
            <v>108</v>
          </cell>
          <cell r="EZ19">
            <v>0</v>
          </cell>
          <cell r="FA19">
            <v>0</v>
          </cell>
          <cell r="FB19">
            <v>0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41">
          <cell r="EL41">
            <v>376</v>
          </cell>
          <cell r="EM41">
            <v>402</v>
          </cell>
          <cell r="EN41">
            <v>304</v>
          </cell>
          <cell r="EZ41">
            <v>0</v>
          </cell>
          <cell r="FA41">
            <v>0</v>
          </cell>
          <cell r="FB41">
            <v>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14">
        <row r="8">
          <cell r="FB8"/>
        </row>
        <row r="9">
          <cell r="FB9"/>
        </row>
        <row r="15">
          <cell r="EZ15">
            <v>16</v>
          </cell>
          <cell r="FA15">
            <v>14</v>
          </cell>
          <cell r="FB15">
            <v>19</v>
          </cell>
        </row>
        <row r="16">
          <cell r="EZ16">
            <v>16</v>
          </cell>
          <cell r="FA16">
            <v>14</v>
          </cell>
          <cell r="FB16">
            <v>19</v>
          </cell>
        </row>
        <row r="19">
          <cell r="EL19">
            <v>12</v>
          </cell>
          <cell r="EM19">
            <v>0</v>
          </cell>
          <cell r="EN19">
            <v>0</v>
          </cell>
          <cell r="EZ19">
            <v>32</v>
          </cell>
          <cell r="FA19">
            <v>28</v>
          </cell>
          <cell r="FB19">
            <v>38</v>
          </cell>
        </row>
        <row r="32">
          <cell r="EZ32">
            <v>2183</v>
          </cell>
          <cell r="FA32">
            <v>1601</v>
          </cell>
          <cell r="FB32">
            <v>2869</v>
          </cell>
        </row>
        <row r="33">
          <cell r="EZ33">
            <v>2146</v>
          </cell>
          <cell r="FA33">
            <v>1798</v>
          </cell>
          <cell r="FB33">
            <v>3162</v>
          </cell>
        </row>
        <row r="37">
          <cell r="EZ37">
            <v>50</v>
          </cell>
          <cell r="FA37">
            <v>50</v>
          </cell>
          <cell r="FB37">
            <v>56</v>
          </cell>
        </row>
        <row r="38">
          <cell r="EZ38">
            <v>51</v>
          </cell>
          <cell r="FA38">
            <v>62</v>
          </cell>
          <cell r="FB38">
            <v>52</v>
          </cell>
        </row>
        <row r="41">
          <cell r="EL41">
            <v>1473</v>
          </cell>
          <cell r="EM41">
            <v>0</v>
          </cell>
          <cell r="EN41">
            <v>0</v>
          </cell>
          <cell r="EZ41">
            <v>4329</v>
          </cell>
          <cell r="FA41">
            <v>3399</v>
          </cell>
          <cell r="FB41">
            <v>6031</v>
          </cell>
        </row>
        <row r="47">
          <cell r="FB47">
            <v>45777</v>
          </cell>
        </row>
        <row r="48">
          <cell r="FB48"/>
        </row>
        <row r="52">
          <cell r="FB52">
            <v>426</v>
          </cell>
        </row>
        <row r="53">
          <cell r="FB53"/>
        </row>
        <row r="57">
          <cell r="FB57"/>
        </row>
        <row r="58">
          <cell r="FB58"/>
        </row>
      </sheetData>
      <sheetData sheetId="15"/>
      <sheetData sheetId="16">
        <row r="4">
          <cell r="FB4"/>
        </row>
        <row r="5">
          <cell r="FB5"/>
        </row>
        <row r="8">
          <cell r="FB8"/>
        </row>
        <row r="9">
          <cell r="FB9"/>
        </row>
        <row r="15">
          <cell r="EZ15"/>
          <cell r="FA15"/>
          <cell r="FB15">
            <v>2</v>
          </cell>
        </row>
        <row r="16">
          <cell r="EZ16"/>
          <cell r="FA16"/>
          <cell r="FB16">
            <v>2</v>
          </cell>
        </row>
        <row r="19">
          <cell r="EL19">
            <v>0</v>
          </cell>
          <cell r="EM19">
            <v>0</v>
          </cell>
          <cell r="EN19">
            <v>0</v>
          </cell>
          <cell r="EZ19">
            <v>0</v>
          </cell>
          <cell r="FA19">
            <v>0</v>
          </cell>
          <cell r="FB19">
            <v>4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32">
          <cell r="EZ32"/>
          <cell r="FA32"/>
          <cell r="FB32">
            <v>487</v>
          </cell>
        </row>
        <row r="33">
          <cell r="EZ33"/>
          <cell r="FA33"/>
          <cell r="FB33">
            <v>273</v>
          </cell>
        </row>
        <row r="37">
          <cell r="EZ37"/>
          <cell r="FA37"/>
          <cell r="FB37">
            <v>2</v>
          </cell>
        </row>
        <row r="38">
          <cell r="EZ38"/>
          <cell r="FA38"/>
          <cell r="FB38">
            <v>2</v>
          </cell>
        </row>
        <row r="41">
          <cell r="EL41">
            <v>0</v>
          </cell>
          <cell r="EM41">
            <v>0</v>
          </cell>
          <cell r="EN41">
            <v>0</v>
          </cell>
          <cell r="EZ41">
            <v>0</v>
          </cell>
          <cell r="FA41">
            <v>0</v>
          </cell>
          <cell r="FB41">
            <v>760</v>
          </cell>
        </row>
        <row r="47">
          <cell r="FB47">
            <v>21980</v>
          </cell>
        </row>
        <row r="48">
          <cell r="FB48"/>
        </row>
        <row r="52">
          <cell r="FB52">
            <v>17327</v>
          </cell>
        </row>
        <row r="53">
          <cell r="FB53"/>
        </row>
        <row r="57">
          <cell r="FB57"/>
        </row>
        <row r="58">
          <cell r="FB58"/>
        </row>
      </sheetData>
      <sheetData sheetId="17"/>
      <sheetData sheetId="18">
        <row r="4">
          <cell r="FB4">
            <v>819</v>
          </cell>
        </row>
        <row r="5">
          <cell r="FB5">
            <v>819</v>
          </cell>
        </row>
        <row r="8">
          <cell r="FB8"/>
        </row>
        <row r="9">
          <cell r="FB9"/>
        </row>
        <row r="19">
          <cell r="EL19">
            <v>1310</v>
          </cell>
          <cell r="EM19">
            <v>1235</v>
          </cell>
          <cell r="EN19">
            <v>1365</v>
          </cell>
          <cell r="EZ19">
            <v>1441</v>
          </cell>
          <cell r="FA19">
            <v>1315</v>
          </cell>
          <cell r="FB19">
            <v>1638</v>
          </cell>
        </row>
        <row r="22">
          <cell r="FB22">
            <v>94982</v>
          </cell>
        </row>
        <row r="23">
          <cell r="FB23">
            <v>99080</v>
          </cell>
        </row>
        <row r="27">
          <cell r="FB27">
            <v>1532</v>
          </cell>
        </row>
        <row r="28">
          <cell r="FB28">
            <v>1611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Z41">
            <v>152893</v>
          </cell>
          <cell r="FA41">
            <v>144226</v>
          </cell>
          <cell r="FB41">
            <v>194062</v>
          </cell>
        </row>
        <row r="47">
          <cell r="FB47">
            <v>208950</v>
          </cell>
        </row>
        <row r="48">
          <cell r="FB48"/>
        </row>
        <row r="52">
          <cell r="FB52">
            <v>130369</v>
          </cell>
        </row>
        <row r="53">
          <cell r="FB53"/>
        </row>
        <row r="57">
          <cell r="FB57"/>
        </row>
        <row r="58">
          <cell r="FB58"/>
        </row>
        <row r="70">
          <cell r="FB70">
            <v>97879</v>
          </cell>
        </row>
        <row r="71">
          <cell r="FB71">
            <v>1201</v>
          </cell>
        </row>
        <row r="73">
          <cell r="FB73"/>
        </row>
        <row r="74">
          <cell r="FB74"/>
        </row>
      </sheetData>
      <sheetData sheetId="19">
        <row r="4">
          <cell r="FB4">
            <v>419</v>
          </cell>
        </row>
        <row r="5">
          <cell r="FB5">
            <v>419</v>
          </cell>
        </row>
        <row r="8">
          <cell r="FB8"/>
        </row>
        <row r="9">
          <cell r="FB9"/>
        </row>
        <row r="19">
          <cell r="EL19">
            <v>680</v>
          </cell>
          <cell r="EM19">
            <v>612</v>
          </cell>
          <cell r="EN19">
            <v>680</v>
          </cell>
          <cell r="EZ19">
            <v>792</v>
          </cell>
          <cell r="FA19">
            <v>721</v>
          </cell>
          <cell r="FB19">
            <v>838</v>
          </cell>
        </row>
        <row r="22">
          <cell r="FB22">
            <v>62006</v>
          </cell>
        </row>
        <row r="23">
          <cell r="FB23">
            <v>65956</v>
          </cell>
        </row>
        <row r="27">
          <cell r="FB27">
            <v>436</v>
          </cell>
        </row>
        <row r="28">
          <cell r="FB28">
            <v>370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Z41">
            <v>97377</v>
          </cell>
          <cell r="FA41">
            <v>98383</v>
          </cell>
          <cell r="FB41">
            <v>127962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  <row r="70">
          <cell r="FB70"/>
        </row>
        <row r="71">
          <cell r="FB71"/>
        </row>
        <row r="73">
          <cell r="FB73"/>
        </row>
        <row r="74">
          <cell r="FB74"/>
        </row>
      </sheetData>
      <sheetData sheetId="20">
        <row r="4">
          <cell r="FB4">
            <v>699</v>
          </cell>
        </row>
        <row r="5">
          <cell r="FB5">
            <v>696</v>
          </cell>
        </row>
        <row r="8">
          <cell r="FB8">
            <v>66</v>
          </cell>
        </row>
        <row r="9">
          <cell r="FB9">
            <v>63</v>
          </cell>
        </row>
        <row r="15">
          <cell r="EZ15">
            <v>205</v>
          </cell>
          <cell r="FA15">
            <v>278</v>
          </cell>
          <cell r="FB15">
            <v>337</v>
          </cell>
        </row>
        <row r="16">
          <cell r="EZ16">
            <v>205</v>
          </cell>
          <cell r="FA16">
            <v>279</v>
          </cell>
          <cell r="FB16">
            <v>338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Z19">
            <v>1901</v>
          </cell>
          <cell r="FA19">
            <v>1909</v>
          </cell>
          <cell r="FB19">
            <v>2199</v>
          </cell>
        </row>
        <row r="22">
          <cell r="FB22">
            <v>93913</v>
          </cell>
        </row>
        <row r="23">
          <cell r="FB23">
            <v>98386</v>
          </cell>
        </row>
        <row r="27">
          <cell r="FB27">
            <v>1560</v>
          </cell>
        </row>
        <row r="28">
          <cell r="FB28">
            <v>1608</v>
          </cell>
        </row>
        <row r="32">
          <cell r="EZ32">
            <v>21105</v>
          </cell>
          <cell r="FA32">
            <v>32314</v>
          </cell>
          <cell r="FB32">
            <v>41652</v>
          </cell>
        </row>
        <row r="33">
          <cell r="EZ33">
            <v>22590</v>
          </cell>
          <cell r="FA33">
            <v>34518</v>
          </cell>
          <cell r="FB33">
            <v>42363</v>
          </cell>
        </row>
        <row r="37">
          <cell r="EZ37">
            <v>158</v>
          </cell>
          <cell r="FA37">
            <v>212</v>
          </cell>
          <cell r="FB37">
            <v>241</v>
          </cell>
        </row>
        <row r="38">
          <cell r="EZ38">
            <v>219</v>
          </cell>
          <cell r="FA38">
            <v>280</v>
          </cell>
          <cell r="FB38">
            <v>291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Z41">
            <v>189664</v>
          </cell>
          <cell r="FA41">
            <v>220246</v>
          </cell>
          <cell r="FB41">
            <v>276314</v>
          </cell>
        </row>
        <row r="47">
          <cell r="FB47">
            <v>114980</v>
          </cell>
        </row>
        <row r="48">
          <cell r="FB48">
            <v>217018</v>
          </cell>
        </row>
        <row r="52">
          <cell r="FB52">
            <v>87491</v>
          </cell>
        </row>
        <row r="53">
          <cell r="FB53">
            <v>482703</v>
          </cell>
        </row>
        <row r="57">
          <cell r="FB57"/>
        </row>
        <row r="58">
          <cell r="FB58"/>
        </row>
        <row r="70">
          <cell r="FB70">
            <v>96537</v>
          </cell>
        </row>
        <row r="71">
          <cell r="FB71">
            <v>1849</v>
          </cell>
        </row>
        <row r="73">
          <cell r="FB73">
            <v>42310</v>
          </cell>
        </row>
        <row r="74">
          <cell r="FB74">
            <v>53</v>
          </cell>
        </row>
      </sheetData>
      <sheetData sheetId="21">
        <row r="4">
          <cell r="FB4">
            <v>324</v>
          </cell>
        </row>
        <row r="5">
          <cell r="FB5">
            <v>324</v>
          </cell>
        </row>
        <row r="8">
          <cell r="FB8"/>
        </row>
        <row r="9">
          <cell r="FB9"/>
        </row>
        <row r="19">
          <cell r="EL19">
            <v>446</v>
          </cell>
          <cell r="EM19">
            <v>476</v>
          </cell>
          <cell r="EN19">
            <v>460</v>
          </cell>
          <cell r="EZ19">
            <v>580</v>
          </cell>
          <cell r="FA19">
            <v>594</v>
          </cell>
          <cell r="FB19">
            <v>648</v>
          </cell>
        </row>
        <row r="22">
          <cell r="FB22">
            <v>41015</v>
          </cell>
        </row>
        <row r="23">
          <cell r="FB23">
            <v>41022</v>
          </cell>
        </row>
        <row r="27">
          <cell r="FB27">
            <v>1338</v>
          </cell>
        </row>
        <row r="28">
          <cell r="FB28">
            <v>1550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Z41">
            <v>67107</v>
          </cell>
          <cell r="FA41">
            <v>67971</v>
          </cell>
          <cell r="FB41">
            <v>82037</v>
          </cell>
        </row>
        <row r="47">
          <cell r="FB47">
            <v>131684</v>
          </cell>
        </row>
        <row r="48">
          <cell r="FB48">
            <v>23604</v>
          </cell>
        </row>
        <row r="52">
          <cell r="FB52">
            <v>108120</v>
          </cell>
        </row>
        <row r="53">
          <cell r="FB53">
            <v>4722</v>
          </cell>
        </row>
        <row r="57">
          <cell r="FB57"/>
        </row>
        <row r="58">
          <cell r="FB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Z19">
            <v>0</v>
          </cell>
          <cell r="FA19">
            <v>0</v>
          </cell>
          <cell r="FB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Z41">
            <v>0</v>
          </cell>
          <cell r="FA41">
            <v>0</v>
          </cell>
          <cell r="FB41">
            <v>0</v>
          </cell>
        </row>
      </sheetData>
      <sheetData sheetId="25">
        <row r="8">
          <cell r="FB8"/>
        </row>
        <row r="9">
          <cell r="FB9"/>
        </row>
        <row r="15">
          <cell r="EZ15">
            <v>86</v>
          </cell>
          <cell r="FA15">
            <v>78</v>
          </cell>
          <cell r="FB15">
            <v>88</v>
          </cell>
        </row>
        <row r="16">
          <cell r="EZ16">
            <v>86</v>
          </cell>
          <cell r="FA16">
            <v>78</v>
          </cell>
          <cell r="FB16">
            <v>88</v>
          </cell>
        </row>
        <row r="19">
          <cell r="EL19">
            <v>0</v>
          </cell>
          <cell r="EM19">
            <v>157</v>
          </cell>
          <cell r="EN19">
            <v>180</v>
          </cell>
          <cell r="EZ19">
            <v>172</v>
          </cell>
          <cell r="FA19">
            <v>156</v>
          </cell>
          <cell r="FB19">
            <v>176</v>
          </cell>
        </row>
        <row r="32">
          <cell r="EZ32">
            <v>3322</v>
          </cell>
          <cell r="FA32">
            <v>2938</v>
          </cell>
          <cell r="FB32">
            <v>3470</v>
          </cell>
        </row>
        <row r="33">
          <cell r="EZ33">
            <v>3007</v>
          </cell>
          <cell r="FA33">
            <v>2824</v>
          </cell>
          <cell r="FB33">
            <v>3526</v>
          </cell>
        </row>
        <row r="37">
          <cell r="EZ37"/>
          <cell r="FA37"/>
          <cell r="FB37"/>
        </row>
        <row r="38">
          <cell r="EZ38"/>
          <cell r="FA38"/>
          <cell r="FB38"/>
        </row>
        <row r="41">
          <cell r="EL41">
            <v>0</v>
          </cell>
          <cell r="EM41">
            <v>5887</v>
          </cell>
          <cell r="EN41">
            <v>7341</v>
          </cell>
          <cell r="EZ41">
            <v>6329</v>
          </cell>
          <cell r="FA41">
            <v>5762</v>
          </cell>
          <cell r="FB41">
            <v>6996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</sheetData>
      <sheetData sheetId="26">
        <row r="4">
          <cell r="FB4"/>
        </row>
        <row r="5">
          <cell r="FB5"/>
        </row>
        <row r="8">
          <cell r="FB8"/>
        </row>
        <row r="9">
          <cell r="FB9"/>
        </row>
        <row r="19">
          <cell r="EL19">
            <v>60</v>
          </cell>
          <cell r="EM19">
            <v>24</v>
          </cell>
          <cell r="EN19">
            <v>16</v>
          </cell>
          <cell r="EZ19">
            <v>0</v>
          </cell>
          <cell r="FA19">
            <v>2</v>
          </cell>
          <cell r="FB19">
            <v>0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41">
          <cell r="EL41">
            <v>2291</v>
          </cell>
          <cell r="EM41">
            <v>849</v>
          </cell>
          <cell r="EN41">
            <v>487</v>
          </cell>
          <cell r="EZ41">
            <v>0</v>
          </cell>
          <cell r="FA41">
            <v>90</v>
          </cell>
          <cell r="FB41">
            <v>0</v>
          </cell>
        </row>
        <row r="47">
          <cell r="FB47"/>
        </row>
        <row r="48">
          <cell r="FB48"/>
        </row>
        <row r="52">
          <cell r="BH52"/>
        </row>
        <row r="53">
          <cell r="FB53"/>
        </row>
        <row r="57">
          <cell r="BG57"/>
        </row>
        <row r="58">
          <cell r="BG58"/>
        </row>
      </sheetData>
      <sheetData sheetId="27">
        <row r="4">
          <cell r="FB4">
            <v>8</v>
          </cell>
        </row>
        <row r="5">
          <cell r="FB5">
            <v>9</v>
          </cell>
        </row>
        <row r="8">
          <cell r="FB8"/>
        </row>
        <row r="9">
          <cell r="FB9"/>
        </row>
        <row r="19">
          <cell r="EL19">
            <v>20</v>
          </cell>
          <cell r="EM19">
            <v>8</v>
          </cell>
          <cell r="EN19">
            <v>34</v>
          </cell>
          <cell r="EZ19">
            <v>22</v>
          </cell>
          <cell r="FA19">
            <v>17</v>
          </cell>
          <cell r="FB19">
            <v>17</v>
          </cell>
        </row>
        <row r="22">
          <cell r="FB22">
            <v>412</v>
          </cell>
        </row>
        <row r="23">
          <cell r="FB23">
            <v>428</v>
          </cell>
        </row>
        <row r="27">
          <cell r="FB27">
            <v>32</v>
          </cell>
        </row>
        <row r="28">
          <cell r="FB28">
            <v>28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Z41">
            <v>921</v>
          </cell>
          <cell r="FA41">
            <v>897</v>
          </cell>
          <cell r="FB41">
            <v>840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28">
        <row r="4">
          <cell r="FB4">
            <v>378</v>
          </cell>
        </row>
        <row r="5">
          <cell r="FB5">
            <v>381</v>
          </cell>
        </row>
        <row r="8">
          <cell r="FB8"/>
        </row>
        <row r="9">
          <cell r="FB9"/>
        </row>
        <row r="15">
          <cell r="EZ15">
            <v>1</v>
          </cell>
          <cell r="FA15">
            <v>1</v>
          </cell>
          <cell r="FB15">
            <v>42</v>
          </cell>
        </row>
        <row r="16">
          <cell r="EZ16">
            <v>1</v>
          </cell>
          <cell r="FA16"/>
          <cell r="FB16">
            <v>38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Z19">
            <v>666</v>
          </cell>
          <cell r="FA19">
            <v>545</v>
          </cell>
          <cell r="FB19">
            <v>839</v>
          </cell>
        </row>
        <row r="22">
          <cell r="FB22">
            <v>21658</v>
          </cell>
        </row>
        <row r="23">
          <cell r="FB23">
            <v>22397</v>
          </cell>
        </row>
        <row r="27">
          <cell r="FB27">
            <v>721</v>
          </cell>
        </row>
        <row r="28">
          <cell r="FB28">
            <v>705</v>
          </cell>
        </row>
        <row r="32">
          <cell r="EZ32">
            <v>54</v>
          </cell>
          <cell r="FA32">
            <v>64</v>
          </cell>
          <cell r="FB32">
            <v>2479</v>
          </cell>
        </row>
        <row r="33">
          <cell r="EZ33">
            <v>24</v>
          </cell>
          <cell r="FA33"/>
          <cell r="FB33">
            <v>2381</v>
          </cell>
        </row>
        <row r="37">
          <cell r="EZ37"/>
          <cell r="FA37"/>
          <cell r="FB37">
            <v>52</v>
          </cell>
        </row>
        <row r="38">
          <cell r="EZ38">
            <v>4</v>
          </cell>
          <cell r="FA38"/>
          <cell r="FB38">
            <v>43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Z41">
            <v>35725</v>
          </cell>
          <cell r="FA41">
            <v>29090</v>
          </cell>
          <cell r="FB41">
            <v>48915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G58"/>
        </row>
        <row r="70">
          <cell r="FB70">
            <v>9272</v>
          </cell>
        </row>
        <row r="71">
          <cell r="FB71">
            <v>13125</v>
          </cell>
        </row>
        <row r="73">
          <cell r="FB73">
            <v>986</v>
          </cell>
        </row>
        <row r="74">
          <cell r="FB74">
            <v>1395</v>
          </cell>
        </row>
      </sheetData>
      <sheetData sheetId="29"/>
      <sheetData sheetId="30"/>
      <sheetData sheetId="31"/>
      <sheetData sheetId="32">
        <row r="4">
          <cell r="FB4">
            <v>596</v>
          </cell>
        </row>
        <row r="5">
          <cell r="FB5">
            <v>600</v>
          </cell>
        </row>
        <row r="8">
          <cell r="FB8"/>
        </row>
        <row r="9">
          <cell r="FB9">
            <v>1</v>
          </cell>
        </row>
        <row r="15">
          <cell r="EZ15">
            <v>166</v>
          </cell>
          <cell r="FA15">
            <v>137</v>
          </cell>
          <cell r="FB15">
            <v>53</v>
          </cell>
        </row>
        <row r="16">
          <cell r="EZ16">
            <v>168</v>
          </cell>
          <cell r="FA16">
            <v>135</v>
          </cell>
          <cell r="FB16">
            <v>50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Z19">
            <v>1335</v>
          </cell>
          <cell r="FA19">
            <v>1366</v>
          </cell>
          <cell r="FB19">
            <v>1300</v>
          </cell>
        </row>
        <row r="22">
          <cell r="FB22">
            <v>33634</v>
          </cell>
        </row>
        <row r="23">
          <cell r="FB23">
            <v>35788</v>
          </cell>
        </row>
        <row r="27">
          <cell r="FB27">
            <v>1347</v>
          </cell>
        </row>
        <row r="28">
          <cell r="FB28">
            <v>1556</v>
          </cell>
        </row>
        <row r="32">
          <cell r="EZ32">
            <v>9784</v>
          </cell>
          <cell r="FA32">
            <v>8369</v>
          </cell>
          <cell r="FB32">
            <v>3414</v>
          </cell>
        </row>
        <row r="33">
          <cell r="EZ33">
            <v>10679</v>
          </cell>
          <cell r="FA33">
            <v>8413</v>
          </cell>
          <cell r="FB33">
            <v>3222</v>
          </cell>
        </row>
        <row r="37">
          <cell r="EZ37">
            <v>161</v>
          </cell>
          <cell r="FA37">
            <v>146</v>
          </cell>
          <cell r="FB37">
            <v>29</v>
          </cell>
        </row>
        <row r="38">
          <cell r="EZ38">
            <v>174</v>
          </cell>
          <cell r="FA38">
            <v>151</v>
          </cell>
          <cell r="FB38">
            <v>27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Z41">
            <v>72674</v>
          </cell>
          <cell r="FA41">
            <v>75801</v>
          </cell>
          <cell r="FB41">
            <v>76058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G58"/>
        </row>
        <row r="70">
          <cell r="BG70">
            <v>26242</v>
          </cell>
          <cell r="FB70">
            <v>16391</v>
          </cell>
        </row>
        <row r="71">
          <cell r="BG71">
            <v>44562</v>
          </cell>
          <cell r="FB71">
            <v>19397</v>
          </cell>
        </row>
        <row r="73">
          <cell r="BG73">
            <v>1540</v>
          </cell>
          <cell r="FB73">
            <v>1476</v>
          </cell>
        </row>
        <row r="74">
          <cell r="BG74">
            <v>2614</v>
          </cell>
          <cell r="FB74">
            <v>1746</v>
          </cell>
        </row>
      </sheetData>
      <sheetData sheetId="33"/>
      <sheetData sheetId="34">
        <row r="4">
          <cell r="FB4">
            <v>14</v>
          </cell>
        </row>
        <row r="5">
          <cell r="FB5">
            <v>14</v>
          </cell>
        </row>
        <row r="8">
          <cell r="FB8"/>
        </row>
        <row r="9">
          <cell r="FB9"/>
        </row>
        <row r="19">
          <cell r="EL19">
            <v>910</v>
          </cell>
          <cell r="EM19">
            <v>46</v>
          </cell>
          <cell r="EN19">
            <v>54</v>
          </cell>
          <cell r="EZ19">
            <v>24</v>
          </cell>
          <cell r="FA19">
            <v>40</v>
          </cell>
          <cell r="FB19">
            <v>28</v>
          </cell>
        </row>
        <row r="22">
          <cell r="FB22">
            <v>640</v>
          </cell>
        </row>
        <row r="23">
          <cell r="FB23">
            <v>677</v>
          </cell>
        </row>
        <row r="27">
          <cell r="FB27">
            <v>18</v>
          </cell>
        </row>
        <row r="28">
          <cell r="FB28">
            <v>12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Z41">
            <v>994</v>
          </cell>
          <cell r="FA41">
            <v>1332</v>
          </cell>
          <cell r="FB41">
            <v>1317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G58"/>
        </row>
      </sheetData>
      <sheetData sheetId="35"/>
      <sheetData sheetId="36">
        <row r="4">
          <cell r="FB4">
            <v>289</v>
          </cell>
        </row>
        <row r="5">
          <cell r="FB5">
            <v>287</v>
          </cell>
        </row>
        <row r="8">
          <cell r="FB8"/>
        </row>
        <row r="9">
          <cell r="FB9"/>
        </row>
        <row r="15">
          <cell r="EZ15">
            <v>54</v>
          </cell>
          <cell r="FA15">
            <v>63</v>
          </cell>
          <cell r="FB15">
            <v>48</v>
          </cell>
        </row>
        <row r="16">
          <cell r="EZ16">
            <v>49</v>
          </cell>
          <cell r="FA16">
            <v>64</v>
          </cell>
          <cell r="FB16">
            <v>50</v>
          </cell>
        </row>
        <row r="19">
          <cell r="EL19">
            <v>0</v>
          </cell>
          <cell r="EM19">
            <v>0</v>
          </cell>
          <cell r="EN19">
            <v>0</v>
          </cell>
          <cell r="EZ19">
            <v>599</v>
          </cell>
          <cell r="FA19">
            <v>574</v>
          </cell>
          <cell r="FB19">
            <v>674</v>
          </cell>
        </row>
        <row r="22">
          <cell r="FB22">
            <v>16135</v>
          </cell>
        </row>
        <row r="23">
          <cell r="FB23">
            <v>15903</v>
          </cell>
        </row>
        <row r="27">
          <cell r="FB27">
            <v>657</v>
          </cell>
        </row>
        <row r="28">
          <cell r="FB28">
            <v>597</v>
          </cell>
        </row>
        <row r="32">
          <cell r="EZ32">
            <v>2862</v>
          </cell>
          <cell r="FA32">
            <v>3388</v>
          </cell>
          <cell r="FB32">
            <v>2674</v>
          </cell>
        </row>
        <row r="33">
          <cell r="EZ33">
            <v>2602</v>
          </cell>
          <cell r="FA33">
            <v>3467</v>
          </cell>
          <cell r="FB33">
            <v>2945</v>
          </cell>
        </row>
        <row r="37">
          <cell r="EZ37">
            <v>33</v>
          </cell>
          <cell r="FA37">
            <v>59</v>
          </cell>
          <cell r="FB37">
            <v>47</v>
          </cell>
        </row>
        <row r="38">
          <cell r="EZ38">
            <v>26</v>
          </cell>
          <cell r="FA38">
            <v>49</v>
          </cell>
          <cell r="FB38">
            <v>44</v>
          </cell>
        </row>
        <row r="41">
          <cell r="EL41">
            <v>0</v>
          </cell>
          <cell r="EM41">
            <v>0</v>
          </cell>
          <cell r="EN41">
            <v>0</v>
          </cell>
          <cell r="EZ41">
            <v>31136</v>
          </cell>
          <cell r="FA41">
            <v>30347</v>
          </cell>
          <cell r="FB41">
            <v>37657</v>
          </cell>
        </row>
        <row r="47">
          <cell r="FB47">
            <v>57</v>
          </cell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K58"/>
        </row>
        <row r="70">
          <cell r="FB70">
            <v>6870</v>
          </cell>
        </row>
        <row r="71">
          <cell r="FB71">
            <v>9033</v>
          </cell>
        </row>
        <row r="73">
          <cell r="FB73">
            <v>1272</v>
          </cell>
        </row>
        <row r="74">
          <cell r="FB74">
            <v>1673</v>
          </cell>
        </row>
      </sheetData>
      <sheetData sheetId="37">
        <row r="4">
          <cell r="FB4">
            <v>19</v>
          </cell>
        </row>
        <row r="5">
          <cell r="FB5">
            <v>19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52</v>
          </cell>
          <cell r="EN19">
            <v>78</v>
          </cell>
          <cell r="EZ19">
            <v>26</v>
          </cell>
          <cell r="FA19">
            <v>10</v>
          </cell>
          <cell r="FB19">
            <v>38</v>
          </cell>
        </row>
        <row r="22">
          <cell r="FB22">
            <v>1206</v>
          </cell>
        </row>
        <row r="23">
          <cell r="FB23">
            <v>1287</v>
          </cell>
        </row>
        <row r="27">
          <cell r="FB27">
            <v>66</v>
          </cell>
        </row>
        <row r="28">
          <cell r="FB28">
            <v>19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Z41">
            <v>1669</v>
          </cell>
          <cell r="FA41">
            <v>590</v>
          </cell>
          <cell r="FB41">
            <v>2493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AJ57"/>
        </row>
        <row r="58">
          <cell r="AJ58"/>
        </row>
      </sheetData>
      <sheetData sheetId="38"/>
      <sheetData sheetId="39">
        <row r="4">
          <cell r="FB4">
            <v>183</v>
          </cell>
        </row>
        <row r="5">
          <cell r="FB5">
            <v>183</v>
          </cell>
        </row>
        <row r="8">
          <cell r="FB8"/>
        </row>
        <row r="9">
          <cell r="FB9"/>
        </row>
        <row r="19">
          <cell r="EL19">
            <v>156</v>
          </cell>
          <cell r="EM19">
            <v>202</v>
          </cell>
          <cell r="EN19">
            <v>246</v>
          </cell>
          <cell r="EZ19">
            <v>308</v>
          </cell>
          <cell r="FA19">
            <v>274</v>
          </cell>
          <cell r="FB19">
            <v>366</v>
          </cell>
        </row>
        <row r="22">
          <cell r="FB22">
            <v>11018</v>
          </cell>
        </row>
        <row r="23">
          <cell r="FB23">
            <v>11602</v>
          </cell>
        </row>
        <row r="27">
          <cell r="FB27">
            <v>395</v>
          </cell>
        </row>
        <row r="28">
          <cell r="FB28">
            <v>417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Z41">
            <v>18312</v>
          </cell>
          <cell r="FA41">
            <v>15679</v>
          </cell>
          <cell r="FB41">
            <v>22620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40">
        <row r="4">
          <cell r="FB4"/>
        </row>
        <row r="5">
          <cell r="FB5"/>
        </row>
        <row r="8">
          <cell r="FB8"/>
        </row>
        <row r="9">
          <cell r="FB9"/>
        </row>
        <row r="19">
          <cell r="EL19">
            <v>14</v>
          </cell>
          <cell r="EM19">
            <v>0</v>
          </cell>
          <cell r="EN19">
            <v>0</v>
          </cell>
          <cell r="EZ19">
            <v>0</v>
          </cell>
          <cell r="FA19">
            <v>0</v>
          </cell>
          <cell r="FB19">
            <v>0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41">
          <cell r="EL41">
            <v>1079</v>
          </cell>
          <cell r="EM41">
            <v>0</v>
          </cell>
          <cell r="EN41">
            <v>0</v>
          </cell>
          <cell r="EZ41">
            <v>0</v>
          </cell>
          <cell r="FA41">
            <v>0</v>
          </cell>
          <cell r="FB41">
            <v>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AJ57"/>
        </row>
        <row r="58">
          <cell r="AJ58"/>
        </row>
      </sheetData>
      <sheetData sheetId="41"/>
      <sheetData sheetId="42">
        <row r="4">
          <cell r="FB4">
            <v>1619</v>
          </cell>
        </row>
        <row r="5">
          <cell r="FB5">
            <v>1618</v>
          </cell>
        </row>
        <row r="8">
          <cell r="FB8"/>
        </row>
        <row r="9">
          <cell r="FB9">
            <v>3</v>
          </cell>
        </row>
        <row r="15">
          <cell r="EZ15">
            <v>103</v>
          </cell>
          <cell r="FA15">
            <v>92</v>
          </cell>
          <cell r="FB15">
            <v>168</v>
          </cell>
        </row>
        <row r="16">
          <cell r="EZ16">
            <v>102</v>
          </cell>
          <cell r="FA16">
            <v>97</v>
          </cell>
          <cell r="FB16">
            <v>166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Z19">
            <v>3344</v>
          </cell>
          <cell r="FA19">
            <v>2955</v>
          </cell>
          <cell r="FB19">
            <v>3574</v>
          </cell>
        </row>
        <row r="22">
          <cell r="FB22">
            <v>79260</v>
          </cell>
        </row>
        <row r="23">
          <cell r="FB23">
            <v>79505</v>
          </cell>
        </row>
        <row r="27">
          <cell r="FB27">
            <v>3108</v>
          </cell>
        </row>
        <row r="28">
          <cell r="FB28">
            <v>2902</v>
          </cell>
        </row>
        <row r="32">
          <cell r="EZ32">
            <v>5986</v>
          </cell>
          <cell r="FA32">
            <v>5797</v>
          </cell>
          <cell r="FB32">
            <v>9922</v>
          </cell>
        </row>
        <row r="33">
          <cell r="EZ33">
            <v>6062</v>
          </cell>
          <cell r="FA33">
            <v>6157</v>
          </cell>
          <cell r="FB33">
            <v>9894</v>
          </cell>
        </row>
        <row r="37">
          <cell r="EZ37">
            <v>112</v>
          </cell>
          <cell r="FA37">
            <v>136</v>
          </cell>
          <cell r="FB37">
            <v>114</v>
          </cell>
        </row>
        <row r="38">
          <cell r="EZ38">
            <v>88</v>
          </cell>
          <cell r="FA38">
            <v>145</v>
          </cell>
          <cell r="FB38">
            <v>154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Z41">
            <v>162729</v>
          </cell>
          <cell r="FA41">
            <v>143573</v>
          </cell>
          <cell r="FB41">
            <v>178581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  <row r="70">
          <cell r="FB70">
            <v>24329</v>
          </cell>
        </row>
        <row r="71">
          <cell r="FB71">
            <v>55176</v>
          </cell>
        </row>
        <row r="73">
          <cell r="FB73">
            <v>3028</v>
          </cell>
        </row>
        <row r="74">
          <cell r="FB74">
            <v>6866</v>
          </cell>
        </row>
      </sheetData>
      <sheetData sheetId="43">
        <row r="4">
          <cell r="FB4">
            <v>22</v>
          </cell>
        </row>
        <row r="5">
          <cell r="FB5">
            <v>22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0</v>
          </cell>
          <cell r="EN19">
            <v>0</v>
          </cell>
          <cell r="EZ19">
            <v>34</v>
          </cell>
          <cell r="FA19">
            <v>40</v>
          </cell>
          <cell r="FB19">
            <v>44</v>
          </cell>
        </row>
        <row r="22">
          <cell r="FB22">
            <v>1027</v>
          </cell>
        </row>
        <row r="23">
          <cell r="FB23">
            <v>1112</v>
          </cell>
        </row>
        <row r="27">
          <cell r="FB27">
            <v>35</v>
          </cell>
        </row>
        <row r="28">
          <cell r="FB28">
            <v>37</v>
          </cell>
        </row>
        <row r="41">
          <cell r="EL41">
            <v>0</v>
          </cell>
          <cell r="EM41">
            <v>0</v>
          </cell>
          <cell r="EN41">
            <v>0</v>
          </cell>
          <cell r="EZ41">
            <v>1314</v>
          </cell>
          <cell r="FA41">
            <v>1518</v>
          </cell>
          <cell r="FB41">
            <v>2139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G58"/>
        </row>
      </sheetData>
      <sheetData sheetId="44">
        <row r="4">
          <cell r="FB4">
            <v>138</v>
          </cell>
        </row>
        <row r="5">
          <cell r="FB5">
            <v>138</v>
          </cell>
        </row>
        <row r="8">
          <cell r="FB8"/>
        </row>
        <row r="9">
          <cell r="FB9"/>
        </row>
        <row r="19">
          <cell r="EL19">
            <v>156</v>
          </cell>
          <cell r="EM19">
            <v>202</v>
          </cell>
          <cell r="EN19">
            <v>284</v>
          </cell>
          <cell r="EZ19">
            <v>270</v>
          </cell>
          <cell r="FA19">
            <v>242</v>
          </cell>
          <cell r="FB19">
            <v>276</v>
          </cell>
        </row>
        <row r="22">
          <cell r="FB22">
            <v>6923</v>
          </cell>
        </row>
        <row r="23">
          <cell r="FB23">
            <v>7312</v>
          </cell>
        </row>
        <row r="27">
          <cell r="FB27">
            <v>261</v>
          </cell>
        </row>
        <row r="28">
          <cell r="FB28">
            <v>312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Z41">
            <v>9578</v>
          </cell>
          <cell r="FA41">
            <v>10413</v>
          </cell>
          <cell r="FB41">
            <v>14235</v>
          </cell>
        </row>
        <row r="47">
          <cell r="FB47"/>
        </row>
        <row r="48">
          <cell r="FB48"/>
        </row>
        <row r="52">
          <cell r="FB52">
            <v>166</v>
          </cell>
        </row>
        <row r="53">
          <cell r="FB53"/>
        </row>
        <row r="57">
          <cell r="FB57"/>
        </row>
        <row r="58">
          <cell r="FB58"/>
        </row>
      </sheetData>
      <sheetData sheetId="45">
        <row r="4">
          <cell r="FB4">
            <v>126</v>
          </cell>
        </row>
        <row r="5">
          <cell r="FB5">
            <v>126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128</v>
          </cell>
          <cell r="EN19">
            <v>162</v>
          </cell>
          <cell r="EZ19">
            <v>234</v>
          </cell>
          <cell r="FA19">
            <v>198</v>
          </cell>
          <cell r="FB19">
            <v>252</v>
          </cell>
        </row>
        <row r="22">
          <cell r="FB22">
            <v>7476</v>
          </cell>
        </row>
        <row r="23">
          <cell r="FB23">
            <v>7652</v>
          </cell>
        </row>
        <row r="27">
          <cell r="FB27">
            <v>274</v>
          </cell>
        </row>
        <row r="28">
          <cell r="FB28">
            <v>223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Z41">
            <v>13131</v>
          </cell>
          <cell r="FA41">
            <v>10499</v>
          </cell>
          <cell r="FB41">
            <v>15128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</sheetData>
      <sheetData sheetId="46"/>
      <sheetData sheetId="47">
        <row r="4">
          <cell r="FB4">
            <v>2918</v>
          </cell>
        </row>
        <row r="5">
          <cell r="FB5">
            <v>2905</v>
          </cell>
        </row>
        <row r="8">
          <cell r="FB8"/>
        </row>
        <row r="9">
          <cell r="FB9">
            <v>9</v>
          </cell>
        </row>
        <row r="15">
          <cell r="EZ15">
            <v>85</v>
          </cell>
          <cell r="FA15">
            <v>78</v>
          </cell>
          <cell r="FB15">
            <v>84</v>
          </cell>
        </row>
        <row r="16">
          <cell r="EZ16">
            <v>86</v>
          </cell>
          <cell r="FA16">
            <v>75</v>
          </cell>
          <cell r="FB16">
            <v>89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Z19">
            <v>4715</v>
          </cell>
          <cell r="FA19">
            <v>4481</v>
          </cell>
          <cell r="FB19">
            <v>6005</v>
          </cell>
        </row>
        <row r="22">
          <cell r="FB22">
            <v>135402</v>
          </cell>
        </row>
        <row r="23">
          <cell r="FB23">
            <v>139268</v>
          </cell>
        </row>
        <row r="27">
          <cell r="FB27">
            <v>5463</v>
          </cell>
        </row>
        <row r="28">
          <cell r="FB28">
            <v>5613</v>
          </cell>
        </row>
        <row r="32">
          <cell r="EZ32">
            <v>5070</v>
          </cell>
          <cell r="FA32">
            <v>4680</v>
          </cell>
          <cell r="FB32">
            <v>4572</v>
          </cell>
        </row>
        <row r="33">
          <cell r="EZ33">
            <v>4789</v>
          </cell>
          <cell r="FA33">
            <v>4349</v>
          </cell>
          <cell r="FB33">
            <v>5099</v>
          </cell>
        </row>
        <row r="37">
          <cell r="EZ37">
            <v>36</v>
          </cell>
          <cell r="FA37">
            <v>50</v>
          </cell>
          <cell r="FB37">
            <v>42</v>
          </cell>
        </row>
        <row r="38">
          <cell r="EZ38">
            <v>41</v>
          </cell>
          <cell r="FA38">
            <v>52</v>
          </cell>
          <cell r="FB38">
            <v>46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Z41">
            <v>204085</v>
          </cell>
          <cell r="FA41">
            <v>198392</v>
          </cell>
          <cell r="FB41">
            <v>284341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  <row r="70">
          <cell r="FB70">
            <v>43452</v>
          </cell>
        </row>
        <row r="71">
          <cell r="FB71">
            <v>95816</v>
          </cell>
        </row>
        <row r="73">
          <cell r="FB73">
            <v>1591</v>
          </cell>
        </row>
        <row r="74">
          <cell r="FB74">
            <v>3508</v>
          </cell>
        </row>
      </sheetData>
      <sheetData sheetId="48">
        <row r="4">
          <cell r="FB4">
            <v>137</v>
          </cell>
        </row>
        <row r="5">
          <cell r="FB5">
            <v>137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362</v>
          </cell>
          <cell r="EN19">
            <v>436</v>
          </cell>
          <cell r="EZ19">
            <v>274</v>
          </cell>
          <cell r="FA19">
            <v>252</v>
          </cell>
          <cell r="FB19">
            <v>274</v>
          </cell>
        </row>
        <row r="22">
          <cell r="FB22">
            <v>9475</v>
          </cell>
        </row>
        <row r="23">
          <cell r="FB23">
            <v>9650</v>
          </cell>
        </row>
        <row r="27">
          <cell r="FB27">
            <v>191</v>
          </cell>
        </row>
        <row r="28">
          <cell r="FB28">
            <v>163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Z41">
            <v>18583</v>
          </cell>
          <cell r="FA41">
            <v>16596</v>
          </cell>
          <cell r="FB41">
            <v>19125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</row>
      </sheetData>
      <sheetData sheetId="50">
        <row r="4">
          <cell r="FB4">
            <v>5</v>
          </cell>
        </row>
        <row r="5">
          <cell r="FB5">
            <v>5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0</v>
          </cell>
          <cell r="EN19">
            <v>0</v>
          </cell>
          <cell r="EZ19">
            <v>0</v>
          </cell>
          <cell r="FA19">
            <v>4</v>
          </cell>
          <cell r="FB19">
            <v>10</v>
          </cell>
        </row>
        <row r="22">
          <cell r="FB22">
            <v>205</v>
          </cell>
        </row>
        <row r="23">
          <cell r="FB23">
            <v>226</v>
          </cell>
        </row>
        <row r="27">
          <cell r="FB27">
            <v>29</v>
          </cell>
        </row>
        <row r="28">
          <cell r="FB28">
            <v>10</v>
          </cell>
        </row>
        <row r="41">
          <cell r="EL41">
            <v>0</v>
          </cell>
          <cell r="EM41">
            <v>0</v>
          </cell>
          <cell r="EN41">
            <v>0</v>
          </cell>
          <cell r="EZ41">
            <v>0</v>
          </cell>
          <cell r="FA41">
            <v>232</v>
          </cell>
          <cell r="FB41">
            <v>431</v>
          </cell>
        </row>
        <row r="47">
          <cell r="FB47">
            <v>28</v>
          </cell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FB58"/>
        </row>
      </sheetData>
      <sheetData sheetId="51">
        <row r="4">
          <cell r="FB4">
            <v>31</v>
          </cell>
        </row>
        <row r="5">
          <cell r="FB5">
            <v>31</v>
          </cell>
        </row>
        <row r="8">
          <cell r="FB8"/>
        </row>
        <row r="9">
          <cell r="FB9"/>
        </row>
        <row r="19">
          <cell r="EL19">
            <v>0</v>
          </cell>
          <cell r="EM19">
            <v>0</v>
          </cell>
          <cell r="EN19">
            <v>60</v>
          </cell>
          <cell r="EZ19">
            <v>57</v>
          </cell>
          <cell r="FA19">
            <v>56</v>
          </cell>
          <cell r="FB19">
            <v>62</v>
          </cell>
        </row>
        <row r="22">
          <cell r="FB22">
            <v>2126</v>
          </cell>
        </row>
        <row r="23">
          <cell r="FB23">
            <v>2095</v>
          </cell>
        </row>
        <row r="27">
          <cell r="FB27">
            <v>76</v>
          </cell>
        </row>
        <row r="28">
          <cell r="FB28">
            <v>79</v>
          </cell>
        </row>
        <row r="41">
          <cell r="EL41">
            <v>0</v>
          </cell>
          <cell r="EM41">
            <v>0</v>
          </cell>
          <cell r="EN41">
            <v>3995</v>
          </cell>
          <cell r="EZ41">
            <v>3510</v>
          </cell>
          <cell r="FA41">
            <v>3407</v>
          </cell>
          <cell r="FB41">
            <v>4221</v>
          </cell>
        </row>
        <row r="47">
          <cell r="FB47">
            <v>1475</v>
          </cell>
        </row>
        <row r="48">
          <cell r="FB48">
            <v>4451</v>
          </cell>
        </row>
        <row r="52">
          <cell r="FB52">
            <v>2</v>
          </cell>
        </row>
        <row r="53">
          <cell r="FB53"/>
        </row>
        <row r="57">
          <cell r="FB57"/>
        </row>
        <row r="58">
          <cell r="FB58"/>
        </row>
      </sheetData>
      <sheetData sheetId="52">
        <row r="4">
          <cell r="FB4">
            <v>5</v>
          </cell>
        </row>
        <row r="5">
          <cell r="FB5">
            <v>5</v>
          </cell>
        </row>
        <row r="8">
          <cell r="FB8"/>
        </row>
        <row r="9">
          <cell r="FB9"/>
        </row>
        <row r="19">
          <cell r="EL19">
            <v>136</v>
          </cell>
          <cell r="EM19">
            <v>138</v>
          </cell>
          <cell r="EN19">
            <v>140</v>
          </cell>
          <cell r="EZ19">
            <v>138</v>
          </cell>
          <cell r="FA19">
            <v>6</v>
          </cell>
          <cell r="FB19">
            <v>10</v>
          </cell>
        </row>
        <row r="22">
          <cell r="FB22">
            <v>151</v>
          </cell>
        </row>
        <row r="23">
          <cell r="FB23">
            <v>274</v>
          </cell>
        </row>
        <row r="27">
          <cell r="FB27">
            <v>13</v>
          </cell>
        </row>
        <row r="28">
          <cell r="FB28">
            <v>7</v>
          </cell>
        </row>
        <row r="41">
          <cell r="EL41">
            <v>6152</v>
          </cell>
          <cell r="EM41">
            <v>6170</v>
          </cell>
          <cell r="EN41">
            <v>5888</v>
          </cell>
          <cell r="EZ41">
            <v>7577</v>
          </cell>
          <cell r="FA41">
            <v>241</v>
          </cell>
          <cell r="FB41">
            <v>425</v>
          </cell>
        </row>
        <row r="47">
          <cell r="FB47">
            <v>42</v>
          </cell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H58"/>
        </row>
        <row r="70">
          <cell r="FB70">
            <v>154</v>
          </cell>
        </row>
        <row r="71">
          <cell r="FB71">
            <v>120</v>
          </cell>
        </row>
        <row r="73">
          <cell r="FB73"/>
        </row>
        <row r="74">
          <cell r="FB74"/>
        </row>
      </sheetData>
      <sheetData sheetId="53">
        <row r="4">
          <cell r="FB4"/>
        </row>
        <row r="5">
          <cell r="FB5"/>
        </row>
        <row r="8">
          <cell r="FB8"/>
        </row>
        <row r="9">
          <cell r="FB9"/>
        </row>
        <row r="19">
          <cell r="EL19">
            <v>0</v>
          </cell>
          <cell r="EM19">
            <v>176</v>
          </cell>
          <cell r="EN19">
            <v>152</v>
          </cell>
          <cell r="EZ19">
            <v>24</v>
          </cell>
          <cell r="FA19">
            <v>0</v>
          </cell>
          <cell r="FB19">
            <v>0</v>
          </cell>
        </row>
        <row r="22">
          <cell r="FB22"/>
        </row>
        <row r="23">
          <cell r="FB23"/>
        </row>
        <row r="27">
          <cell r="FB27"/>
        </row>
        <row r="28">
          <cell r="FB28"/>
        </row>
        <row r="41">
          <cell r="EL41">
            <v>0</v>
          </cell>
          <cell r="EM41">
            <v>9540</v>
          </cell>
          <cell r="EN41">
            <v>9375</v>
          </cell>
          <cell r="EZ41">
            <v>1273</v>
          </cell>
          <cell r="FA41">
            <v>0</v>
          </cell>
          <cell r="FB41">
            <v>0</v>
          </cell>
        </row>
        <row r="47">
          <cell r="FB47"/>
        </row>
        <row r="48">
          <cell r="FB48"/>
        </row>
        <row r="52">
          <cell r="FB52"/>
        </row>
        <row r="53">
          <cell r="FB53"/>
        </row>
        <row r="57">
          <cell r="FB57"/>
        </row>
        <row r="58">
          <cell r="BG58"/>
        </row>
      </sheetData>
      <sheetData sheetId="54"/>
      <sheetData sheetId="55"/>
      <sheetData sheetId="56"/>
      <sheetData sheetId="57">
        <row r="4">
          <cell r="FB4"/>
        </row>
        <row r="5">
          <cell r="FB5"/>
        </row>
        <row r="15">
          <cell r="EZ15"/>
          <cell r="FA15"/>
          <cell r="FB15"/>
        </row>
        <row r="16">
          <cell r="EZ16"/>
          <cell r="FA16"/>
          <cell r="FB16"/>
        </row>
        <row r="22">
          <cell r="FB22"/>
        </row>
        <row r="23">
          <cell r="FB23"/>
        </row>
        <row r="32">
          <cell r="EZ32"/>
          <cell r="FA32"/>
          <cell r="FB32"/>
        </row>
        <row r="33">
          <cell r="EZ33"/>
          <cell r="FA33"/>
          <cell r="FB33"/>
        </row>
        <row r="37">
          <cell r="EZ37"/>
          <cell r="FA37"/>
          <cell r="FB37"/>
        </row>
        <row r="38">
          <cell r="EZ38"/>
          <cell r="FA38"/>
          <cell r="FB38"/>
        </row>
      </sheetData>
      <sheetData sheetId="58">
        <row r="4">
          <cell r="FB4"/>
        </row>
        <row r="5">
          <cell r="FB5"/>
        </row>
        <row r="15">
          <cell r="FB15"/>
        </row>
        <row r="16">
          <cell r="FB16"/>
        </row>
        <row r="22">
          <cell r="FB22"/>
        </row>
        <row r="23">
          <cell r="FB23"/>
        </row>
        <row r="32">
          <cell r="FB32"/>
        </row>
        <row r="33">
          <cell r="FB33"/>
        </row>
      </sheetData>
      <sheetData sheetId="59">
        <row r="15">
          <cell r="EZ15"/>
          <cell r="FA15">
            <v>1</v>
          </cell>
          <cell r="FB15"/>
        </row>
        <row r="16">
          <cell r="EZ16"/>
          <cell r="FA16">
            <v>1</v>
          </cell>
          <cell r="FB16"/>
        </row>
        <row r="32">
          <cell r="EZ32"/>
          <cell r="FA32">
            <v>103</v>
          </cell>
          <cell r="FB32"/>
        </row>
        <row r="33">
          <cell r="EZ33"/>
          <cell r="FA33">
            <v>102</v>
          </cell>
          <cell r="FB33"/>
        </row>
        <row r="37">
          <cell r="EZ37"/>
          <cell r="FA37"/>
          <cell r="FB37"/>
        </row>
        <row r="38">
          <cell r="EZ38"/>
          <cell r="FA38"/>
          <cell r="FB38"/>
        </row>
      </sheetData>
      <sheetData sheetId="60"/>
      <sheetData sheetId="61">
        <row r="4">
          <cell r="FB4">
            <v>1</v>
          </cell>
        </row>
        <row r="5">
          <cell r="FB5"/>
        </row>
        <row r="15">
          <cell r="EZ15"/>
          <cell r="FA15"/>
          <cell r="FB15"/>
        </row>
        <row r="16">
          <cell r="EZ16"/>
          <cell r="FA16"/>
          <cell r="FB16"/>
        </row>
        <row r="22">
          <cell r="FB22">
            <v>49</v>
          </cell>
        </row>
        <row r="23">
          <cell r="FB23"/>
        </row>
        <row r="32">
          <cell r="EZ32"/>
          <cell r="FA32"/>
          <cell r="FB32"/>
        </row>
        <row r="33">
          <cell r="EZ33"/>
          <cell r="FA33"/>
          <cell r="FB33"/>
        </row>
        <row r="37">
          <cell r="EZ37"/>
          <cell r="FA37"/>
          <cell r="FB37"/>
        </row>
        <row r="38">
          <cell r="EZ38"/>
          <cell r="FA38"/>
          <cell r="FB38"/>
        </row>
      </sheetData>
      <sheetData sheetId="62"/>
      <sheetData sheetId="63">
        <row r="4">
          <cell r="FB4">
            <v>22</v>
          </cell>
        </row>
        <row r="5">
          <cell r="FB5">
            <v>22</v>
          </cell>
        </row>
        <row r="12">
          <cell r="EL12">
            <v>42</v>
          </cell>
          <cell r="EM12">
            <v>42</v>
          </cell>
          <cell r="EN12">
            <v>46</v>
          </cell>
          <cell r="EZ12">
            <v>44</v>
          </cell>
          <cell r="FA12">
            <v>40</v>
          </cell>
          <cell r="FB12">
            <v>44</v>
          </cell>
        </row>
        <row r="47">
          <cell r="FB47">
            <v>807029</v>
          </cell>
        </row>
        <row r="48">
          <cell r="FB48"/>
        </row>
        <row r="52">
          <cell r="FB52">
            <v>539325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1034709</v>
          </cell>
          <cell r="EM64">
            <v>1004065</v>
          </cell>
          <cell r="EN64">
            <v>1166815</v>
          </cell>
          <cell r="EZ64">
            <v>1093963</v>
          </cell>
          <cell r="FA64">
            <v>1067092</v>
          </cell>
          <cell r="FB64">
            <v>1346354</v>
          </cell>
        </row>
      </sheetData>
      <sheetData sheetId="64">
        <row r="4">
          <cell r="FB4">
            <v>36</v>
          </cell>
        </row>
        <row r="5">
          <cell r="FB5">
            <v>36</v>
          </cell>
        </row>
        <row r="12">
          <cell r="EL12">
            <v>60</v>
          </cell>
          <cell r="EM12">
            <v>60</v>
          </cell>
          <cell r="EN12">
            <v>72</v>
          </cell>
          <cell r="EZ12">
            <v>62</v>
          </cell>
          <cell r="FA12">
            <v>64</v>
          </cell>
          <cell r="FB12">
            <v>72</v>
          </cell>
        </row>
        <row r="15">
          <cell r="FB15"/>
        </row>
        <row r="47">
          <cell r="FB47">
            <v>47085</v>
          </cell>
        </row>
        <row r="48">
          <cell r="FB48"/>
        </row>
        <row r="52">
          <cell r="FB52">
            <v>48468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70629</v>
          </cell>
          <cell r="EM64">
            <v>72774</v>
          </cell>
          <cell r="EN64">
            <v>53492</v>
          </cell>
          <cell r="EZ64">
            <v>79728</v>
          </cell>
          <cell r="FA64">
            <v>82812</v>
          </cell>
          <cell r="FB64">
            <v>95553</v>
          </cell>
        </row>
      </sheetData>
      <sheetData sheetId="65">
        <row r="12">
          <cell r="EL12">
            <v>0</v>
          </cell>
          <cell r="EM12">
            <v>0</v>
          </cell>
          <cell r="EN12">
            <v>0</v>
          </cell>
          <cell r="EZ12">
            <v>0</v>
          </cell>
          <cell r="FA12">
            <v>0</v>
          </cell>
          <cell r="FB12">
            <v>0</v>
          </cell>
        </row>
        <row r="15">
          <cell r="FB15">
            <v>23</v>
          </cell>
        </row>
        <row r="16">
          <cell r="FB16">
            <v>23</v>
          </cell>
        </row>
        <row r="47">
          <cell r="FB47">
            <v>24989</v>
          </cell>
        </row>
        <row r="48">
          <cell r="FB48"/>
        </row>
        <row r="52">
          <cell r="FB52">
            <v>81267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82875</v>
          </cell>
          <cell r="EM64">
            <v>77642</v>
          </cell>
          <cell r="EN64">
            <v>83641</v>
          </cell>
          <cell r="EZ64">
            <v>91167</v>
          </cell>
          <cell r="FA64">
            <v>84036</v>
          </cell>
          <cell r="FB64">
            <v>106256</v>
          </cell>
        </row>
      </sheetData>
      <sheetData sheetId="66">
        <row r="4">
          <cell r="FB4">
            <v>99</v>
          </cell>
        </row>
        <row r="5">
          <cell r="FB5">
            <v>99</v>
          </cell>
        </row>
        <row r="12">
          <cell r="EL12">
            <v>168</v>
          </cell>
          <cell r="EM12">
            <v>158</v>
          </cell>
          <cell r="EN12">
            <v>186</v>
          </cell>
          <cell r="EZ12">
            <v>176</v>
          </cell>
          <cell r="FA12">
            <v>168</v>
          </cell>
          <cell r="FB12">
            <v>198</v>
          </cell>
        </row>
        <row r="15">
          <cell r="FB15"/>
        </row>
        <row r="47">
          <cell r="FB47">
            <v>9419141</v>
          </cell>
        </row>
        <row r="48">
          <cell r="FB48"/>
        </row>
        <row r="52">
          <cell r="FB52">
            <v>8916664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13508046</v>
          </cell>
          <cell r="EM64">
            <v>13691560</v>
          </cell>
          <cell r="EN64">
            <v>17008175</v>
          </cell>
          <cell r="EZ64">
            <v>16128912</v>
          </cell>
          <cell r="FA64">
            <v>15428532</v>
          </cell>
          <cell r="FB64">
            <v>18335805</v>
          </cell>
        </row>
      </sheetData>
      <sheetData sheetId="67">
        <row r="4">
          <cell r="FB4">
            <v>102</v>
          </cell>
        </row>
        <row r="5">
          <cell r="FB5">
            <v>102</v>
          </cell>
        </row>
        <row r="12">
          <cell r="EL12">
            <v>166</v>
          </cell>
          <cell r="EM12">
            <v>158</v>
          </cell>
          <cell r="EN12">
            <v>180</v>
          </cell>
          <cell r="EZ12">
            <v>182</v>
          </cell>
          <cell r="FA12">
            <v>166</v>
          </cell>
          <cell r="FB12">
            <v>204</v>
          </cell>
        </row>
        <row r="15">
          <cell r="FB15">
            <v>18</v>
          </cell>
        </row>
        <row r="16">
          <cell r="FB16">
            <v>18</v>
          </cell>
        </row>
        <row r="47">
          <cell r="FB47">
            <v>5742027</v>
          </cell>
        </row>
        <row r="48">
          <cell r="FB48">
            <v>899</v>
          </cell>
        </row>
        <row r="52">
          <cell r="FB52">
            <v>5201531</v>
          </cell>
        </row>
        <row r="53">
          <cell r="FB53">
            <v>639145</v>
          </cell>
        </row>
        <row r="57">
          <cell r="FB57"/>
        </row>
        <row r="58">
          <cell r="FB58"/>
        </row>
        <row r="64">
          <cell r="EL64">
            <v>4632931</v>
          </cell>
          <cell r="EM64">
            <v>8376226</v>
          </cell>
          <cell r="EN64">
            <v>10239742</v>
          </cell>
          <cell r="EZ64">
            <v>8668992</v>
          </cell>
          <cell r="FA64">
            <v>9141105</v>
          </cell>
          <cell r="FB64">
            <v>11583602</v>
          </cell>
        </row>
      </sheetData>
      <sheetData sheetId="68"/>
      <sheetData sheetId="69"/>
      <sheetData sheetId="70"/>
      <sheetData sheetId="71">
        <row r="4">
          <cell r="FB4">
            <v>283</v>
          </cell>
        </row>
        <row r="5">
          <cell r="FB5">
            <v>283</v>
          </cell>
        </row>
        <row r="12">
          <cell r="EL12">
            <v>456</v>
          </cell>
          <cell r="EM12">
            <v>438</v>
          </cell>
          <cell r="EN12">
            <v>486</v>
          </cell>
          <cell r="EZ12">
            <v>540</v>
          </cell>
          <cell r="FA12">
            <v>492</v>
          </cell>
          <cell r="FB12">
            <v>566</v>
          </cell>
        </row>
      </sheetData>
      <sheetData sheetId="72">
        <row r="4">
          <cell r="FB4">
            <v>24</v>
          </cell>
        </row>
        <row r="5">
          <cell r="FB5">
            <v>24</v>
          </cell>
        </row>
        <row r="12">
          <cell r="EL12">
            <v>42</v>
          </cell>
          <cell r="EM12">
            <v>40</v>
          </cell>
          <cell r="EN12">
            <v>48</v>
          </cell>
          <cell r="EZ12">
            <v>40</v>
          </cell>
          <cell r="FA12">
            <v>42</v>
          </cell>
          <cell r="FB12">
            <v>48</v>
          </cell>
        </row>
        <row r="47">
          <cell r="FB47">
            <v>34294</v>
          </cell>
        </row>
        <row r="48">
          <cell r="FB48"/>
        </row>
        <row r="52">
          <cell r="FB52">
            <v>35951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56525</v>
          </cell>
          <cell r="EM64">
            <v>55962</v>
          </cell>
          <cell r="EN64">
            <v>67121</v>
          </cell>
          <cell r="EZ64">
            <v>60838</v>
          </cell>
          <cell r="FA64">
            <v>59935</v>
          </cell>
          <cell r="FB64">
            <v>70245</v>
          </cell>
        </row>
      </sheetData>
      <sheetData sheetId="73">
        <row r="4">
          <cell r="FB4">
            <v>23</v>
          </cell>
        </row>
        <row r="5">
          <cell r="FB5">
            <v>23</v>
          </cell>
        </row>
        <row r="12">
          <cell r="EL12">
            <v>42</v>
          </cell>
          <cell r="EM12">
            <v>38</v>
          </cell>
          <cell r="EN12">
            <v>46</v>
          </cell>
          <cell r="EZ12">
            <v>40</v>
          </cell>
          <cell r="FA12">
            <v>34</v>
          </cell>
          <cell r="FB12">
            <v>46</v>
          </cell>
        </row>
        <row r="47">
          <cell r="FB47">
            <v>48251</v>
          </cell>
        </row>
        <row r="48">
          <cell r="FB48"/>
        </row>
        <row r="52">
          <cell r="FB52">
            <v>159790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153663</v>
          </cell>
          <cell r="EM64">
            <v>138958</v>
          </cell>
          <cell r="EN64">
            <v>167837</v>
          </cell>
          <cell r="EZ64">
            <v>158796</v>
          </cell>
          <cell r="FA64">
            <v>143386</v>
          </cell>
          <cell r="FB64">
            <v>208041</v>
          </cell>
        </row>
      </sheetData>
      <sheetData sheetId="74">
        <row r="4">
          <cell r="FB4">
            <v>23</v>
          </cell>
        </row>
        <row r="5">
          <cell r="FB5">
            <v>23</v>
          </cell>
        </row>
        <row r="8">
          <cell r="FB8"/>
        </row>
        <row r="9">
          <cell r="FB9"/>
        </row>
        <row r="12">
          <cell r="EL12">
            <v>40</v>
          </cell>
          <cell r="EM12">
            <v>42</v>
          </cell>
          <cell r="EN12">
            <v>46</v>
          </cell>
          <cell r="EZ12">
            <v>43</v>
          </cell>
          <cell r="FA12">
            <v>40</v>
          </cell>
          <cell r="FB12">
            <v>46</v>
          </cell>
        </row>
        <row r="47">
          <cell r="FB47">
            <v>56077</v>
          </cell>
        </row>
        <row r="48">
          <cell r="FB48"/>
        </row>
        <row r="52">
          <cell r="FB52">
            <v>49543</v>
          </cell>
        </row>
        <row r="53">
          <cell r="FB53"/>
        </row>
        <row r="57">
          <cell r="FB57"/>
        </row>
        <row r="58">
          <cell r="FB58"/>
        </row>
        <row r="64">
          <cell r="EL64">
            <v>65087</v>
          </cell>
          <cell r="EM64">
            <v>64716</v>
          </cell>
          <cell r="EN64">
            <v>78072</v>
          </cell>
          <cell r="EZ64">
            <v>49029</v>
          </cell>
          <cell r="FA64">
            <v>86453</v>
          </cell>
          <cell r="FB64">
            <v>105620</v>
          </cell>
        </row>
      </sheetData>
      <sheetData sheetId="75">
        <row r="4">
          <cell r="FB4">
            <v>20</v>
          </cell>
        </row>
        <row r="5">
          <cell r="FB5">
            <v>20</v>
          </cell>
        </row>
      </sheetData>
      <sheetData sheetId="76">
        <row r="4">
          <cell r="FB4">
            <v>913</v>
          </cell>
        </row>
        <row r="5">
          <cell r="FB5">
            <v>913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4" sqref="A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4">
        <v>42795</v>
      </c>
      <c r="B2" s="17"/>
      <c r="C2" s="17"/>
      <c r="D2" s="521" t="s">
        <v>197</v>
      </c>
      <c r="E2" s="521" t="s">
        <v>172</v>
      </c>
      <c r="F2" s="8"/>
      <c r="G2" s="8"/>
      <c r="H2" s="8"/>
      <c r="I2" s="8"/>
      <c r="J2" s="23"/>
    </row>
    <row r="3" spans="1:14" ht="13.5" thickBot="1" x14ac:dyDescent="0.25">
      <c r="A3" s="390"/>
      <c r="B3" s="8" t="s">
        <v>0</v>
      </c>
      <c r="C3" s="8" t="s">
        <v>1</v>
      </c>
      <c r="D3" s="522"/>
      <c r="E3" s="523"/>
      <c r="F3" s="8" t="s">
        <v>2</v>
      </c>
      <c r="G3" s="8" t="s">
        <v>198</v>
      </c>
      <c r="H3" s="8" t="s">
        <v>173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1295018</v>
      </c>
      <c r="C5" s="296">
        <f>'Major Airline Stats'!J5</f>
        <v>1317395</v>
      </c>
      <c r="D5" s="5">
        <f>'Major Airline Stats'!J6</f>
        <v>2612413</v>
      </c>
      <c r="E5" s="9">
        <f>'[1]Monthly Summary'!D5</f>
        <v>2483798</v>
      </c>
      <c r="F5" s="39">
        <f>(D5-E5)/E5</f>
        <v>5.178158610321773E-2</v>
      </c>
      <c r="G5" s="9">
        <f>+D5+'[2]Monthly Summary'!G5</f>
        <v>6600381</v>
      </c>
      <c r="H5" s="9">
        <f>'[1]Monthly Summary'!G5</f>
        <v>6410045</v>
      </c>
      <c r="I5" s="85">
        <f>(G5-H5)/H5</f>
        <v>2.9693395288176605E-2</v>
      </c>
      <c r="J5" s="9"/>
    </row>
    <row r="6" spans="1:14" x14ac:dyDescent="0.2">
      <c r="A6" s="67" t="s">
        <v>5</v>
      </c>
      <c r="B6" s="294">
        <f>'Regional Major'!M5</f>
        <v>353279</v>
      </c>
      <c r="C6" s="294">
        <f>'Regional Major'!M6</f>
        <v>362243</v>
      </c>
      <c r="D6" s="5">
        <f>B6+C6</f>
        <v>715522</v>
      </c>
      <c r="E6" s="9">
        <f>'[1]Monthly Summary'!D6</f>
        <v>733932</v>
      </c>
      <c r="F6" s="39">
        <f>(D6-E6)/E6</f>
        <v>-2.5084067733795502E-2</v>
      </c>
      <c r="G6" s="9">
        <f>+D6+'[2]Monthly Summary'!G6</f>
        <v>1849521</v>
      </c>
      <c r="H6" s="9">
        <f>'[1]Monthly Summary'!G6</f>
        <v>1971407</v>
      </c>
      <c r="I6" s="85">
        <f>(G6-H6)/H6</f>
        <v>-6.1826908395881723E-2</v>
      </c>
      <c r="J6" s="20"/>
      <c r="K6" s="2"/>
    </row>
    <row r="7" spans="1:14" x14ac:dyDescent="0.2">
      <c r="A7" s="67" t="s">
        <v>6</v>
      </c>
      <c r="B7" s="9">
        <f>Charter!G5</f>
        <v>49</v>
      </c>
      <c r="C7" s="295">
        <f>Charter!G6</f>
        <v>0</v>
      </c>
      <c r="D7" s="5">
        <f>B7+C7</f>
        <v>49</v>
      </c>
      <c r="E7" s="9">
        <f>'[1]Monthly Summary'!D7</f>
        <v>0</v>
      </c>
      <c r="F7" s="39" t="e">
        <f>(D7-E7)/E7</f>
        <v>#DIV/0!</v>
      </c>
      <c r="G7" s="9">
        <f>+D7+'[2]Monthly Summary'!G7</f>
        <v>735</v>
      </c>
      <c r="H7" s="9">
        <f>'[1]Monthly Summary'!G7</f>
        <v>480</v>
      </c>
      <c r="I7" s="85">
        <f>(G7-H7)/H7</f>
        <v>0.53125</v>
      </c>
      <c r="J7" s="20"/>
      <c r="K7" s="2"/>
    </row>
    <row r="8" spans="1:14" x14ac:dyDescent="0.2">
      <c r="A8" s="70" t="s">
        <v>7</v>
      </c>
      <c r="B8" s="148">
        <f>SUM(B5:B7)</f>
        <v>1648346</v>
      </c>
      <c r="C8" s="148">
        <f>SUM(C5:C7)</f>
        <v>1679638</v>
      </c>
      <c r="D8" s="148">
        <f>SUM(D5:D7)</f>
        <v>3327984</v>
      </c>
      <c r="E8" s="148">
        <f>SUM(E5:E7)</f>
        <v>3217730</v>
      </c>
      <c r="F8" s="92">
        <f>(D8-E8)/E8</f>
        <v>3.4264528099001469E-2</v>
      </c>
      <c r="G8" s="148">
        <f>SUM(G5:G7)</f>
        <v>8450637</v>
      </c>
      <c r="H8" s="148">
        <f>SUM(H5:H7)</f>
        <v>8381932</v>
      </c>
      <c r="I8" s="91">
        <f>(G8-H8)/H8</f>
        <v>8.1967975879546628E-3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51748</v>
      </c>
      <c r="C10" s="297">
        <f>'Major Airline Stats'!J10+'Regional Major'!M11</f>
        <v>51949</v>
      </c>
      <c r="D10" s="120">
        <f>SUM(B10:C10)</f>
        <v>103697</v>
      </c>
      <c r="E10" s="120">
        <f>'[1]Monthly Summary'!D10</f>
        <v>98493</v>
      </c>
      <c r="F10" s="93">
        <f>(D10-E10)/E10</f>
        <v>5.2836242169494278E-2</v>
      </c>
      <c r="G10" s="9">
        <f>+D10+'[2]Monthly Summary'!G10</f>
        <v>283892</v>
      </c>
      <c r="H10" s="120">
        <f>'[1]Monthly Summary'!G10</f>
        <v>273502</v>
      </c>
      <c r="I10" s="96">
        <f>(G10-H10)/H10</f>
        <v>3.7988753281511654E-2</v>
      </c>
      <c r="J10" s="264"/>
    </row>
    <row r="11" spans="1:14" ht="15.75" thickBot="1" x14ac:dyDescent="0.3">
      <c r="A11" s="69" t="s">
        <v>13</v>
      </c>
      <c r="B11" s="273">
        <f>B10+B8</f>
        <v>1700094</v>
      </c>
      <c r="C11" s="273">
        <f>C10+C8</f>
        <v>1731587</v>
      </c>
      <c r="D11" s="273">
        <f>D10+D8</f>
        <v>3431681</v>
      </c>
      <c r="E11" s="273">
        <f>E10+E8</f>
        <v>3316223</v>
      </c>
      <c r="F11" s="94">
        <f>(D11-E11)/E11</f>
        <v>3.4816114597842181E-2</v>
      </c>
      <c r="G11" s="273">
        <f>G8+G10</f>
        <v>8734529</v>
      </c>
      <c r="H11" s="273">
        <f>H8+H10</f>
        <v>8655434</v>
      </c>
      <c r="I11" s="97">
        <f>(G11-H11)/H11</f>
        <v>9.1381899509602876E-3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1" t="s">
        <v>197</v>
      </c>
      <c r="E13" s="521" t="s">
        <v>172</v>
      </c>
      <c r="F13" s="466"/>
      <c r="G13" s="466"/>
      <c r="H13" s="466"/>
      <c r="I13" s="466"/>
    </row>
    <row r="14" spans="1:14" ht="13.5" thickBot="1" x14ac:dyDescent="0.25">
      <c r="A14" s="16"/>
      <c r="B14" s="466" t="s">
        <v>225</v>
      </c>
      <c r="C14" s="466" t="s">
        <v>226</v>
      </c>
      <c r="D14" s="522"/>
      <c r="E14" s="523"/>
      <c r="F14" s="466" t="s">
        <v>2</v>
      </c>
      <c r="G14" s="466" t="s">
        <v>198</v>
      </c>
      <c r="H14" s="466" t="s">
        <v>173</v>
      </c>
      <c r="I14" s="466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9643</v>
      </c>
      <c r="C16" s="305">
        <f>'Major Airline Stats'!J16+'Major Airline Stats'!J20</f>
        <v>9646</v>
      </c>
      <c r="D16" s="47">
        <f t="shared" ref="D16:D21" si="0">SUM(B16:C16)</f>
        <v>19289</v>
      </c>
      <c r="E16" s="9">
        <f>'[1]Monthly Summary'!D16</f>
        <v>18137</v>
      </c>
      <c r="F16" s="95">
        <f t="shared" ref="F16:F22" si="1">(D16-E16)/E16</f>
        <v>6.3516568340960464E-2</v>
      </c>
      <c r="G16" s="9">
        <f>+D16+'[2]Monthly Summary'!G16</f>
        <v>52180</v>
      </c>
      <c r="H16" s="9">
        <f>'[1]Monthly Summary'!G16</f>
        <v>49187</v>
      </c>
      <c r="I16" s="262">
        <f t="shared" ref="I16:I22" si="2">(G16-H16)/H16</f>
        <v>6.084941142984935E-2</v>
      </c>
      <c r="N16" s="130"/>
    </row>
    <row r="17" spans="1:12" x14ac:dyDescent="0.2">
      <c r="A17" s="68" t="s">
        <v>5</v>
      </c>
      <c r="B17" s="47">
        <f>'Regional Major'!M15+'Regional Major'!M18</f>
        <v>6971</v>
      </c>
      <c r="C17" s="47">
        <f>'Regional Major'!M16+'Regional Major'!M19</f>
        <v>6974</v>
      </c>
      <c r="D17" s="47">
        <f>SUM(B17:C17)</f>
        <v>13945</v>
      </c>
      <c r="E17" s="9">
        <f>'[1]Monthly Summary'!D17</f>
        <v>13998</v>
      </c>
      <c r="F17" s="95">
        <f t="shared" si="1"/>
        <v>-3.7862551793113302E-3</v>
      </c>
      <c r="G17" s="9">
        <f>+D17+'[2]Monthly Summary'!G17</f>
        <v>37405</v>
      </c>
      <c r="H17" s="9">
        <f>'[1]Monthly Summary'!G17</f>
        <v>39273</v>
      </c>
      <c r="I17" s="262">
        <f t="shared" si="2"/>
        <v>-4.7564484505894636E-2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0</v>
      </c>
      <c r="D18" s="47">
        <f t="shared" si="0"/>
        <v>1</v>
      </c>
      <c r="E18" s="9">
        <f>'[1]Monthly Summary'!D18</f>
        <v>0</v>
      </c>
      <c r="F18" s="95" t="e">
        <f t="shared" si="1"/>
        <v>#DIV/0!</v>
      </c>
      <c r="G18" s="9">
        <f>+D18+'[2]Monthly Summary'!G18</f>
        <v>10</v>
      </c>
      <c r="H18" s="9">
        <f>'[1]Monthly Summary'!G18</f>
        <v>6</v>
      </c>
      <c r="I18" s="262">
        <f t="shared" si="2"/>
        <v>0.66666666666666663</v>
      </c>
    </row>
    <row r="19" spans="1:12" x14ac:dyDescent="0.2">
      <c r="A19" s="68" t="s">
        <v>11</v>
      </c>
      <c r="B19" s="47">
        <f>Cargo!M4</f>
        <v>653</v>
      </c>
      <c r="C19" s="47">
        <f>Cargo!M5</f>
        <v>653</v>
      </c>
      <c r="D19" s="47">
        <f t="shared" si="0"/>
        <v>1306</v>
      </c>
      <c r="E19" s="9">
        <f>'[1]Monthly Summary'!D19</f>
        <v>1188</v>
      </c>
      <c r="F19" s="95">
        <f t="shared" si="1"/>
        <v>9.9326599326599332E-2</v>
      </c>
      <c r="G19" s="9">
        <f>+D19+'[2]Monthly Summary'!G19</f>
        <v>3620</v>
      </c>
      <c r="H19" s="9">
        <f>'[1]Monthly Summary'!G19</f>
        <v>3322</v>
      </c>
      <c r="I19" s="262">
        <f t="shared" si="2"/>
        <v>8.9704996989765196E-2</v>
      </c>
    </row>
    <row r="20" spans="1:12" x14ac:dyDescent="0.2">
      <c r="A20" s="68" t="s">
        <v>153</v>
      </c>
      <c r="B20" s="47">
        <f>'[3]General Avation'!$FB$4</f>
        <v>913</v>
      </c>
      <c r="C20" s="47">
        <f>'[3]General Avation'!$FB$5</f>
        <v>913</v>
      </c>
      <c r="D20" s="47">
        <f t="shared" si="0"/>
        <v>1826</v>
      </c>
      <c r="E20" s="9">
        <f>'[1]Monthly Summary'!D20</f>
        <v>1789</v>
      </c>
      <c r="F20" s="95">
        <f t="shared" si="1"/>
        <v>2.0681945220793741E-2</v>
      </c>
      <c r="G20" s="9">
        <f>+D20+'[2]Monthly Summary'!G20</f>
        <v>5146</v>
      </c>
      <c r="H20" s="9">
        <f>'[1]Monthly Summary'!G20</f>
        <v>4928</v>
      </c>
      <c r="I20" s="262">
        <f t="shared" si="2"/>
        <v>4.4237012987012984E-2</v>
      </c>
    </row>
    <row r="21" spans="1:12" ht="12.75" customHeight="1" x14ac:dyDescent="0.2">
      <c r="A21" s="68" t="s">
        <v>12</v>
      </c>
      <c r="B21" s="18">
        <f>'[3]Military '!$FB$4</f>
        <v>20</v>
      </c>
      <c r="C21" s="18">
        <f>'[3]Military '!$FB$5</f>
        <v>20</v>
      </c>
      <c r="D21" s="18">
        <f t="shared" si="0"/>
        <v>40</v>
      </c>
      <c r="E21" s="120">
        <f>'[1]Monthly Summary'!D21</f>
        <v>100</v>
      </c>
      <c r="F21" s="260">
        <f t="shared" si="1"/>
        <v>-0.6</v>
      </c>
      <c r="G21" s="9">
        <f>+D21+'[2]Monthly Summary'!G21</f>
        <v>127</v>
      </c>
      <c r="H21" s="120">
        <f>'[1]Monthly Summary'!G21</f>
        <v>272</v>
      </c>
      <c r="I21" s="263">
        <f t="shared" si="2"/>
        <v>-0.53308823529411764</v>
      </c>
    </row>
    <row r="22" spans="1:12" ht="15.75" thickBot="1" x14ac:dyDescent="0.3">
      <c r="A22" s="69" t="s">
        <v>28</v>
      </c>
      <c r="B22" s="274">
        <f>SUM(B16:B21)</f>
        <v>18201</v>
      </c>
      <c r="C22" s="274">
        <f>SUM(C16:C21)</f>
        <v>18206</v>
      </c>
      <c r="D22" s="274">
        <f>SUM(D16:D21)</f>
        <v>36407</v>
      </c>
      <c r="E22" s="274">
        <f>SUM(E16:E21)</f>
        <v>35212</v>
      </c>
      <c r="F22" s="270">
        <f t="shared" si="1"/>
        <v>3.3937294104282631E-2</v>
      </c>
      <c r="G22" s="274">
        <f>SUM(G16:G21)</f>
        <v>98488</v>
      </c>
      <c r="H22" s="274">
        <f>SUM(H16:H21)</f>
        <v>96988</v>
      </c>
      <c r="I22" s="271">
        <f t="shared" si="2"/>
        <v>1.5465830824431889E-2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1" t="s">
        <v>197</v>
      </c>
      <c r="E24" s="521" t="s">
        <v>172</v>
      </c>
      <c r="F24" s="466"/>
      <c r="G24" s="466"/>
      <c r="H24" s="466"/>
      <c r="I24" s="466"/>
    </row>
    <row r="25" spans="1:12" ht="13.5" thickBot="1" x14ac:dyDescent="0.25">
      <c r="B25" s="466" t="s">
        <v>0</v>
      </c>
      <c r="C25" s="466" t="s">
        <v>1</v>
      </c>
      <c r="D25" s="522"/>
      <c r="E25" s="523"/>
      <c r="F25" s="466" t="s">
        <v>2</v>
      </c>
      <c r="G25" s="466" t="s">
        <v>198</v>
      </c>
      <c r="H25" s="466" t="s">
        <v>173</v>
      </c>
      <c r="I25" s="466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9688.1737438077889</v>
      </c>
      <c r="C27" s="22">
        <f>(Cargo!M21+'Major Airline Stats'!J33+'Regional Major'!M30)*0.00045359237</f>
        <v>8207.8079126420289</v>
      </c>
      <c r="D27" s="22">
        <f>(SUM(B27:C27)+('Cargo Summary'!E17*0.00045359237))</f>
        <v>17895.981656449818</v>
      </c>
      <c r="E27" s="9">
        <f>'[1]Monthly Summary'!D27</f>
        <v>15929.865570620539</v>
      </c>
      <c r="F27" s="98">
        <f>(D27-E27)/E27</f>
        <v>0.12342326914894924</v>
      </c>
      <c r="G27" s="9">
        <f>+D27+'[2]Monthly Summary'!G27</f>
        <v>47863.411612601194</v>
      </c>
      <c r="H27" s="9">
        <f>'[1]Monthly Summary'!G27</f>
        <v>41814.54190227545</v>
      </c>
      <c r="I27" s="100">
        <f>(G27-H27)/H27</f>
        <v>0.14465947575038668</v>
      </c>
    </row>
    <row r="28" spans="1:12" x14ac:dyDescent="0.2">
      <c r="A28" s="62" t="s">
        <v>16</v>
      </c>
      <c r="B28" s="22">
        <f>(Cargo!M17+'Major Airline Stats'!J29+'Regional Major'!M26)*0.00045359237</f>
        <v>731.07160564668993</v>
      </c>
      <c r="C28" s="22">
        <f>(Cargo!M22+'Major Airline Stats'!J34+'Regional Major'!M31)*0.00045359237</f>
        <v>1282.90074317944</v>
      </c>
      <c r="D28" s="22">
        <f>SUM(B28:C28)</f>
        <v>2013.97234882613</v>
      </c>
      <c r="E28" s="9">
        <f>'[1]Monthly Summary'!D28</f>
        <v>969.03321449567397</v>
      </c>
      <c r="F28" s="98">
        <f>(D28-E28)/E28</f>
        <v>1.0783315976163796</v>
      </c>
      <c r="G28" s="9">
        <f>+D28+'[2]Monthly Summary'!G28</f>
        <v>5224.7749278470901</v>
      </c>
      <c r="H28" s="9">
        <f>'[1]Monthly Summary'!G28</f>
        <v>3061.2212172351237</v>
      </c>
      <c r="I28" s="100">
        <f>(G28-H28)/H28</f>
        <v>0.70676163435391148</v>
      </c>
    </row>
    <row r="29" spans="1:12" ht="15.75" thickBot="1" x14ac:dyDescent="0.3">
      <c r="A29" s="63" t="s">
        <v>62</v>
      </c>
      <c r="B29" s="54">
        <f>SUM(B27:B28)</f>
        <v>10419.245349454479</v>
      </c>
      <c r="C29" s="54">
        <f>SUM(C27:C28)</f>
        <v>9490.7086558214687</v>
      </c>
      <c r="D29" s="54">
        <f>SUM(D27:D28)</f>
        <v>19909.954005275948</v>
      </c>
      <c r="E29" s="54">
        <f>SUM(E27:E28)</f>
        <v>16898.898785116213</v>
      </c>
      <c r="F29" s="99">
        <f>(D29-E29)/E29</f>
        <v>0.17818055829837481</v>
      </c>
      <c r="G29" s="54">
        <f>SUM(G27:G28)</f>
        <v>53088.186540448281</v>
      </c>
      <c r="H29" s="54">
        <f>SUM(H27:H28)</f>
        <v>44875.763119510571</v>
      </c>
      <c r="I29" s="101">
        <f>(G29-H29)/H29</f>
        <v>0.18300353799147331</v>
      </c>
    </row>
    <row r="30" spans="1:12" s="7" customFormat="1" ht="4.5" customHeight="1" thickBot="1" x14ac:dyDescent="0.3">
      <c r="A30" s="59"/>
      <c r="B30" s="392"/>
      <c r="C30" s="392"/>
      <c r="D30" s="392"/>
      <c r="E30" s="392"/>
      <c r="F30" s="275"/>
      <c r="G30" s="392"/>
      <c r="H30" s="392"/>
      <c r="I30" s="275"/>
    </row>
    <row r="31" spans="1:12" ht="13.5" thickBot="1" x14ac:dyDescent="0.25">
      <c r="B31" s="520" t="s">
        <v>149</v>
      </c>
      <c r="C31" s="519"/>
      <c r="D31" s="520" t="s">
        <v>156</v>
      </c>
      <c r="E31" s="519"/>
      <c r="F31" s="415"/>
      <c r="G31" s="416"/>
      <c r="H31" s="414"/>
      <c r="I31" s="414"/>
    </row>
    <row r="32" spans="1:12" x14ac:dyDescent="0.2">
      <c r="A32" s="396" t="s">
        <v>150</v>
      </c>
      <c r="B32" s="397">
        <f>C8-B33</f>
        <v>1090742</v>
      </c>
      <c r="C32" s="398">
        <f>B32/C8</f>
        <v>0.64939111880059874</v>
      </c>
      <c r="D32" s="399">
        <f>+B32+'[2]Monthly Summary'!D32</f>
        <v>2736156</v>
      </c>
      <c r="E32" s="400">
        <f>+D32/D34</f>
        <v>0.64236402778723378</v>
      </c>
      <c r="G32" s="423"/>
      <c r="H32" s="414"/>
      <c r="I32" s="413"/>
    </row>
    <row r="33" spans="1:14" ht="13.5" thickBot="1" x14ac:dyDescent="0.25">
      <c r="A33" s="401" t="s">
        <v>151</v>
      </c>
      <c r="B33" s="402">
        <f>'Major Airline Stats'!J51+'Regional Major'!M45</f>
        <v>588896</v>
      </c>
      <c r="C33" s="403">
        <f>+B33/C8</f>
        <v>0.35060888119940131</v>
      </c>
      <c r="D33" s="404">
        <f>+B33+'[2]Monthly Summary'!D33</f>
        <v>1523354</v>
      </c>
      <c r="E33" s="405">
        <f>+D33/D34</f>
        <v>0.35763597221276627</v>
      </c>
      <c r="G33" s="414"/>
      <c r="H33" s="414"/>
      <c r="I33" s="413"/>
    </row>
    <row r="34" spans="1:14" ht="13.5" thickBot="1" x14ac:dyDescent="0.25">
      <c r="B34" s="309"/>
      <c r="D34" s="406">
        <f>SUM(D32:D33)</f>
        <v>4259510</v>
      </c>
    </row>
    <row r="35" spans="1:14" ht="13.5" thickBot="1" x14ac:dyDescent="0.25">
      <c r="B35" s="518" t="s">
        <v>223</v>
      </c>
      <c r="C35" s="519"/>
      <c r="D35" s="520" t="s">
        <v>199</v>
      </c>
      <c r="E35" s="519"/>
    </row>
    <row r="36" spans="1:14" x14ac:dyDescent="0.2">
      <c r="A36" s="396" t="s">
        <v>150</v>
      </c>
      <c r="B36" s="397">
        <f>'[1]Monthly Summary'!$B$32</f>
        <v>998582</v>
      </c>
      <c r="C36" s="398">
        <f>+B36/B38</f>
        <v>0.6188565634931259</v>
      </c>
      <c r="D36" s="399">
        <f>'[1]Monthly Summary'!$D$32</f>
        <v>2575693</v>
      </c>
      <c r="E36" s="400">
        <f>+D36/D38</f>
        <v>0.61165086815619185</v>
      </c>
    </row>
    <row r="37" spans="1:14" ht="13.5" thickBot="1" x14ac:dyDescent="0.25">
      <c r="A37" s="401" t="s">
        <v>151</v>
      </c>
      <c r="B37" s="402">
        <f>'[1]Monthly Summary'!$B$33</f>
        <v>615010</v>
      </c>
      <c r="C37" s="405">
        <f>+B37/B38</f>
        <v>0.3811434365068741</v>
      </c>
      <c r="D37" s="404">
        <f>'[1]Monthly Summary'!$D$33</f>
        <v>1635358</v>
      </c>
      <c r="E37" s="405">
        <f>+D37/D38</f>
        <v>0.38834913184380809</v>
      </c>
    </row>
    <row r="38" spans="1:14" x14ac:dyDescent="0.2">
      <c r="B38" s="422">
        <f>+SUM(B36:B37)</f>
        <v>1613592</v>
      </c>
      <c r="D38" s="406">
        <f>SUM(D36:D37)</f>
        <v>4211051</v>
      </c>
    </row>
    <row r="39" spans="1:14" x14ac:dyDescent="0.2">
      <c r="A39" s="410" t="s">
        <v>152</v>
      </c>
    </row>
    <row r="40" spans="1:14" x14ac:dyDescent="0.2">
      <c r="A40" s="229" t="s">
        <v>154</v>
      </c>
      <c r="I40" s="2"/>
    </row>
    <row r="41" spans="1:14" x14ac:dyDescent="0.2">
      <c r="N41" s="411"/>
    </row>
    <row r="42" spans="1:14" x14ac:dyDescent="0.2">
      <c r="G42" s="2"/>
      <c r="N42" s="411"/>
    </row>
    <row r="43" spans="1:14" x14ac:dyDescent="0.2">
      <c r="J43" s="2"/>
      <c r="N43" s="411"/>
    </row>
    <row r="44" spans="1:14" x14ac:dyDescent="0.2">
      <c r="N44" s="411"/>
    </row>
    <row r="45" spans="1:14" x14ac:dyDescent="0.2">
      <c r="J45" s="2"/>
      <c r="N45" s="411"/>
    </row>
    <row r="46" spans="1:14" x14ac:dyDescent="0.2">
      <c r="B46" s="2"/>
      <c r="F46" s="309"/>
    </row>
    <row r="47" spans="1:14" x14ac:dyDescent="0.2">
      <c r="N47" s="411"/>
    </row>
    <row r="51" spans="12:12" x14ac:dyDescent="0.2">
      <c r="L51" s="41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3" zoomScaleNormal="100" zoomScaleSheetLayoutView="100" workbookViewId="0">
      <selection activeCell="R25" sqref="R2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3" width="11.28515625" customWidth="1"/>
    <col min="14" max="14" width="8.5703125" bestFit="1" customWidth="1"/>
    <col min="15" max="15" width="13.85546875" customWidth="1"/>
    <col min="17" max="17" width="10.28515625" bestFit="1" customWidth="1"/>
  </cols>
  <sheetData>
    <row r="1" spans="1:15" ht="39" thickBot="1" x14ac:dyDescent="0.25">
      <c r="A1" s="384">
        <v>42795</v>
      </c>
      <c r="B1" s="12" t="s">
        <v>18</v>
      </c>
      <c r="C1" s="272" t="s">
        <v>193</v>
      </c>
      <c r="D1" s="434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224</v>
      </c>
      <c r="K1" s="272" t="s">
        <v>209</v>
      </c>
      <c r="L1" s="272" t="s">
        <v>168</v>
      </c>
      <c r="M1" s="272" t="s">
        <v>162</v>
      </c>
      <c r="N1" s="272" t="s">
        <v>143</v>
      </c>
      <c r="O1" s="272" t="s">
        <v>21</v>
      </c>
    </row>
    <row r="2" spans="1:15" ht="15" x14ac:dyDescent="0.25">
      <c r="A2" s="555" t="s">
        <v>144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7"/>
    </row>
    <row r="3" spans="1:15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5"/>
    </row>
    <row r="4" spans="1:15" x14ac:dyDescent="0.2">
      <c r="A4" s="62" t="s">
        <v>30</v>
      </c>
      <c r="B4" s="21">
        <f>[3]Delta!$FB$32</f>
        <v>98938</v>
      </c>
      <c r="C4" s="21">
        <f>'[3]Atlantic Southeast'!$FB$32</f>
        <v>2479</v>
      </c>
      <c r="D4" s="21">
        <f>[3]Pinnacle!$FB$32</f>
        <v>9922</v>
      </c>
      <c r="E4" s="21">
        <f>[3]Compass!$FB$32</f>
        <v>3414</v>
      </c>
      <c r="F4" s="21">
        <f>'[3]Sky West'!$FB$32</f>
        <v>4572</v>
      </c>
      <c r="G4" s="21">
        <f>'[3]Go Jet'!$FB$32</f>
        <v>2674</v>
      </c>
      <c r="H4" s="21">
        <f>'[3]Sun Country'!$FB$32</f>
        <v>41652</v>
      </c>
      <c r="I4" s="21">
        <f>[3]Icelandair!$FB$32</f>
        <v>2869</v>
      </c>
      <c r="J4" s="21">
        <f>[3]KLM!$FB$32</f>
        <v>487</v>
      </c>
      <c r="K4" s="21">
        <f>'[3]Air Georgian'!$FB$32</f>
        <v>3470</v>
      </c>
      <c r="L4" s="21">
        <f>[3]Condor!$FB$32</f>
        <v>0</v>
      </c>
      <c r="M4" s="21">
        <f>'[3]Air France'!$FB$32</f>
        <v>0</v>
      </c>
      <c r="N4" s="21">
        <f>'[3]Charter Misc'!$FB$32+[3]Ryan!$FB$32+[3]Omni!$FB$32</f>
        <v>0</v>
      </c>
      <c r="O4" s="281">
        <f>SUM(B4:N4)</f>
        <v>170477</v>
      </c>
    </row>
    <row r="5" spans="1:15" x14ac:dyDescent="0.2">
      <c r="A5" s="62" t="s">
        <v>31</v>
      </c>
      <c r="B5" s="14">
        <f>[3]Delta!$FB$33</f>
        <v>99064</v>
      </c>
      <c r="C5" s="14">
        <f>'[3]Atlantic Southeast'!$FB$33</f>
        <v>2381</v>
      </c>
      <c r="D5" s="14">
        <f>[3]Pinnacle!$FB$33</f>
        <v>9894</v>
      </c>
      <c r="E5" s="14">
        <f>[3]Compass!$FB$33</f>
        <v>3222</v>
      </c>
      <c r="F5" s="14">
        <f>'[3]Sky West'!$FB$33</f>
        <v>5099</v>
      </c>
      <c r="G5" s="14">
        <f>'[3]Go Jet'!$FB$33</f>
        <v>2945</v>
      </c>
      <c r="H5" s="14">
        <f>'[3]Sun Country'!$FB$33</f>
        <v>42363</v>
      </c>
      <c r="I5" s="14">
        <f>[3]Icelandair!$FB$33</f>
        <v>3162</v>
      </c>
      <c r="J5" s="14">
        <f>[3]KLM!$FB$33</f>
        <v>273</v>
      </c>
      <c r="K5" s="14">
        <f>'[3]Air Georgian'!$FB$33</f>
        <v>3526</v>
      </c>
      <c r="L5" s="14">
        <f>[3]Condor!$FB$33</f>
        <v>0</v>
      </c>
      <c r="M5" s="14">
        <f>'[3]Air France'!$FB$33</f>
        <v>0</v>
      </c>
      <c r="N5" s="14">
        <f>'[3]Charter Misc'!$FB$33++[3]Ryan!$FB$33+[3]Omni!$FB$33</f>
        <v>0</v>
      </c>
      <c r="O5" s="282">
        <f>SUM(B5:N5)</f>
        <v>171929</v>
      </c>
    </row>
    <row r="6" spans="1:15" ht="15" x14ac:dyDescent="0.25">
      <c r="A6" s="60" t="s">
        <v>7</v>
      </c>
      <c r="B6" s="34">
        <f t="shared" ref="B6:N6" si="0">SUM(B4:B5)</f>
        <v>198002</v>
      </c>
      <c r="C6" s="34">
        <f t="shared" si="0"/>
        <v>4860</v>
      </c>
      <c r="D6" s="34">
        <f t="shared" si="0"/>
        <v>19816</v>
      </c>
      <c r="E6" s="34">
        <f t="shared" si="0"/>
        <v>6636</v>
      </c>
      <c r="F6" s="34">
        <f t="shared" si="0"/>
        <v>9671</v>
      </c>
      <c r="G6" s="34">
        <f t="shared" ref="G6" si="1">SUM(G4:G5)</f>
        <v>5619</v>
      </c>
      <c r="H6" s="34">
        <f t="shared" si="0"/>
        <v>84015</v>
      </c>
      <c r="I6" s="34">
        <f t="shared" si="0"/>
        <v>6031</v>
      </c>
      <c r="J6" s="34">
        <f t="shared" ref="J6:L6" si="2">SUM(J4:J5)</f>
        <v>760</v>
      </c>
      <c r="K6" s="34">
        <f t="shared" si="0"/>
        <v>6996</v>
      </c>
      <c r="L6" s="34">
        <f t="shared" si="2"/>
        <v>0</v>
      </c>
      <c r="M6" s="34">
        <f t="shared" si="0"/>
        <v>0</v>
      </c>
      <c r="N6" s="34">
        <f t="shared" si="0"/>
        <v>0</v>
      </c>
      <c r="O6" s="283">
        <f>SUM(B6:N6)</f>
        <v>342406</v>
      </c>
    </row>
    <row r="7" spans="1:15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1"/>
    </row>
    <row r="8" spans="1:15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1">
        <f>SUM(B8:N8)</f>
        <v>0</v>
      </c>
    </row>
    <row r="9" spans="1:15" x14ac:dyDescent="0.2">
      <c r="A9" s="62" t="s">
        <v>30</v>
      </c>
      <c r="B9" s="21">
        <f>[3]Delta!$FB$37</f>
        <v>2334</v>
      </c>
      <c r="C9" s="21">
        <f>'[3]Atlantic Southeast'!$FB$37</f>
        <v>52</v>
      </c>
      <c r="D9" s="21">
        <f>[3]Pinnacle!$FB$37</f>
        <v>114</v>
      </c>
      <c r="E9" s="21">
        <f>[3]Compass!$FB$37</f>
        <v>29</v>
      </c>
      <c r="F9" s="21">
        <f>'[3]Sky West'!$FB$37</f>
        <v>42</v>
      </c>
      <c r="G9" s="21">
        <f>'[3]Go Jet'!$FB$37</f>
        <v>47</v>
      </c>
      <c r="H9" s="21">
        <f>'[3]Sun Country'!$FB$37</f>
        <v>241</v>
      </c>
      <c r="I9" s="21">
        <f>[3]Icelandair!$FB$37</f>
        <v>56</v>
      </c>
      <c r="J9" s="21">
        <f>[3]KLM!$FB$37</f>
        <v>2</v>
      </c>
      <c r="K9" s="21">
        <f>'[3]Air Georgian'!$FB$37</f>
        <v>0</v>
      </c>
      <c r="L9" s="21">
        <f>[3]Condor!$FB$37</f>
        <v>0</v>
      </c>
      <c r="M9" s="21">
        <f>'[3]Air France'!$FB$37</f>
        <v>0</v>
      </c>
      <c r="N9" s="21">
        <f>'[3]Charter Misc'!$FB$37+[3]Ryan!$FB$37+[3]Omni!$FB$37</f>
        <v>0</v>
      </c>
      <c r="O9" s="281">
        <f>SUM(B9:N9)</f>
        <v>2917</v>
      </c>
    </row>
    <row r="10" spans="1:15" x14ac:dyDescent="0.2">
      <c r="A10" s="62" t="s">
        <v>33</v>
      </c>
      <c r="B10" s="14">
        <f>[3]Delta!$FB$38</f>
        <v>2469</v>
      </c>
      <c r="C10" s="14">
        <f>'[3]Atlantic Southeast'!$FB$38</f>
        <v>43</v>
      </c>
      <c r="D10" s="14">
        <f>[3]Pinnacle!$FB$38</f>
        <v>154</v>
      </c>
      <c r="E10" s="14">
        <f>[3]Compass!$FB$38</f>
        <v>27</v>
      </c>
      <c r="F10" s="14">
        <f>'[3]Sky West'!$FB$38</f>
        <v>46</v>
      </c>
      <c r="G10" s="14">
        <f>'[3]Go Jet'!$FB$38</f>
        <v>44</v>
      </c>
      <c r="H10" s="14">
        <f>'[3]Sun Country'!$FB$38</f>
        <v>291</v>
      </c>
      <c r="I10" s="14">
        <f>[3]Icelandair!$FB$38</f>
        <v>52</v>
      </c>
      <c r="J10" s="14">
        <f>[3]KLM!$FB$38</f>
        <v>2</v>
      </c>
      <c r="K10" s="14">
        <f>'[3]Air Georgian'!$FB$38</f>
        <v>0</v>
      </c>
      <c r="L10" s="14">
        <f>[3]Condor!$FB$38</f>
        <v>0</v>
      </c>
      <c r="M10" s="14">
        <f>'[3]Air France'!$FB$38</f>
        <v>0</v>
      </c>
      <c r="N10" s="14">
        <f>'[3]Charter Misc'!$FB$38+[3]Ryan!$FB$38+[3]Omni!$FB$38</f>
        <v>0</v>
      </c>
      <c r="O10" s="282">
        <f>SUM(B10:N10)</f>
        <v>3128</v>
      </c>
    </row>
    <row r="11" spans="1:15" ht="15.75" thickBot="1" x14ac:dyDescent="0.3">
      <c r="A11" s="63" t="s">
        <v>34</v>
      </c>
      <c r="B11" s="284">
        <f t="shared" ref="B11:H11" si="3">SUM(B9:B10)</f>
        <v>4803</v>
      </c>
      <c r="C11" s="284">
        <f t="shared" si="3"/>
        <v>95</v>
      </c>
      <c r="D11" s="284">
        <f t="shared" si="3"/>
        <v>268</v>
      </c>
      <c r="E11" s="284">
        <f t="shared" si="3"/>
        <v>56</v>
      </c>
      <c r="F11" s="284">
        <f t="shared" si="3"/>
        <v>88</v>
      </c>
      <c r="G11" s="284">
        <f t="shared" ref="G11" si="4">SUM(G9:G10)</f>
        <v>91</v>
      </c>
      <c r="H11" s="284">
        <f t="shared" si="3"/>
        <v>532</v>
      </c>
      <c r="I11" s="284">
        <f t="shared" ref="I11:N11" si="5">SUM(I9:I10)</f>
        <v>108</v>
      </c>
      <c r="J11" s="284">
        <f t="shared" ref="J11" si="6">SUM(J9:J10)</f>
        <v>4</v>
      </c>
      <c r="K11" s="284">
        <f t="shared" si="5"/>
        <v>0</v>
      </c>
      <c r="L11" s="284">
        <f t="shared" si="5"/>
        <v>0</v>
      </c>
      <c r="M11" s="284">
        <f t="shared" si="5"/>
        <v>0</v>
      </c>
      <c r="N11" s="284">
        <f t="shared" si="5"/>
        <v>0</v>
      </c>
      <c r="O11" s="285">
        <f>SUM(B11:N11)</f>
        <v>6045</v>
      </c>
    </row>
    <row r="12" spans="1:15" ht="15" x14ac:dyDescent="0.25">
      <c r="A12" s="389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6"/>
    </row>
    <row r="13" spans="1:15" ht="39" thickBot="1" x14ac:dyDescent="0.25">
      <c r="B13" s="12" t="s">
        <v>18</v>
      </c>
      <c r="C13" s="272" t="s">
        <v>193</v>
      </c>
      <c r="D13" s="434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224</v>
      </c>
      <c r="K13" s="272" t="s">
        <v>209</v>
      </c>
      <c r="L13" s="272" t="s">
        <v>168</v>
      </c>
      <c r="M13" s="12" t="s">
        <v>162</v>
      </c>
      <c r="N13" s="12" t="s">
        <v>143</v>
      </c>
      <c r="O13" s="272" t="s">
        <v>145</v>
      </c>
    </row>
    <row r="14" spans="1:15" ht="15" x14ac:dyDescent="0.25">
      <c r="A14" s="558" t="s">
        <v>146</v>
      </c>
      <c r="B14" s="559"/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59"/>
      <c r="O14" s="560"/>
    </row>
    <row r="15" spans="1:15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5"/>
    </row>
    <row r="16" spans="1:15" x14ac:dyDescent="0.2">
      <c r="A16" s="62" t="s">
        <v>30</v>
      </c>
      <c r="B16" s="21">
        <f>SUM([3]Delta!$EZ$32:$FB$32)</f>
        <v>248361</v>
      </c>
      <c r="C16" s="21">
        <f>SUM('[3]Atlantic Southeast'!$EZ$32:$FB$32)</f>
        <v>2597</v>
      </c>
      <c r="D16" s="21">
        <f>SUM([3]Pinnacle!$EZ$32:$FB$32)</f>
        <v>21705</v>
      </c>
      <c r="E16" s="21">
        <f>SUM([3]Compass!$EZ$32:$FB$32)</f>
        <v>21567</v>
      </c>
      <c r="F16" s="21">
        <f>SUM('[3]Sky West'!$EZ$32:$FB$32)</f>
        <v>14322</v>
      </c>
      <c r="G16" s="21">
        <f>SUM('[3]Go Jet'!$EZ$32:$FB$32)</f>
        <v>8924</v>
      </c>
      <c r="H16" s="21">
        <f>SUM('[3]Sun Country'!$EZ$32:$FB$32)</f>
        <v>95071</v>
      </c>
      <c r="I16" s="21">
        <f>SUM([3]Icelandair!$EZ$32:$FB$32)</f>
        <v>6653</v>
      </c>
      <c r="J16" s="21">
        <f>SUM([3]KLM!$EZ$32:$FB$32)</f>
        <v>487</v>
      </c>
      <c r="K16" s="21">
        <f>SUM('[3]Air Georgian'!$EZ$32:$FB$32)</f>
        <v>9730</v>
      </c>
      <c r="L16" s="21">
        <f>SUM([3]Condor!$EZ$32:$FB$32)</f>
        <v>0</v>
      </c>
      <c r="M16" s="21">
        <f>SUM('[3]Air France'!$EZ$32:$FB$32)</f>
        <v>0</v>
      </c>
      <c r="N16" s="21">
        <f>SUM('[3]Charter Misc'!$EZ$32:$FB$32)+SUM([3]Ryan!$EZ$32:$FB$32)+SUM([3]Omni!$EZ$32:$FB$32)</f>
        <v>103</v>
      </c>
      <c r="O16" s="281">
        <f>SUM(B16:N16)</f>
        <v>429520</v>
      </c>
    </row>
    <row r="17" spans="1:15" x14ac:dyDescent="0.2">
      <c r="A17" s="62" t="s">
        <v>31</v>
      </c>
      <c r="B17" s="14">
        <f>SUM([3]Delta!$EZ$33:$FB$33)</f>
        <v>244345</v>
      </c>
      <c r="C17" s="14">
        <f>SUM('[3]Atlantic Southeast'!$EZ$33:$FB$33)</f>
        <v>2405</v>
      </c>
      <c r="D17" s="14">
        <f>SUM([3]Pinnacle!$EZ$33:$FB$33)</f>
        <v>22113</v>
      </c>
      <c r="E17" s="14">
        <f>SUM([3]Compass!$EZ$33:$FB$33)</f>
        <v>22314</v>
      </c>
      <c r="F17" s="14">
        <f>SUM('[3]Sky West'!$EZ$33:$FB$33)</f>
        <v>14237</v>
      </c>
      <c r="G17" s="14">
        <f>SUM('[3]Go Jet'!$EZ$33:$FB$33)</f>
        <v>9014</v>
      </c>
      <c r="H17" s="14">
        <f>SUM('[3]Sun Country'!$EZ$33:$FB$33)</f>
        <v>99471</v>
      </c>
      <c r="I17" s="14">
        <f>SUM([3]Icelandair!$EZ$33:$FB$33)</f>
        <v>7106</v>
      </c>
      <c r="J17" s="14">
        <f>SUM([3]KLM!$EZ$33:$FB$33)</f>
        <v>273</v>
      </c>
      <c r="K17" s="14">
        <f>SUM('[3]Air Georgian'!$EZ$33:$FB$33)</f>
        <v>9357</v>
      </c>
      <c r="L17" s="14">
        <f>SUM([3]Condor!$EZ$33:$FB$33)</f>
        <v>0</v>
      </c>
      <c r="M17" s="14">
        <f>SUM('[3]Air France'!$EZ$33:$FB$33)</f>
        <v>0</v>
      </c>
      <c r="N17" s="14">
        <f>SUM('[3]Charter Misc'!$EZ$33:$FB$33)++SUM([3]Ryan!$EZ$33:$FB$33)+SUM([3]Omni!$EZ$33:$FB$33)</f>
        <v>102</v>
      </c>
      <c r="O17" s="282">
        <f>SUM(B17:N17)</f>
        <v>430737</v>
      </c>
    </row>
    <row r="18" spans="1:15" ht="15" x14ac:dyDescent="0.25">
      <c r="A18" s="60" t="s">
        <v>7</v>
      </c>
      <c r="B18" s="34">
        <f t="shared" ref="B18:N18" si="7">SUM(B16:B17)</f>
        <v>492706</v>
      </c>
      <c r="C18" s="34">
        <f t="shared" si="7"/>
        <v>5002</v>
      </c>
      <c r="D18" s="34">
        <f t="shared" si="7"/>
        <v>43818</v>
      </c>
      <c r="E18" s="34">
        <f t="shared" si="7"/>
        <v>43881</v>
      </c>
      <c r="F18" s="34">
        <f t="shared" si="7"/>
        <v>28559</v>
      </c>
      <c r="G18" s="34">
        <f t="shared" ref="G18" si="8">SUM(G16:G17)</f>
        <v>17938</v>
      </c>
      <c r="H18" s="34">
        <f t="shared" si="7"/>
        <v>194542</v>
      </c>
      <c r="I18" s="34">
        <f t="shared" si="7"/>
        <v>13759</v>
      </c>
      <c r="J18" s="34">
        <f t="shared" ref="J18:L18" si="9">SUM(J16:J17)</f>
        <v>760</v>
      </c>
      <c r="K18" s="34">
        <f t="shared" si="7"/>
        <v>19087</v>
      </c>
      <c r="L18" s="34">
        <f t="shared" si="9"/>
        <v>0</v>
      </c>
      <c r="M18" s="34">
        <f t="shared" si="7"/>
        <v>0</v>
      </c>
      <c r="N18" s="34">
        <f t="shared" si="7"/>
        <v>205</v>
      </c>
      <c r="O18" s="283">
        <f>SUM(B18:N18)</f>
        <v>860257</v>
      </c>
    </row>
    <row r="19" spans="1:15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1"/>
    </row>
    <row r="20" spans="1:15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1">
        <f>SUM(B20:N20)</f>
        <v>0</v>
      </c>
    </row>
    <row r="21" spans="1:15" x14ac:dyDescent="0.2">
      <c r="A21" s="62" t="s">
        <v>30</v>
      </c>
      <c r="B21" s="21">
        <f>SUM([3]Delta!$EZ$37:$FB$37)</f>
        <v>6721</v>
      </c>
      <c r="C21" s="21">
        <f>SUM('[3]Atlantic Southeast'!$EZ$37:$FB$37)</f>
        <v>52</v>
      </c>
      <c r="D21" s="21">
        <f>SUM([3]Pinnacle!$EZ$37:$FB$37)</f>
        <v>362</v>
      </c>
      <c r="E21" s="21">
        <f>SUM([3]Compass!$EZ$37:$FB$37)</f>
        <v>336</v>
      </c>
      <c r="F21" s="21">
        <f>SUM('[3]Sky West'!$EZ$37:$FB$37)</f>
        <v>128</v>
      </c>
      <c r="G21" s="21">
        <f>SUM('[3]Go Jet'!$EZ$37:$FB$37)</f>
        <v>139</v>
      </c>
      <c r="H21" s="21">
        <f>SUM('[3]Sun Country'!$EZ$37:$FB$37)</f>
        <v>611</v>
      </c>
      <c r="I21" s="21">
        <f>SUM([3]Icelandair!$EZ$37:$FB$37)</f>
        <v>156</v>
      </c>
      <c r="J21" s="21">
        <f>SUM([3]KLM!$EZ$37:$FB$37)</f>
        <v>2</v>
      </c>
      <c r="K21" s="21">
        <f>SUM('[3]Air Georgian'!$EZ$37:$FB$37)</f>
        <v>0</v>
      </c>
      <c r="L21" s="21">
        <f>SUM([3]Condor!$EZ$37:$FB$37)</f>
        <v>0</v>
      </c>
      <c r="M21" s="21">
        <f>SUM('[3]Air France'!$EZ$37:$FB$37)</f>
        <v>0</v>
      </c>
      <c r="N21" s="21">
        <f>SUM('[3]Charter Misc'!$EZ$37:$FB$37)++SUM([3]Ryan!$EZ$37:$FB$37)+SUM([3]Omni!$EZ$37:$FB$37)</f>
        <v>0</v>
      </c>
      <c r="O21" s="281">
        <f>SUM(B21:N21)</f>
        <v>8507</v>
      </c>
    </row>
    <row r="22" spans="1:15" x14ac:dyDescent="0.2">
      <c r="A22" s="62" t="s">
        <v>33</v>
      </c>
      <c r="B22" s="14">
        <f>SUM([3]Delta!$EZ$38:$FB$38)</f>
        <v>6896</v>
      </c>
      <c r="C22" s="14">
        <f>SUM('[3]Atlantic Southeast'!$EZ$38:$FB$38)</f>
        <v>47</v>
      </c>
      <c r="D22" s="14">
        <f>SUM([3]Pinnacle!$EZ$38:$FB$38)</f>
        <v>387</v>
      </c>
      <c r="E22" s="14">
        <f>SUM([3]Compass!$EZ$38:$FB$38)</f>
        <v>352</v>
      </c>
      <c r="F22" s="14">
        <f>SUM('[3]Sky West'!$EZ$38:$FB$38)</f>
        <v>139</v>
      </c>
      <c r="G22" s="14">
        <f>SUM('[3]Go Jet'!$EZ$38:$FB$38)</f>
        <v>119</v>
      </c>
      <c r="H22" s="14">
        <f>SUM('[3]Sun Country'!$EZ$38:$FB$38)</f>
        <v>790</v>
      </c>
      <c r="I22" s="14">
        <f>SUM([3]Icelandair!$EZ$38:$FB$38)</f>
        <v>165</v>
      </c>
      <c r="J22" s="14">
        <f>SUM([3]KLM!$EZ$38:$FB$38)</f>
        <v>2</v>
      </c>
      <c r="K22" s="14">
        <f>SUM('[3]Air Georgian'!$EZ$38:$FB$38)</f>
        <v>0</v>
      </c>
      <c r="L22" s="14">
        <f>SUM([3]Condor!$EZ$38:$FB$38)</f>
        <v>0</v>
      </c>
      <c r="M22" s="14">
        <f>SUM('[3]Air France'!$EZ$38:$FB$38)</f>
        <v>0</v>
      </c>
      <c r="N22" s="14">
        <f>SUM('[3]Charter Misc'!$EZ$38:$FB$38)++SUM([3]Ryan!$EZ$38:$FB$38)+SUM([3]Omni!$EZ$38:$FB$38)</f>
        <v>0</v>
      </c>
      <c r="O22" s="282">
        <f>SUM(B22:N22)</f>
        <v>8897</v>
      </c>
    </row>
    <row r="23" spans="1:15" ht="15.75" thickBot="1" x14ac:dyDescent="0.3">
      <c r="A23" s="63" t="s">
        <v>34</v>
      </c>
      <c r="B23" s="284">
        <f t="shared" ref="B23:N23" si="10">SUM(B21:B22)</f>
        <v>13617</v>
      </c>
      <c r="C23" s="284">
        <f t="shared" si="10"/>
        <v>99</v>
      </c>
      <c r="D23" s="284">
        <f t="shared" si="10"/>
        <v>749</v>
      </c>
      <c r="E23" s="284">
        <f t="shared" si="10"/>
        <v>688</v>
      </c>
      <c r="F23" s="284">
        <f t="shared" si="10"/>
        <v>267</v>
      </c>
      <c r="G23" s="284">
        <f t="shared" ref="G23" si="11">SUM(G21:G22)</f>
        <v>258</v>
      </c>
      <c r="H23" s="284">
        <f t="shared" si="10"/>
        <v>1401</v>
      </c>
      <c r="I23" s="284">
        <f t="shared" si="10"/>
        <v>321</v>
      </c>
      <c r="J23" s="284">
        <f t="shared" ref="J23:L23" si="12">SUM(J21:J22)</f>
        <v>4</v>
      </c>
      <c r="K23" s="284">
        <f t="shared" si="10"/>
        <v>0</v>
      </c>
      <c r="L23" s="284">
        <f t="shared" si="12"/>
        <v>0</v>
      </c>
      <c r="M23" s="284">
        <f t="shared" si="10"/>
        <v>0</v>
      </c>
      <c r="N23" s="284">
        <f t="shared" si="10"/>
        <v>0</v>
      </c>
      <c r="O23" s="285">
        <f>SUM(B23:N23)</f>
        <v>17404</v>
      </c>
    </row>
    <row r="25" spans="1:15" ht="39" thickBot="1" x14ac:dyDescent="0.25">
      <c r="B25" s="12" t="s">
        <v>18</v>
      </c>
      <c r="C25" s="272" t="s">
        <v>193</v>
      </c>
      <c r="D25" s="434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224</v>
      </c>
      <c r="K25" s="272" t="s">
        <v>209</v>
      </c>
      <c r="L25" s="272" t="s">
        <v>168</v>
      </c>
      <c r="M25" s="12" t="s">
        <v>162</v>
      </c>
      <c r="N25" s="12" t="s">
        <v>143</v>
      </c>
      <c r="O25" s="272" t="s">
        <v>21</v>
      </c>
    </row>
    <row r="26" spans="1:15" ht="15" x14ac:dyDescent="0.25">
      <c r="A26" s="561" t="s">
        <v>147</v>
      </c>
      <c r="B26" s="562"/>
      <c r="C26" s="562"/>
      <c r="D26" s="562"/>
      <c r="E26" s="562"/>
      <c r="F26" s="562"/>
      <c r="G26" s="562"/>
      <c r="H26" s="562"/>
      <c r="I26" s="562"/>
      <c r="J26" s="562"/>
      <c r="K26" s="562"/>
      <c r="L26" s="562"/>
      <c r="M26" s="562"/>
      <c r="N26" s="562"/>
      <c r="O26" s="563"/>
    </row>
    <row r="27" spans="1:15" x14ac:dyDescent="0.2">
      <c r="A27" s="62" t="s">
        <v>22</v>
      </c>
      <c r="B27" s="21">
        <f>[3]Delta!$FB$15</f>
        <v>584</v>
      </c>
      <c r="C27" s="21">
        <f>'[3]Atlantic Southeast'!$FB$15</f>
        <v>42</v>
      </c>
      <c r="D27" s="21">
        <f>[3]Pinnacle!$FB$15</f>
        <v>168</v>
      </c>
      <c r="E27" s="21">
        <f>[3]Compass!$FB$15</f>
        <v>53</v>
      </c>
      <c r="F27" s="21">
        <f>'[3]Sky West'!$FB$15</f>
        <v>84</v>
      </c>
      <c r="G27" s="21">
        <f>'[3]Go Jet'!$FB$15</f>
        <v>48</v>
      </c>
      <c r="H27" s="21">
        <f>'[3]Sun Country'!$FB$15</f>
        <v>337</v>
      </c>
      <c r="I27" s="21">
        <f>[3]Icelandair!$FB$15</f>
        <v>19</v>
      </c>
      <c r="J27" s="21">
        <f>[3]KLM!$FB$15</f>
        <v>2</v>
      </c>
      <c r="K27" s="21">
        <f>'[3]Air Georgian'!$FB$15</f>
        <v>88</v>
      </c>
      <c r="L27" s="21">
        <f>[3]Condor!$FB$15</f>
        <v>0</v>
      </c>
      <c r="M27" s="21">
        <f>'[3]Air France'!$FB$15</f>
        <v>0</v>
      </c>
      <c r="N27" s="21">
        <f>'[3]Charter Misc'!$FB$15+[3]Ryan!$FB$15+[3]Omni!$FB$15</f>
        <v>0</v>
      </c>
      <c r="O27" s="281">
        <f>SUM(B27:N27)</f>
        <v>1425</v>
      </c>
    </row>
    <row r="28" spans="1:15" x14ac:dyDescent="0.2">
      <c r="A28" s="62" t="s">
        <v>23</v>
      </c>
      <c r="B28" s="21">
        <f>[3]Delta!$FB$16</f>
        <v>586</v>
      </c>
      <c r="C28" s="21">
        <f>'[3]Atlantic Southeast'!$FB$16</f>
        <v>38</v>
      </c>
      <c r="D28" s="21">
        <f>[3]Pinnacle!$FB$16</f>
        <v>166</v>
      </c>
      <c r="E28" s="21">
        <f>[3]Compass!$FB$16</f>
        <v>50</v>
      </c>
      <c r="F28" s="21">
        <f>'[3]Sky West'!$FB$16</f>
        <v>89</v>
      </c>
      <c r="G28" s="21">
        <f>'[3]Go Jet'!$FB$16</f>
        <v>50</v>
      </c>
      <c r="H28" s="21">
        <f>'[3]Sun Country'!$FB$16</f>
        <v>338</v>
      </c>
      <c r="I28" s="21">
        <f>[3]Icelandair!$FB$16</f>
        <v>19</v>
      </c>
      <c r="J28" s="21">
        <f>[3]KLM!$FB$16</f>
        <v>2</v>
      </c>
      <c r="K28" s="21">
        <f>'[3]Air Georgian'!$FB$16</f>
        <v>88</v>
      </c>
      <c r="L28" s="21">
        <f>[3]Condor!$FB$16</f>
        <v>0</v>
      </c>
      <c r="M28" s="21">
        <f>'[3]Air France'!$FB$16</f>
        <v>0</v>
      </c>
      <c r="N28" s="21">
        <f>'[3]Charter Misc'!$FB$16+[3]Ryan!$FB$16+[3]Omni!$FB$16</f>
        <v>0</v>
      </c>
      <c r="O28" s="281">
        <f>SUM(B28:N28)</f>
        <v>1426</v>
      </c>
    </row>
    <row r="29" spans="1:15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1"/>
    </row>
    <row r="30" spans="1:15" ht="15.75" thickBot="1" x14ac:dyDescent="0.3">
      <c r="A30" s="63" t="s">
        <v>28</v>
      </c>
      <c r="B30" s="387">
        <f t="shared" ref="B30:K30" si="13">SUM(B27:B28)</f>
        <v>1170</v>
      </c>
      <c r="C30" s="387">
        <f t="shared" si="13"/>
        <v>80</v>
      </c>
      <c r="D30" s="387">
        <f t="shared" si="13"/>
        <v>334</v>
      </c>
      <c r="E30" s="387">
        <f t="shared" si="13"/>
        <v>103</v>
      </c>
      <c r="F30" s="387">
        <f>SUM(F27:F28)</f>
        <v>173</v>
      </c>
      <c r="G30" s="387">
        <f>SUM(G27:G28)</f>
        <v>98</v>
      </c>
      <c r="H30" s="387">
        <f t="shared" si="13"/>
        <v>675</v>
      </c>
      <c r="I30" s="387">
        <f t="shared" si="13"/>
        <v>38</v>
      </c>
      <c r="J30" s="387">
        <f>SUM(J27:J28)</f>
        <v>4</v>
      </c>
      <c r="K30" s="387">
        <f t="shared" si="13"/>
        <v>176</v>
      </c>
      <c r="L30" s="387">
        <f>SUM(L27:L28)</f>
        <v>0</v>
      </c>
      <c r="M30" s="387">
        <f>SUM(M27:M28)</f>
        <v>0</v>
      </c>
      <c r="N30" s="387">
        <f>SUM(N27:N28)</f>
        <v>0</v>
      </c>
      <c r="O30" s="388">
        <f>SUM(B30:N30)</f>
        <v>2851</v>
      </c>
    </row>
    <row r="31" spans="1:15" ht="15" x14ac:dyDescent="0.25">
      <c r="A31" s="389"/>
    </row>
    <row r="32" spans="1:15" ht="39" thickBot="1" x14ac:dyDescent="0.25">
      <c r="B32" s="12" t="s">
        <v>18</v>
      </c>
      <c r="C32" s="272" t="s">
        <v>193</v>
      </c>
      <c r="D32" s="434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224</v>
      </c>
      <c r="K32" s="272" t="s">
        <v>209</v>
      </c>
      <c r="L32" s="272" t="s">
        <v>168</v>
      </c>
      <c r="M32" s="12" t="s">
        <v>162</v>
      </c>
      <c r="N32" s="12" t="s">
        <v>143</v>
      </c>
      <c r="O32" s="272" t="s">
        <v>145</v>
      </c>
    </row>
    <row r="33" spans="1:15" ht="15" x14ac:dyDescent="0.25">
      <c r="A33" s="564" t="s">
        <v>148</v>
      </c>
      <c r="B33" s="565"/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6"/>
    </row>
    <row r="34" spans="1:15" x14ac:dyDescent="0.2">
      <c r="A34" s="62" t="s">
        <v>22</v>
      </c>
      <c r="B34" s="21">
        <f>SUM([3]Delta!$EZ$15:$FB$15)</f>
        <v>1522</v>
      </c>
      <c r="C34" s="21">
        <f>SUM('[3]Atlantic Southeast'!$EZ$15:$FB$15)</f>
        <v>44</v>
      </c>
      <c r="D34" s="21">
        <f>SUM([3]Pinnacle!$EZ$15:$FB$15)</f>
        <v>363</v>
      </c>
      <c r="E34" s="21">
        <f>SUM([3]Compass!$EZ$15:$FB$15)</f>
        <v>356</v>
      </c>
      <c r="F34" s="21">
        <f>SUM('[3]Sky West'!$EZ$15:$FB$15)</f>
        <v>247</v>
      </c>
      <c r="G34" s="21">
        <f>SUM('[3]Go Jet'!$EZ$15:$FB$15)</f>
        <v>165</v>
      </c>
      <c r="H34" s="21">
        <f>SUM('[3]Sun Country'!$EZ$15:$FB$15)</f>
        <v>820</v>
      </c>
      <c r="I34" s="21">
        <f>SUM([3]Icelandair!$EZ$15:$FB$15)</f>
        <v>49</v>
      </c>
      <c r="J34" s="21">
        <f>SUM([3]KLM!$EZ$15:$FB$15)</f>
        <v>2</v>
      </c>
      <c r="K34" s="21">
        <f>SUM('[3]Air Georgian'!$EZ$15:$FB$15)</f>
        <v>252</v>
      </c>
      <c r="L34" s="21">
        <f>SUM([3]Condor!$EZ$15:$FB$15)</f>
        <v>0</v>
      </c>
      <c r="M34" s="21">
        <f>SUM('[3]Air France'!$EZ$15:$FB$15)</f>
        <v>0</v>
      </c>
      <c r="N34" s="21">
        <f>SUM('[3]Charter Misc'!$EZ$15:$FB$15)+SUM([3]Ryan!$EZ$15:$FB$15)+SUM([3]Omni!$EZ$15:$FB$15)</f>
        <v>1</v>
      </c>
      <c r="O34" s="281">
        <f>SUM(B34:N34)</f>
        <v>3821</v>
      </c>
    </row>
    <row r="35" spans="1:15" x14ac:dyDescent="0.2">
      <c r="A35" s="62" t="s">
        <v>23</v>
      </c>
      <c r="B35" s="21">
        <f>SUM([3]Delta!$EZ$16:$FB$16)</f>
        <v>1526</v>
      </c>
      <c r="C35" s="21">
        <f>SUM('[3]Atlantic Southeast'!$EZ$16:$FB$16)</f>
        <v>39</v>
      </c>
      <c r="D35" s="21">
        <f>SUM([3]Pinnacle!$EZ$16:$FB$16)</f>
        <v>365</v>
      </c>
      <c r="E35" s="21">
        <f>SUM([3]Compass!$EZ$16:$FB$16)</f>
        <v>353</v>
      </c>
      <c r="F35" s="21">
        <f>SUM('[3]Sky West'!$EZ$16:$FB$16)</f>
        <v>250</v>
      </c>
      <c r="G35" s="21">
        <f>SUM('[3]Go Jet'!$EZ$16:$FB$16)</f>
        <v>163</v>
      </c>
      <c r="H35" s="21">
        <f>SUM('[3]Sun Country'!$EZ$16:$FB$16)</f>
        <v>822</v>
      </c>
      <c r="I35" s="21">
        <f>SUM([3]Icelandair!$EZ$16:$FB$16)</f>
        <v>49</v>
      </c>
      <c r="J35" s="21">
        <f>SUM([3]KLM!$EZ$16:$FB$16)</f>
        <v>2</v>
      </c>
      <c r="K35" s="21">
        <f>SUM('[3]Air Georgian'!$EZ$16:$FB$16)</f>
        <v>252</v>
      </c>
      <c r="L35" s="21">
        <f>SUM([3]Condor!$EZ$16:$FB$16)</f>
        <v>0</v>
      </c>
      <c r="M35" s="21">
        <f>SUM('[3]Air France'!$EZ$16:$FB$16)</f>
        <v>0</v>
      </c>
      <c r="N35" s="21">
        <f>SUM('[3]Charter Misc'!$EZ$16:$FB$16)+SUM([3]Ryan!$EZ$16:$FB$16)+SUM([3]Omni!$EZ$16:$FB$16)</f>
        <v>1</v>
      </c>
      <c r="O35" s="281">
        <f>SUM(B35:N35)</f>
        <v>3822</v>
      </c>
    </row>
    <row r="36" spans="1:15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1"/>
    </row>
    <row r="37" spans="1:15" ht="15.75" thickBot="1" x14ac:dyDescent="0.3">
      <c r="A37" s="63" t="s">
        <v>28</v>
      </c>
      <c r="B37" s="387">
        <f t="shared" ref="B37:K37" si="14">+SUM(B34:B35)</f>
        <v>3048</v>
      </c>
      <c r="C37" s="387">
        <f t="shared" si="14"/>
        <v>83</v>
      </c>
      <c r="D37" s="387">
        <f t="shared" si="14"/>
        <v>728</v>
      </c>
      <c r="E37" s="387">
        <f t="shared" si="14"/>
        <v>709</v>
      </c>
      <c r="F37" s="387">
        <f>+SUM(F34:F35)</f>
        <v>497</v>
      </c>
      <c r="G37" s="387">
        <f>+SUM(G34:G35)</f>
        <v>328</v>
      </c>
      <c r="H37" s="387">
        <f t="shared" si="14"/>
        <v>1642</v>
      </c>
      <c r="I37" s="387">
        <f t="shared" si="14"/>
        <v>98</v>
      </c>
      <c r="J37" s="387">
        <f>+SUM(J34:J35)</f>
        <v>4</v>
      </c>
      <c r="K37" s="387">
        <f t="shared" si="14"/>
        <v>504</v>
      </c>
      <c r="L37" s="387">
        <f>+SUM(L34:L35)</f>
        <v>0</v>
      </c>
      <c r="M37" s="387">
        <f>+SUM(M34:M35)</f>
        <v>0</v>
      </c>
      <c r="N37" s="387">
        <f>+SUM(N34:N35)</f>
        <v>2</v>
      </c>
      <c r="O37" s="388">
        <f>SUM(B37:N37)</f>
        <v>7643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&amp;"Arial,Bold"March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0"/>
  <sheetViews>
    <sheetView topLeftCell="A49" zoomScaleNormal="100" zoomScaleSheetLayoutView="85" workbookViewId="0">
      <selection activeCell="G69" sqref="G69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5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70" t="s">
        <v>135</v>
      </c>
      <c r="B1" s="571"/>
      <c r="C1" s="469" t="s">
        <v>202</v>
      </c>
      <c r="D1" s="470" t="s">
        <v>176</v>
      </c>
      <c r="E1" s="267" t="s">
        <v>98</v>
      </c>
      <c r="F1" s="266" t="s">
        <v>203</v>
      </c>
      <c r="G1" s="470" t="s">
        <v>177</v>
      </c>
      <c r="H1" s="265" t="s">
        <v>99</v>
      </c>
      <c r="I1" s="267" t="s">
        <v>140</v>
      </c>
      <c r="J1" s="576" t="s">
        <v>139</v>
      </c>
      <c r="K1" s="577"/>
      <c r="L1" s="467" t="s">
        <v>204</v>
      </c>
      <c r="M1" s="468" t="s">
        <v>178</v>
      </c>
      <c r="N1" s="345" t="s">
        <v>99</v>
      </c>
      <c r="O1" s="508" t="s">
        <v>205</v>
      </c>
      <c r="P1" s="268" t="s">
        <v>179</v>
      </c>
      <c r="Q1" s="504" t="s">
        <v>99</v>
      </c>
      <c r="R1" s="509" t="s">
        <v>217</v>
      </c>
    </row>
    <row r="2" spans="1:19" s="224" customFormat="1" ht="13.5" customHeight="1" thickBot="1" x14ac:dyDescent="0.25">
      <c r="A2" s="572">
        <v>42795</v>
      </c>
      <c r="B2" s="573"/>
      <c r="C2" s="574" t="s">
        <v>9</v>
      </c>
      <c r="D2" s="575"/>
      <c r="E2" s="575"/>
      <c r="F2" s="575"/>
      <c r="G2" s="575"/>
      <c r="H2" s="575"/>
      <c r="I2" s="471"/>
      <c r="J2" s="572">
        <v>42795</v>
      </c>
      <c r="K2" s="573"/>
      <c r="L2" s="567" t="s">
        <v>141</v>
      </c>
      <c r="M2" s="568"/>
      <c r="N2" s="568"/>
      <c r="O2" s="568"/>
      <c r="P2" s="568"/>
      <c r="Q2" s="568"/>
      <c r="R2" s="569"/>
    </row>
    <row r="3" spans="1:19" x14ac:dyDescent="0.2">
      <c r="A3" s="346"/>
      <c r="B3" s="347"/>
      <c r="C3" s="348"/>
      <c r="D3" s="349"/>
      <c r="E3" s="350"/>
      <c r="F3" s="417"/>
      <c r="G3" s="418"/>
      <c r="H3" s="501"/>
      <c r="I3" s="350"/>
      <c r="J3" s="351"/>
      <c r="K3" s="347"/>
      <c r="L3" s="510"/>
      <c r="M3" s="5"/>
      <c r="N3" s="85"/>
      <c r="O3" s="346"/>
      <c r="P3" s="352"/>
      <c r="Q3" s="352"/>
      <c r="R3" s="347"/>
    </row>
    <row r="4" spans="1:19" ht="14.1" customHeight="1" x14ac:dyDescent="0.2">
      <c r="A4" s="353" t="s">
        <v>101</v>
      </c>
      <c r="B4" s="55"/>
      <c r="C4" s="354">
        <f>SUM(C5:C7)</f>
        <v>176</v>
      </c>
      <c r="D4" s="356">
        <f>SUM(D5:D7)</f>
        <v>180</v>
      </c>
      <c r="E4" s="357">
        <f>(C4-D4)/D4</f>
        <v>-2.2222222222222223E-2</v>
      </c>
      <c r="F4" s="354">
        <f>SUM(F5:F7)</f>
        <v>504</v>
      </c>
      <c r="G4" s="356">
        <f>SUM(G5:G7)</f>
        <v>522</v>
      </c>
      <c r="H4" s="355">
        <f>(F4-G4)/G4</f>
        <v>-3.4482758620689655E-2</v>
      </c>
      <c r="I4" s="357">
        <f>F4/$F$66</f>
        <v>5.6259418429424569E-3</v>
      </c>
      <c r="J4" s="353" t="s">
        <v>101</v>
      </c>
      <c r="K4" s="55"/>
      <c r="L4" s="354">
        <f>SUM(L5:L7)</f>
        <v>6996</v>
      </c>
      <c r="M4" s="356">
        <f>SUM(M5:M7)</f>
        <v>7341</v>
      </c>
      <c r="N4" s="357">
        <f>(L4-M4)/M4</f>
        <v>-4.69963220269718E-2</v>
      </c>
      <c r="O4" s="354">
        <f>SUM(O5:O7)</f>
        <v>19087</v>
      </c>
      <c r="P4" s="356">
        <f>SUM(P5:P7)</f>
        <v>19987</v>
      </c>
      <c r="Q4" s="355">
        <f>(O4-P4)/P4</f>
        <v>-4.5029269024866161E-2</v>
      </c>
      <c r="R4" s="357">
        <f>O4/$O$66</f>
        <v>2.258842765277041E-3</v>
      </c>
      <c r="S4" s="20"/>
    </row>
    <row r="5" spans="1:19" ht="14.1" customHeight="1" x14ac:dyDescent="0.2">
      <c r="A5" s="353"/>
      <c r="B5" s="436" t="s">
        <v>101</v>
      </c>
      <c r="C5" s="358">
        <v>0</v>
      </c>
      <c r="D5" s="9">
        <v>0</v>
      </c>
      <c r="E5" s="86" t="e">
        <f>(C5-D5)/D5</f>
        <v>#DIV/0!</v>
      </c>
      <c r="F5" s="295">
        <v>0</v>
      </c>
      <c r="G5" s="295">
        <v>0</v>
      </c>
      <c r="H5" s="443" t="e">
        <f>(F5-G5)/G5</f>
        <v>#DIV/0!</v>
      </c>
      <c r="I5" s="86">
        <f>F5/$F$66</f>
        <v>0</v>
      </c>
      <c r="J5" s="353"/>
      <c r="K5" s="436" t="s">
        <v>101</v>
      </c>
      <c r="L5" s="442">
        <v>0</v>
      </c>
      <c r="M5" s="295">
        <v>0</v>
      </c>
      <c r="N5" s="444" t="e">
        <f>(L5-M5)/M5</f>
        <v>#DIV/0!</v>
      </c>
      <c r="O5" s="442">
        <v>0</v>
      </c>
      <c r="P5" s="295">
        <v>0</v>
      </c>
      <c r="Q5" s="443" t="e">
        <f>(O5-P5)/P5</f>
        <v>#DIV/0!</v>
      </c>
      <c r="R5" s="444">
        <f>O5/$O$66</f>
        <v>0</v>
      </c>
      <c r="S5" s="20"/>
    </row>
    <row r="6" spans="1:19" ht="14.1" customHeight="1" x14ac:dyDescent="0.2">
      <c r="A6" s="353"/>
      <c r="B6" s="465" t="s">
        <v>180</v>
      </c>
      <c r="C6" s="442">
        <f>'[3]Jazz Air'!$FB$19</f>
        <v>0</v>
      </c>
      <c r="D6" s="295">
        <f>'[3]Jazz Air'!$EN$19</f>
        <v>0</v>
      </c>
      <c r="E6" s="444" t="e">
        <f>(C6-D6)/D6</f>
        <v>#DIV/0!</v>
      </c>
      <c r="F6" s="295">
        <f>SUM('[3]Jazz Air'!$EZ$19:$FB$19)</f>
        <v>0</v>
      </c>
      <c r="G6" s="295">
        <f>SUM('[3]Jazz Air'!$EL$19:$EN$19)</f>
        <v>185</v>
      </c>
      <c r="H6" s="443">
        <f>(F6-G6)/G6</f>
        <v>-1</v>
      </c>
      <c r="I6" s="444">
        <f>F6/$F$66</f>
        <v>0</v>
      </c>
      <c r="J6" s="445"/>
      <c r="K6" s="436" t="s">
        <v>180</v>
      </c>
      <c r="L6" s="442">
        <f>'[3]Jazz Air'!$FB$41</f>
        <v>0</v>
      </c>
      <c r="M6" s="295">
        <f>'[3]Jazz Air'!$EN$41</f>
        <v>0</v>
      </c>
      <c r="N6" s="444" t="e">
        <f>(L6-M6)/M6</f>
        <v>#DIV/0!</v>
      </c>
      <c r="O6" s="442">
        <f>SUM('[3]Jazz Air'!$EZ$41:$FB$41)</f>
        <v>0</v>
      </c>
      <c r="P6" s="295">
        <f>SUM('[3]Jazz Air'!$EL$41:$EN$41)</f>
        <v>6759</v>
      </c>
      <c r="Q6" s="443">
        <f>(O6-P6)/P6</f>
        <v>-1</v>
      </c>
      <c r="R6" s="444">
        <f>O6/$O$66</f>
        <v>0</v>
      </c>
      <c r="S6" s="20"/>
    </row>
    <row r="7" spans="1:19" ht="14.1" customHeight="1" x14ac:dyDescent="0.2">
      <c r="A7" s="353"/>
      <c r="B7" s="436" t="s">
        <v>181</v>
      </c>
      <c r="C7" s="358">
        <f>'[3]Air Georgian'!$FB$19</f>
        <v>176</v>
      </c>
      <c r="D7" s="9">
        <f>'[3]Air Georgian'!$EN$19</f>
        <v>180</v>
      </c>
      <c r="E7" s="86">
        <f>(C7-D7)/D7</f>
        <v>-2.2222222222222223E-2</v>
      </c>
      <c r="F7" s="295">
        <f>SUM('[3]Air Georgian'!$EZ$19:$FB$19)</f>
        <v>504</v>
      </c>
      <c r="G7" s="295">
        <f>SUM('[3]Air Georgian'!$EL$19:$EN$19)</f>
        <v>337</v>
      </c>
      <c r="H7" s="443">
        <f>(F7-G7)/G7</f>
        <v>0.49554896142433236</v>
      </c>
      <c r="I7" s="86">
        <f>F7/$F$66</f>
        <v>5.6259418429424569E-3</v>
      </c>
      <c r="J7" s="353"/>
      <c r="K7" s="436" t="s">
        <v>181</v>
      </c>
      <c r="L7" s="358">
        <f>'[3]Air Georgian'!$FB$41</f>
        <v>6996</v>
      </c>
      <c r="M7" s="9">
        <f>'[3]Air Georgian'!$EN$41</f>
        <v>7341</v>
      </c>
      <c r="N7" s="86">
        <f>(L7-M7)/M7</f>
        <v>-4.69963220269718E-2</v>
      </c>
      <c r="O7" s="358">
        <f>SUM('[3]Air Georgian'!$EZ$41:$FB$41)</f>
        <v>19087</v>
      </c>
      <c r="P7" s="9">
        <f>SUM('[3]Air Georgian'!$EL$41:$EN$41)</f>
        <v>13228</v>
      </c>
      <c r="Q7" s="39">
        <f>(O7-P7)/P7</f>
        <v>0.44292410039310554</v>
      </c>
      <c r="R7" s="86">
        <f>O7/$O$66</f>
        <v>2.258842765277041E-3</v>
      </c>
      <c r="S7" s="20"/>
    </row>
    <row r="8" spans="1:19" ht="14.1" customHeight="1" x14ac:dyDescent="0.2">
      <c r="A8" s="353"/>
      <c r="B8" s="55"/>
      <c r="C8" s="354"/>
      <c r="D8" s="356"/>
      <c r="E8" s="357"/>
      <c r="F8" s="356"/>
      <c r="G8" s="356"/>
      <c r="H8" s="355"/>
      <c r="I8" s="357"/>
      <c r="J8" s="353"/>
      <c r="K8" s="55"/>
      <c r="L8" s="358"/>
      <c r="M8" s="9"/>
      <c r="N8" s="86"/>
      <c r="O8" s="358"/>
      <c r="P8" s="9"/>
      <c r="Q8" s="39"/>
      <c r="R8" s="86"/>
      <c r="S8" s="20"/>
    </row>
    <row r="9" spans="1:19" ht="14.1" customHeight="1" x14ac:dyDescent="0.2">
      <c r="A9" s="353" t="s">
        <v>206</v>
      </c>
      <c r="B9" s="55"/>
      <c r="C9" s="354">
        <f>'[3]Air Choice One'!$FB$19</f>
        <v>254</v>
      </c>
      <c r="D9" s="356">
        <f>'[3]Air Choice One'!$EN$19</f>
        <v>0</v>
      </c>
      <c r="E9" s="357" t="e">
        <f>(C9-D9)/D9</f>
        <v>#DIV/0!</v>
      </c>
      <c r="F9" s="356">
        <f>SUM('[3]Air Choice One'!$EZ$19:$FB$19)</f>
        <v>718</v>
      </c>
      <c r="G9" s="356">
        <f>SUM('[3]Air Choice One'!$EL$19:$EN$19)</f>
        <v>0</v>
      </c>
      <c r="H9" s="355" t="e">
        <f>(F9-G9)/G9</f>
        <v>#DIV/0!</v>
      </c>
      <c r="I9" s="357">
        <f>F9/$F$66</f>
        <v>8.0147346095886581E-3</v>
      </c>
      <c r="J9" s="353" t="s">
        <v>206</v>
      </c>
      <c r="K9" s="55"/>
      <c r="L9" s="354">
        <f>'[3]Air Choice One'!$FB$41</f>
        <v>857</v>
      </c>
      <c r="M9" s="356">
        <f>'[3]Air Choice One'!$EN$41</f>
        <v>0</v>
      </c>
      <c r="N9" s="357" t="e">
        <f>(L9-M9)/M9</f>
        <v>#DIV/0!</v>
      </c>
      <c r="O9" s="354">
        <f>SUM('[3]Air Choice One'!$EZ$41:$FB$41)</f>
        <v>2331</v>
      </c>
      <c r="P9" s="356">
        <f>SUM('[3]Air Choice One'!$EL$41:$EN$41)</f>
        <v>0</v>
      </c>
      <c r="Q9" s="355" t="e">
        <f>(O9-P9)/P9</f>
        <v>#DIV/0!</v>
      </c>
      <c r="R9" s="357">
        <f>O9/$O$66</f>
        <v>2.7586118750252964E-4</v>
      </c>
      <c r="S9" s="20"/>
    </row>
    <row r="10" spans="1:19" ht="14.1" customHeight="1" x14ac:dyDescent="0.2">
      <c r="A10" s="353"/>
      <c r="B10" s="55"/>
      <c r="C10" s="354"/>
      <c r="D10" s="356"/>
      <c r="E10" s="357"/>
      <c r="F10" s="356"/>
      <c r="G10" s="356"/>
      <c r="H10" s="355"/>
      <c r="I10" s="357"/>
      <c r="J10" s="353"/>
      <c r="K10" s="55"/>
      <c r="L10" s="358"/>
      <c r="M10" s="9"/>
      <c r="N10" s="86"/>
      <c r="O10" s="358"/>
      <c r="P10" s="9"/>
      <c r="Q10" s="39"/>
      <c r="R10" s="86"/>
      <c r="S10" s="20"/>
    </row>
    <row r="11" spans="1:19" ht="14.1" customHeight="1" x14ac:dyDescent="0.2">
      <c r="A11" s="353" t="s">
        <v>162</v>
      </c>
      <c r="B11" s="55"/>
      <c r="C11" s="354">
        <f>'[3]Air France'!$FB$19</f>
        <v>0</v>
      </c>
      <c r="D11" s="356">
        <f>'[3]Air France'!$EN$19</f>
        <v>0</v>
      </c>
      <c r="E11" s="357" t="e">
        <f>(C11-D11)/D11</f>
        <v>#DIV/0!</v>
      </c>
      <c r="F11" s="356">
        <f>SUM('[3]Air France'!$EZ$19:$FB$19)</f>
        <v>0</v>
      </c>
      <c r="G11" s="356">
        <f>SUM('[3]Air France'!$EL$19:$EN$19)</f>
        <v>0</v>
      </c>
      <c r="H11" s="355" t="e">
        <f>(F11-G11)/G11</f>
        <v>#DIV/0!</v>
      </c>
      <c r="I11" s="357">
        <f>F11/$F$66</f>
        <v>0</v>
      </c>
      <c r="J11" s="353" t="s">
        <v>162</v>
      </c>
      <c r="K11" s="55"/>
      <c r="L11" s="354">
        <f>'[3]Air France'!$FB$41</f>
        <v>0</v>
      </c>
      <c r="M11" s="356">
        <f>'[3]Air France'!$EN$41</f>
        <v>0</v>
      </c>
      <c r="N11" s="357" t="e">
        <f>(L11-M11)/M11</f>
        <v>#DIV/0!</v>
      </c>
      <c r="O11" s="354">
        <f>SUM('[3]Air France'!$EZ$41:$FB$41)</f>
        <v>0</v>
      </c>
      <c r="P11" s="356">
        <f>SUM('[3]Air France'!$EL$41:$EN$41)</f>
        <v>0</v>
      </c>
      <c r="Q11" s="355" t="e">
        <f>(O11-P11)/P11</f>
        <v>#DIV/0!</v>
      </c>
      <c r="R11" s="357">
        <f>O11/$O$66</f>
        <v>0</v>
      </c>
      <c r="S11" s="20"/>
    </row>
    <row r="12" spans="1:19" ht="14.1" customHeight="1" x14ac:dyDescent="0.2">
      <c r="A12" s="353"/>
      <c r="B12" s="55"/>
      <c r="C12" s="354"/>
      <c r="D12" s="356"/>
      <c r="E12" s="357"/>
      <c r="F12" s="356"/>
      <c r="G12" s="356"/>
      <c r="H12" s="355"/>
      <c r="I12" s="357"/>
      <c r="J12" s="353"/>
      <c r="K12" s="55"/>
      <c r="L12" s="358"/>
      <c r="M12" s="9"/>
      <c r="N12" s="86"/>
      <c r="O12" s="358"/>
      <c r="P12" s="9"/>
      <c r="Q12" s="39"/>
      <c r="R12" s="86"/>
      <c r="S12" s="20"/>
    </row>
    <row r="13" spans="1:19" ht="14.1" customHeight="1" x14ac:dyDescent="0.2">
      <c r="A13" s="353" t="s">
        <v>131</v>
      </c>
      <c r="B13" s="55"/>
      <c r="C13" s="354">
        <f>SUM(C14:C15)</f>
        <v>164</v>
      </c>
      <c r="D13" s="356">
        <f>SUM(D14:D15)</f>
        <v>184</v>
      </c>
      <c r="E13" s="357">
        <f>(C13-D13)/D13</f>
        <v>-0.10869565217391304</v>
      </c>
      <c r="F13" s="356">
        <f>SUM(F14:F15)</f>
        <v>453</v>
      </c>
      <c r="G13" s="356">
        <f>SUM(G14:G15)</f>
        <v>450</v>
      </c>
      <c r="H13" s="355">
        <f>(F13-G13)/G13</f>
        <v>6.6666666666666671E-3</v>
      </c>
      <c r="I13" s="357">
        <f>F13/$F$66</f>
        <v>5.0566501088351841E-3</v>
      </c>
      <c r="J13" s="353" t="s">
        <v>131</v>
      </c>
      <c r="K13" s="55"/>
      <c r="L13" s="354">
        <f>SUM(L14:L15)</f>
        <v>19967</v>
      </c>
      <c r="M13" s="356">
        <f>SUM(M14:M15)</f>
        <v>23354</v>
      </c>
      <c r="N13" s="357">
        <f>(L13-M13)/M13</f>
        <v>-0.14502868887556736</v>
      </c>
      <c r="O13" s="354">
        <f>SUM(O14:O15)</f>
        <v>50589</v>
      </c>
      <c r="P13" s="356">
        <f>SUM(P14:P15)</f>
        <v>59730</v>
      </c>
      <c r="Q13" s="355">
        <f>(O13-P13)/P13</f>
        <v>-0.15303867403314916</v>
      </c>
      <c r="R13" s="357">
        <f>O13/$O$66</f>
        <v>5.9869333395819267E-3</v>
      </c>
      <c r="S13" s="20"/>
    </row>
    <row r="14" spans="1:19" ht="14.1" customHeight="1" x14ac:dyDescent="0.2">
      <c r="A14" s="353"/>
      <c r="B14" s="436" t="s">
        <v>131</v>
      </c>
      <c r="C14" s="442">
        <f>[3]Alaska!$FB$19</f>
        <v>102</v>
      </c>
      <c r="D14" s="295">
        <f>[3]Alaska!$EN$19</f>
        <v>124</v>
      </c>
      <c r="E14" s="444">
        <f>(C14-D14)/D14</f>
        <v>-0.17741935483870969</v>
      </c>
      <c r="F14" s="295">
        <f>SUM([3]Alaska!$EZ$19:$FB$19)</f>
        <v>278</v>
      </c>
      <c r="G14" s="295">
        <f>SUM([3]Alaska!$EL$19:$EN$19)</f>
        <v>390</v>
      </c>
      <c r="H14" s="443">
        <f>(F14-G14)/G14</f>
        <v>-0.28717948717948716</v>
      </c>
      <c r="I14" s="444">
        <f>F14/$F$66</f>
        <v>3.1031980800357204E-3</v>
      </c>
      <c r="J14" s="353"/>
      <c r="K14" s="436" t="s">
        <v>131</v>
      </c>
      <c r="L14" s="442">
        <f>[3]Alaska!$FB$41</f>
        <v>15746</v>
      </c>
      <c r="M14" s="295">
        <f>[3]Alaska!$EN$41</f>
        <v>19359</v>
      </c>
      <c r="N14" s="444">
        <f>(L14-M14)/M14</f>
        <v>-0.18663154088537631</v>
      </c>
      <c r="O14" s="442">
        <f>SUM([3]Alaska!$EZ$41:$FB$41)</f>
        <v>39451</v>
      </c>
      <c r="P14" s="295">
        <f>SUM([3]Alaska!$EL$41:$EN$41)</f>
        <v>55735</v>
      </c>
      <c r="Q14" s="443">
        <f>(O14-P14)/P14</f>
        <v>-0.29216829640261954</v>
      </c>
      <c r="R14" s="444">
        <f>O14/$O$66</f>
        <v>4.6688115436131685E-3</v>
      </c>
      <c r="S14" s="20"/>
    </row>
    <row r="15" spans="1:19" ht="14.1" customHeight="1" x14ac:dyDescent="0.2">
      <c r="A15" s="353"/>
      <c r="B15" s="436" t="s">
        <v>100</v>
      </c>
      <c r="C15" s="358">
        <f>'[3]Sky West_AS'!$FB$19</f>
        <v>62</v>
      </c>
      <c r="D15" s="9">
        <f>'[3]Sky West_AS'!$EN$19</f>
        <v>60</v>
      </c>
      <c r="E15" s="86">
        <f>(C15-D15)/D15</f>
        <v>3.3333333333333333E-2</v>
      </c>
      <c r="F15" s="9">
        <f>SUM('[3]Sky West_AS'!$EZ$19:$FB$19)</f>
        <v>175</v>
      </c>
      <c r="G15" s="9">
        <f>SUM('[3]Sky West_AS'!$EL$19:$EN$19)</f>
        <v>60</v>
      </c>
      <c r="H15" s="39">
        <f>(F15-G15)/G15</f>
        <v>1.9166666666666667</v>
      </c>
      <c r="I15" s="86">
        <f>F15/$F$66</f>
        <v>1.9534520287994642E-3</v>
      </c>
      <c r="J15" s="353"/>
      <c r="K15" s="436" t="s">
        <v>100</v>
      </c>
      <c r="L15" s="358">
        <f>'[3]Sky West_AS'!$FB$41</f>
        <v>4221</v>
      </c>
      <c r="M15" s="9">
        <f>'[3]Sky West_AS'!$EN$41</f>
        <v>3995</v>
      </c>
      <c r="N15" s="86">
        <f>(L15-M15)/M15</f>
        <v>5.6570713391739677E-2</v>
      </c>
      <c r="O15" s="358">
        <f>SUM('[3]Sky West_AS'!$EZ$41:$FB$41)</f>
        <v>11138</v>
      </c>
      <c r="P15" s="9">
        <f>SUM('[3]Sky West_AS'!$EL$41:$EN$41)</f>
        <v>3995</v>
      </c>
      <c r="Q15" s="39">
        <f>(O15-P15)/P15</f>
        <v>1.7879849812265332</v>
      </c>
      <c r="R15" s="444">
        <f>O15/$O$66</f>
        <v>1.3181217959687579E-3</v>
      </c>
      <c r="S15" s="20"/>
    </row>
    <row r="16" spans="1:19" ht="14.1" customHeight="1" x14ac:dyDescent="0.2">
      <c r="A16" s="353"/>
      <c r="B16" s="55"/>
      <c r="C16" s="354"/>
      <c r="D16" s="359"/>
      <c r="E16" s="357"/>
      <c r="F16" s="359"/>
      <c r="G16" s="359"/>
      <c r="H16" s="355"/>
      <c r="I16" s="357"/>
      <c r="J16" s="353"/>
      <c r="K16" s="55"/>
      <c r="L16" s="360"/>
      <c r="M16" s="146"/>
      <c r="N16" s="86"/>
      <c r="O16" s="360"/>
      <c r="P16" s="146"/>
      <c r="Q16" s="39"/>
      <c r="R16" s="86"/>
      <c r="S16" s="20"/>
    </row>
    <row r="17" spans="1:22" ht="14.1" customHeight="1" x14ac:dyDescent="0.2">
      <c r="A17" s="353" t="s">
        <v>17</v>
      </c>
      <c r="B17" s="366"/>
      <c r="C17" s="354">
        <f>SUM(C18:C24)</f>
        <v>1970</v>
      </c>
      <c r="D17" s="356">
        <f>SUM(D18:D24)</f>
        <v>1765</v>
      </c>
      <c r="E17" s="357">
        <f t="shared" ref="E17:E24" si="0">(C17-D17)/D17</f>
        <v>0.11614730878186968</v>
      </c>
      <c r="F17" s="354">
        <f>SUM(F18:F24)</f>
        <v>5476</v>
      </c>
      <c r="G17" s="356">
        <f>SUM(G18:G24)</f>
        <v>5048</v>
      </c>
      <c r="H17" s="355">
        <f t="shared" ref="H17:H24" si="1">(F17-G17)/G17</f>
        <v>8.4786053882725837E-2</v>
      </c>
      <c r="I17" s="357">
        <f t="shared" ref="I17:I24" si="2">F17/$F$66</f>
        <v>6.1126304626890664E-2</v>
      </c>
      <c r="J17" s="353" t="s">
        <v>17</v>
      </c>
      <c r="K17" s="361"/>
      <c r="L17" s="354">
        <f>SUM(L18:L24)</f>
        <v>219059</v>
      </c>
      <c r="M17" s="356">
        <f>SUM(M18:M24)</f>
        <v>202875</v>
      </c>
      <c r="N17" s="357">
        <f t="shared" ref="N17:N24" si="3">(L17-M17)/M17</f>
        <v>7.9773259396179907E-2</v>
      </c>
      <c r="O17" s="354">
        <f>SUM(O18:O24)</f>
        <v>564261</v>
      </c>
      <c r="P17" s="356">
        <f>SUM(P18:P24)</f>
        <v>568947</v>
      </c>
      <c r="Q17" s="355">
        <f t="shared" ref="Q17:Q24" si="4">(O17-P17)/P17</f>
        <v>-8.2362680530875462E-3</v>
      </c>
      <c r="R17" s="357">
        <f t="shared" ref="R17:R24" si="5">O17/$O$66</f>
        <v>6.6777224161889692E-2</v>
      </c>
      <c r="S17" s="20"/>
    </row>
    <row r="18" spans="1:22" ht="14.1" customHeight="1" x14ac:dyDescent="0.2">
      <c r="A18" s="53"/>
      <c r="B18" s="363" t="s">
        <v>17</v>
      </c>
      <c r="C18" s="358">
        <f>[3]American!$FB$19</f>
        <v>1623</v>
      </c>
      <c r="D18" s="9">
        <f>[3]American!$EN$19</f>
        <v>1431</v>
      </c>
      <c r="E18" s="86">
        <f t="shared" si="0"/>
        <v>0.13417190775681342</v>
      </c>
      <c r="F18" s="9">
        <f>SUM([3]American!$EZ$19:$FB$19)</f>
        <v>4498</v>
      </c>
      <c r="G18" s="9">
        <f>SUM([3]American!$EL$19:$EN$19)</f>
        <v>4230</v>
      </c>
      <c r="H18" s="39">
        <f t="shared" si="1"/>
        <v>6.3356973995271862E-2</v>
      </c>
      <c r="I18" s="86">
        <f t="shared" si="2"/>
        <v>5.0209298431657085E-2</v>
      </c>
      <c r="J18" s="53"/>
      <c r="K18" s="362" t="s">
        <v>17</v>
      </c>
      <c r="L18" s="358">
        <f>[3]American!$FB$41</f>
        <v>201414</v>
      </c>
      <c r="M18" s="9">
        <f>[3]American!$EN$41</f>
        <v>185017</v>
      </c>
      <c r="N18" s="86">
        <f t="shared" si="3"/>
        <v>8.862428857888735E-2</v>
      </c>
      <c r="O18" s="358">
        <f>SUM([3]American!$EZ$41:$FB$41)</f>
        <v>521653</v>
      </c>
      <c r="P18" s="9">
        <f>SUM([3]American!$EL$41:$EN$41)</f>
        <v>528535</v>
      </c>
      <c r="Q18" s="39">
        <f t="shared" si="4"/>
        <v>-1.302089738617121E-2</v>
      </c>
      <c r="R18" s="86">
        <f t="shared" si="5"/>
        <v>6.1734798817785104E-2</v>
      </c>
      <c r="S18" s="20"/>
    </row>
    <row r="19" spans="1:22" ht="14.1" customHeight="1" x14ac:dyDescent="0.2">
      <c r="A19" s="53"/>
      <c r="B19" s="437" t="s">
        <v>182</v>
      </c>
      <c r="C19" s="358">
        <f>'[3]American Eagle'!$FB$19</f>
        <v>17</v>
      </c>
      <c r="D19" s="9">
        <f>'[3]American Eagle'!$EN$19</f>
        <v>34</v>
      </c>
      <c r="E19" s="86">
        <f t="shared" si="0"/>
        <v>-0.5</v>
      </c>
      <c r="F19" s="9">
        <f>SUM('[3]American Eagle'!$EZ$19:$FB$19)</f>
        <v>56</v>
      </c>
      <c r="G19" s="9">
        <f>SUM('[3]American Eagle'!$EL$19:$EN$19)</f>
        <v>62</v>
      </c>
      <c r="H19" s="39">
        <f t="shared" si="1"/>
        <v>-9.6774193548387094E-2</v>
      </c>
      <c r="I19" s="86">
        <f t="shared" si="2"/>
        <v>6.2510464921582858E-4</v>
      </c>
      <c r="J19" s="53"/>
      <c r="K19" s="435" t="s">
        <v>182</v>
      </c>
      <c r="L19" s="358">
        <f>'[3]American Eagle'!$FB$41</f>
        <v>840</v>
      </c>
      <c r="M19" s="9">
        <f>'[3]American Eagle'!$EN$41</f>
        <v>1587</v>
      </c>
      <c r="N19" s="86">
        <f t="shared" si="3"/>
        <v>-0.47069943289224953</v>
      </c>
      <c r="O19" s="358">
        <f>SUM('[3]American Eagle'!$EZ$41:$FB$41)</f>
        <v>2658</v>
      </c>
      <c r="P19" s="9">
        <f>SUM('[3]American Eagle'!$EL$41:$EN$41)</f>
        <v>3036</v>
      </c>
      <c r="Q19" s="39">
        <f t="shared" si="4"/>
        <v>-0.12450592885375494</v>
      </c>
      <c r="R19" s="86">
        <f t="shared" si="5"/>
        <v>3.1455986116762062E-4</v>
      </c>
      <c r="S19" s="20"/>
    </row>
    <row r="20" spans="1:22" ht="14.1" customHeight="1" x14ac:dyDescent="0.2">
      <c r="A20" s="53"/>
      <c r="B20" s="437" t="s">
        <v>52</v>
      </c>
      <c r="C20" s="358">
        <f>[3]Republic!$FB$19</f>
        <v>276</v>
      </c>
      <c r="D20" s="9">
        <f>[3]Republic!$EN$19</f>
        <v>284</v>
      </c>
      <c r="E20" s="86">
        <f t="shared" si="0"/>
        <v>-2.8169014084507043E-2</v>
      </c>
      <c r="F20" s="9">
        <f>SUM([3]Republic!$EZ$19:$FB$19)</f>
        <v>788</v>
      </c>
      <c r="G20" s="9">
        <f>SUM([3]Republic!$EL$19:$EN$19)</f>
        <v>642</v>
      </c>
      <c r="H20" s="39">
        <f t="shared" si="1"/>
        <v>0.22741433021806853</v>
      </c>
      <c r="I20" s="86">
        <f t="shared" si="2"/>
        <v>8.7961154211084452E-3</v>
      </c>
      <c r="J20" s="369"/>
      <c r="K20" s="364" t="s">
        <v>52</v>
      </c>
      <c r="L20" s="358">
        <f>[3]Republic!$FB$41</f>
        <v>14235</v>
      </c>
      <c r="M20" s="9">
        <f>[3]Republic!$EN$41</f>
        <v>15784</v>
      </c>
      <c r="N20" s="86">
        <f t="shared" si="3"/>
        <v>-9.8137354282818043E-2</v>
      </c>
      <c r="O20" s="358">
        <f>SUM([3]Republic!$EZ$41:$FB$41)</f>
        <v>34226</v>
      </c>
      <c r="P20" s="9">
        <f>SUM([3]Republic!$EL$41:$EN$41)</f>
        <v>32670</v>
      </c>
      <c r="Q20" s="39">
        <f t="shared" si="4"/>
        <v>4.7627793082338533E-2</v>
      </c>
      <c r="R20" s="86">
        <f t="shared" si="5"/>
        <v>4.0504611769461938E-3</v>
      </c>
      <c r="S20" s="20"/>
    </row>
    <row r="21" spans="1:22" ht="14.1" customHeight="1" x14ac:dyDescent="0.2">
      <c r="A21" s="53"/>
      <c r="B21" s="437" t="s">
        <v>211</v>
      </c>
      <c r="C21" s="358">
        <f>[3]PSA!$FB$19</f>
        <v>44</v>
      </c>
      <c r="D21" s="9">
        <f>[3]PSA!$EN$19</f>
        <v>0</v>
      </c>
      <c r="E21" s="86" t="e">
        <f t="shared" si="0"/>
        <v>#DIV/0!</v>
      </c>
      <c r="F21" s="9">
        <f>SUM([3]PSA!$EZ$19:$FB$19)</f>
        <v>118</v>
      </c>
      <c r="G21" s="9">
        <f>SUM([3]PSA!$EL$19:$EN$19)</f>
        <v>0</v>
      </c>
      <c r="H21" s="39" t="e">
        <f t="shared" ref="H21" si="6">(F21-G21)/G21</f>
        <v>#DIV/0!</v>
      </c>
      <c r="I21" s="86">
        <f t="shared" si="2"/>
        <v>1.3171847965619244E-3</v>
      </c>
      <c r="J21" s="369"/>
      <c r="K21" s="437" t="s">
        <v>211</v>
      </c>
      <c r="L21" s="358">
        <f>[3]PSA!$FB$41</f>
        <v>2139</v>
      </c>
      <c r="M21" s="9">
        <f>[3]PSA!$EN$41</f>
        <v>0</v>
      </c>
      <c r="N21" s="86" t="e">
        <f t="shared" si="3"/>
        <v>#DIV/0!</v>
      </c>
      <c r="O21" s="358">
        <f>SUM([3]PSA!$EZ$41:$FB$41)</f>
        <v>4971</v>
      </c>
      <c r="P21" s="9">
        <f>SUM([3]PSA!$EL$41:$EN$41)</f>
        <v>0</v>
      </c>
      <c r="Q21" s="39" t="e">
        <f t="shared" ref="Q21" si="7">(O21-P21)/P21</f>
        <v>#DIV/0!</v>
      </c>
      <c r="R21" s="86">
        <f t="shared" si="5"/>
        <v>5.8829084645005349E-4</v>
      </c>
      <c r="S21" s="20"/>
    </row>
    <row r="22" spans="1:22" ht="14.1" customHeight="1" x14ac:dyDescent="0.2">
      <c r="A22" s="53"/>
      <c r="B22" s="436" t="s">
        <v>100</v>
      </c>
      <c r="C22" s="358">
        <f>'[3]Sky West_AA'!$FB$19</f>
        <v>10</v>
      </c>
      <c r="D22" s="9">
        <f>'[3]Sky West_AA'!$EN$19</f>
        <v>0</v>
      </c>
      <c r="E22" s="86" t="e">
        <f>(C22-D22)/D22</f>
        <v>#DIV/0!</v>
      </c>
      <c r="F22" s="9">
        <f>SUM('[3]Sky West_AA'!$EZ$19:$FB$19)</f>
        <v>14</v>
      </c>
      <c r="G22" s="9">
        <f>SUM('[3]Sky West_AA'!$EL$19:$EN$19)</f>
        <v>0</v>
      </c>
      <c r="H22" s="39" t="e">
        <f>(F22-G22)/G22</f>
        <v>#DIV/0!</v>
      </c>
      <c r="I22" s="86">
        <f t="shared" si="2"/>
        <v>1.5627616230395715E-4</v>
      </c>
      <c r="J22" s="369"/>
      <c r="K22" s="436" t="s">
        <v>100</v>
      </c>
      <c r="L22" s="358">
        <f>'[3]Sky West_AA'!$FB$41</f>
        <v>431</v>
      </c>
      <c r="M22" s="9">
        <f>'[3]Sky West_AA'!$EN$41</f>
        <v>0</v>
      </c>
      <c r="N22" s="86" t="e">
        <f>(L22-M22)/M22</f>
        <v>#DIV/0!</v>
      </c>
      <c r="O22" s="358">
        <f>SUM('[3]Sky West_AA'!$EZ$41:$FB$41)</f>
        <v>663</v>
      </c>
      <c r="P22" s="9">
        <f>SUM('[3]Sky West_AA'!$EL$41:$EN$41)</f>
        <v>0</v>
      </c>
      <c r="Q22" s="39" t="e">
        <f>(O22-P22)/P22</f>
        <v>#DIV/0!</v>
      </c>
      <c r="R22" s="444">
        <f t="shared" si="5"/>
        <v>7.8462448440230433E-5</v>
      </c>
      <c r="S22" s="20"/>
    </row>
    <row r="23" spans="1:22" ht="14.1" customHeight="1" x14ac:dyDescent="0.2">
      <c r="A23" s="53"/>
      <c r="B23" s="437" t="s">
        <v>51</v>
      </c>
      <c r="C23" s="358">
        <f>[3]MESA!$FB$19</f>
        <v>0</v>
      </c>
      <c r="D23" s="9">
        <f>[3]MESA!$EN$19</f>
        <v>0</v>
      </c>
      <c r="E23" s="86" t="e">
        <f t="shared" si="0"/>
        <v>#DIV/0!</v>
      </c>
      <c r="F23" s="9">
        <f>SUM([3]MESA!$EZ$19:$FB$19)</f>
        <v>0</v>
      </c>
      <c r="G23" s="9">
        <f>SUM([3]MESA!$EL$19:$EN$19)</f>
        <v>14</v>
      </c>
      <c r="H23" s="39">
        <f t="shared" si="1"/>
        <v>-1</v>
      </c>
      <c r="I23" s="86">
        <f t="shared" si="2"/>
        <v>0</v>
      </c>
      <c r="J23" s="369"/>
      <c r="K23" s="435" t="s">
        <v>51</v>
      </c>
      <c r="L23" s="358">
        <f>[3]MESA!$FB$41</f>
        <v>0</v>
      </c>
      <c r="M23" s="9">
        <f>[3]MESA!$EN$41</f>
        <v>0</v>
      </c>
      <c r="N23" s="86" t="e">
        <f t="shared" si="3"/>
        <v>#DIV/0!</v>
      </c>
      <c r="O23" s="358">
        <f>SUM([3]MESA!$EZ$41:$FB$41)</f>
        <v>0</v>
      </c>
      <c r="P23" s="9">
        <f>SUM([3]MESA!$EL$41:$EN$41)</f>
        <v>1079</v>
      </c>
      <c r="Q23" s="39">
        <f t="shared" si="4"/>
        <v>-1</v>
      </c>
      <c r="R23" s="86">
        <f t="shared" si="5"/>
        <v>0</v>
      </c>
      <c r="S23" s="20"/>
    </row>
    <row r="24" spans="1:22" ht="14.1" customHeight="1" x14ac:dyDescent="0.2">
      <c r="A24" s="53"/>
      <c r="B24" s="437" t="s">
        <v>50</v>
      </c>
      <c r="C24" s="358">
        <f>'[3]Air Wisconsin'!$FB$19</f>
        <v>0</v>
      </c>
      <c r="D24" s="9">
        <f>'[3]Air Wisconsin'!$EN$19</f>
        <v>16</v>
      </c>
      <c r="E24" s="86">
        <f t="shared" si="0"/>
        <v>-1</v>
      </c>
      <c r="F24" s="9">
        <f>SUM('[3]Air Wisconsin'!$EZ$19:$FB$19)</f>
        <v>2</v>
      </c>
      <c r="G24" s="9">
        <f>SUM('[3]Air Wisconsin'!$EL$19:$EN$19)</f>
        <v>100</v>
      </c>
      <c r="H24" s="502">
        <f t="shared" si="1"/>
        <v>-0.98</v>
      </c>
      <c r="I24" s="86">
        <f t="shared" si="2"/>
        <v>2.2325166043422447E-5</v>
      </c>
      <c r="J24" s="53"/>
      <c r="K24" s="438" t="s">
        <v>50</v>
      </c>
      <c r="L24" s="358">
        <f>'[3]Air Wisconsin'!$FB$41</f>
        <v>0</v>
      </c>
      <c r="M24" s="9">
        <f>'[3]Air Wisconsin'!$EN$41</f>
        <v>487</v>
      </c>
      <c r="N24" s="86">
        <f t="shared" si="3"/>
        <v>-1</v>
      </c>
      <c r="O24" s="358">
        <f>SUM('[3]Air Wisconsin'!$EZ$41:$FB$41)</f>
        <v>90</v>
      </c>
      <c r="P24" s="9">
        <f>SUM('[3]Air Wisconsin'!$EL$41:$EN$41)</f>
        <v>3627</v>
      </c>
      <c r="Q24" s="39">
        <f t="shared" si="4"/>
        <v>-0.97518610421836227</v>
      </c>
      <c r="R24" s="86">
        <f t="shared" si="5"/>
        <v>1.065101110048377E-5</v>
      </c>
      <c r="S24" s="20"/>
    </row>
    <row r="25" spans="1:22" ht="14.1" customHeight="1" x14ac:dyDescent="0.2">
      <c r="A25" s="53"/>
      <c r="B25" s="363"/>
      <c r="C25" s="358"/>
      <c r="D25" s="9"/>
      <c r="E25" s="86"/>
      <c r="F25" s="9"/>
      <c r="G25" s="9"/>
      <c r="H25" s="39"/>
      <c r="I25" s="86"/>
      <c r="J25" s="53"/>
      <c r="K25" s="363"/>
      <c r="L25" s="358"/>
      <c r="M25" s="9"/>
      <c r="N25" s="86"/>
      <c r="O25" s="358"/>
      <c r="P25" s="9"/>
      <c r="Q25" s="39"/>
      <c r="R25" s="86"/>
      <c r="S25" s="20"/>
      <c r="T25" s="9"/>
      <c r="U25" s="11"/>
      <c r="V25" s="11"/>
    </row>
    <row r="26" spans="1:22" ht="14.1" customHeight="1" x14ac:dyDescent="0.2">
      <c r="A26" s="353" t="s">
        <v>207</v>
      </c>
      <c r="B26" s="363"/>
      <c r="C26" s="354">
        <f>'[3]Boutique Air'!$FB$19</f>
        <v>166</v>
      </c>
      <c r="D26" s="356">
        <f>'[3]Boutique Air'!$EN$19</f>
        <v>0</v>
      </c>
      <c r="E26" s="357" t="e">
        <f>(C26-D26)/D26</f>
        <v>#DIV/0!</v>
      </c>
      <c r="F26" s="356">
        <f>SUM('[3]Boutique Air'!$EZ$19:$FB$19)</f>
        <v>462</v>
      </c>
      <c r="G26" s="356">
        <f>SUM('[3]Boutique Air'!$EL$19:$EN$19)</f>
        <v>0</v>
      </c>
      <c r="H26" s="355" t="e">
        <f>(F26-G26)/G26</f>
        <v>#DIV/0!</v>
      </c>
      <c r="I26" s="357">
        <f>F26/$F$66</f>
        <v>5.1571133560305857E-3</v>
      </c>
      <c r="J26" s="353" t="s">
        <v>207</v>
      </c>
      <c r="K26" s="363"/>
      <c r="L26" s="354">
        <f>'[3]Boutique Air'!$FB$41</f>
        <v>1085</v>
      </c>
      <c r="M26" s="356">
        <f>'[3]Boutique Air'!$EN$41</f>
        <v>0</v>
      </c>
      <c r="N26" s="357" t="e">
        <f>(L26-M26)/M26</f>
        <v>#DIV/0!</v>
      </c>
      <c r="O26" s="354">
        <f>SUM('[3]Boutique Air'!$EZ$41:$FB$41)</f>
        <v>3122</v>
      </c>
      <c r="P26" s="356">
        <f>SUM('[3]Boutique Air'!$EL$41:$EN$41)</f>
        <v>0</v>
      </c>
      <c r="Q26" s="355" t="e">
        <f>(O26-P26)/P26</f>
        <v>#DIV/0!</v>
      </c>
      <c r="R26" s="357">
        <f>O26/$O$66</f>
        <v>3.6947174061900364E-4</v>
      </c>
      <c r="S26" s="20"/>
      <c r="T26" s="9"/>
      <c r="U26" s="11"/>
      <c r="V26" s="11"/>
    </row>
    <row r="27" spans="1:22" ht="14.1" customHeight="1" x14ac:dyDescent="0.2">
      <c r="A27" s="53"/>
      <c r="B27" s="363"/>
      <c r="C27" s="358"/>
      <c r="D27" s="9"/>
      <c r="E27" s="86"/>
      <c r="F27" s="9"/>
      <c r="G27" s="9"/>
      <c r="H27" s="39"/>
      <c r="I27" s="86"/>
      <c r="J27" s="53"/>
      <c r="K27" s="363"/>
      <c r="L27" s="358"/>
      <c r="M27" s="9"/>
      <c r="N27" s="86"/>
      <c r="O27" s="358"/>
      <c r="P27" s="9"/>
      <c r="Q27" s="39"/>
      <c r="R27" s="86"/>
      <c r="S27" s="20"/>
      <c r="T27" s="9"/>
      <c r="U27" s="11"/>
      <c r="V27" s="11"/>
    </row>
    <row r="28" spans="1:22" ht="14.1" customHeight="1" x14ac:dyDescent="0.2">
      <c r="A28" s="353" t="s">
        <v>168</v>
      </c>
      <c r="B28" s="363"/>
      <c r="C28" s="354">
        <f>[3]Condor!$FB$19</f>
        <v>0</v>
      </c>
      <c r="D28" s="356">
        <f>[3]Condor!$EN$19</f>
        <v>0</v>
      </c>
      <c r="E28" s="357" t="e">
        <f>(C28-D28)/D28</f>
        <v>#DIV/0!</v>
      </c>
      <c r="F28" s="356">
        <f>SUM([3]Condor!$EZ$19:$FB$19)</f>
        <v>0</v>
      </c>
      <c r="G28" s="356">
        <f>SUM([3]Condor!$EL$19:$EN$19)</f>
        <v>0</v>
      </c>
      <c r="H28" s="355" t="e">
        <f>(F28-G28)/G28</f>
        <v>#DIV/0!</v>
      </c>
      <c r="I28" s="357">
        <f>F28/$F$66</f>
        <v>0</v>
      </c>
      <c r="J28" s="353" t="s">
        <v>168</v>
      </c>
      <c r="K28" s="363"/>
      <c r="L28" s="354">
        <f>[3]Condor!$FB$41</f>
        <v>0</v>
      </c>
      <c r="M28" s="356">
        <f>[3]Condor!$EN$41</f>
        <v>0</v>
      </c>
      <c r="N28" s="357" t="e">
        <f>(L28-M28)/M28</f>
        <v>#DIV/0!</v>
      </c>
      <c r="O28" s="354">
        <f>SUM([3]Condor!$EZ$41:$FB$41)</f>
        <v>0</v>
      </c>
      <c r="P28" s="356">
        <f>SUM([3]Condor!$EL$41:$EN$41)</f>
        <v>0</v>
      </c>
      <c r="Q28" s="355" t="e">
        <f>(O28-P28)/P28</f>
        <v>#DIV/0!</v>
      </c>
      <c r="R28" s="357">
        <f>O28/$O$66</f>
        <v>0</v>
      </c>
      <c r="S28" s="20"/>
      <c r="T28" s="9"/>
      <c r="U28" s="11"/>
      <c r="V28" s="11"/>
    </row>
    <row r="29" spans="1:22" ht="14.1" customHeight="1" x14ac:dyDescent="0.2">
      <c r="A29" s="53"/>
      <c r="B29" s="363"/>
      <c r="C29" s="358"/>
      <c r="D29" s="9"/>
      <c r="E29" s="86"/>
      <c r="F29" s="9"/>
      <c r="G29" s="9"/>
      <c r="H29" s="39"/>
      <c r="I29" s="86"/>
      <c r="J29" s="53"/>
      <c r="K29" s="363"/>
      <c r="L29" s="358"/>
      <c r="M29" s="9"/>
      <c r="N29" s="86"/>
      <c r="O29" s="358"/>
      <c r="P29" s="9"/>
      <c r="Q29" s="39"/>
      <c r="R29" s="86"/>
      <c r="S29" s="20"/>
      <c r="T29" s="9"/>
      <c r="U29" s="11"/>
      <c r="V29" s="11"/>
    </row>
    <row r="30" spans="1:22" ht="14.1" customHeight="1" x14ac:dyDescent="0.2">
      <c r="A30" s="353" t="s">
        <v>18</v>
      </c>
      <c r="B30" s="366"/>
      <c r="C30" s="354">
        <f>SUM(C31:C37)</f>
        <v>24009</v>
      </c>
      <c r="D30" s="356">
        <f>SUM(D31:D37)</f>
        <v>24152</v>
      </c>
      <c r="E30" s="357">
        <f t="shared" ref="E30:E37" si="8">(C30-D30)/D30</f>
        <v>-5.9208347134812852E-3</v>
      </c>
      <c r="F30" s="359">
        <f>SUM(F31:F37)</f>
        <v>64162</v>
      </c>
      <c r="G30" s="359">
        <f>SUM(G31:G37)</f>
        <v>65808</v>
      </c>
      <c r="H30" s="355">
        <f>(F30-G30)/G30</f>
        <v>-2.5012156576707998E-2</v>
      </c>
      <c r="I30" s="357">
        <f t="shared" ref="I30:I37" si="9">F30/$F$66</f>
        <v>0.71621365183903551</v>
      </c>
      <c r="J30" s="353" t="s">
        <v>18</v>
      </c>
      <c r="K30" s="366"/>
      <c r="L30" s="354">
        <f>SUM(L31:L37)</f>
        <v>2300562</v>
      </c>
      <c r="M30" s="356">
        <f>SUM(M31:M37)</f>
        <v>2313012</v>
      </c>
      <c r="N30" s="357">
        <f t="shared" ref="N30:N37" si="10">(L30-M30)/M30</f>
        <v>-5.3825920488090855E-3</v>
      </c>
      <c r="O30" s="354">
        <f>SUM(O31:O37)</f>
        <v>5830500</v>
      </c>
      <c r="P30" s="356">
        <f>SUM(P31:P37)</f>
        <v>5941931</v>
      </c>
      <c r="Q30" s="355">
        <f t="shared" ref="Q30:Q37" si="11">(O30-P30)/P30</f>
        <v>-1.8753331198224955E-2</v>
      </c>
      <c r="R30" s="357">
        <f t="shared" ref="R30:R37" si="12">O30/$O$66</f>
        <v>0.69000800245967353</v>
      </c>
      <c r="S30" s="421"/>
      <c r="U30" s="11"/>
      <c r="V30" s="11"/>
    </row>
    <row r="31" spans="1:22" ht="14.1" customHeight="1" x14ac:dyDescent="0.2">
      <c r="A31" s="53"/>
      <c r="B31" s="362" t="s">
        <v>18</v>
      </c>
      <c r="C31" s="358">
        <f>[3]Delta!$FB$19</f>
        <v>11607</v>
      </c>
      <c r="D31" s="9">
        <f>[3]Delta!$EN$19</f>
        <v>11856</v>
      </c>
      <c r="E31" s="86">
        <f t="shared" si="8"/>
        <v>-2.1002024291497976E-2</v>
      </c>
      <c r="F31" s="9">
        <f>SUM([3]Delta!$EZ$19:$FB$19)</f>
        <v>31036</v>
      </c>
      <c r="G31" s="9">
        <f>SUM([3]Delta!$EL$19:$EN$19)</f>
        <v>31095</v>
      </c>
      <c r="H31" s="39">
        <f t="shared" ref="H31:H37" si="13">(F31-G31)/G31</f>
        <v>-1.8974111593503778E-3</v>
      </c>
      <c r="I31" s="86">
        <f t="shared" si="9"/>
        <v>0.34644192666182955</v>
      </c>
      <c r="J31" s="53"/>
      <c r="K31" s="362" t="s">
        <v>18</v>
      </c>
      <c r="L31" s="358">
        <f>[3]Delta!$FB$41</f>
        <v>1674585</v>
      </c>
      <c r="M31" s="9">
        <f>[3]Delta!$EN$41</f>
        <v>1679282</v>
      </c>
      <c r="N31" s="86">
        <f t="shared" si="10"/>
        <v>-2.7970287301358559E-3</v>
      </c>
      <c r="O31" s="358">
        <f>SUM([3]Delta!$EZ$41:$FB$41)</f>
        <v>4213153</v>
      </c>
      <c r="P31" s="9">
        <f>SUM([3]Delta!$EL$41:$EN$41)</f>
        <v>4226495</v>
      </c>
      <c r="Q31" s="39">
        <f t="shared" si="11"/>
        <v>-3.1567528176420414E-3</v>
      </c>
      <c r="R31" s="86">
        <f t="shared" si="12"/>
        <v>0.49860377078929435</v>
      </c>
      <c r="S31" s="20"/>
      <c r="T31" s="9"/>
      <c r="U31" s="11"/>
      <c r="V31" s="11"/>
    </row>
    <row r="32" spans="1:22" ht="14.1" customHeight="1" x14ac:dyDescent="0.2">
      <c r="A32" s="53"/>
      <c r="B32" s="364" t="s">
        <v>120</v>
      </c>
      <c r="C32" s="358">
        <f>[3]Compass!$FB$19</f>
        <v>1300</v>
      </c>
      <c r="D32" s="9">
        <f>[3]Compass!$EN$19</f>
        <v>1601</v>
      </c>
      <c r="E32" s="86">
        <f t="shared" si="8"/>
        <v>-0.18800749531542785</v>
      </c>
      <c r="F32" s="9">
        <f>SUM([3]Compass!$EZ$19:$FB$19)</f>
        <v>4001</v>
      </c>
      <c r="G32" s="9">
        <f>SUM([3]Compass!$EL$19:$EN$19)</f>
        <v>3953</v>
      </c>
      <c r="H32" s="39">
        <f t="shared" si="13"/>
        <v>1.2142676448267139E-2</v>
      </c>
      <c r="I32" s="86">
        <f t="shared" si="9"/>
        <v>4.466149466986661E-2</v>
      </c>
      <c r="J32" s="53"/>
      <c r="K32" s="364" t="s">
        <v>120</v>
      </c>
      <c r="L32" s="358">
        <f>[3]Compass!$FB$41</f>
        <v>76058</v>
      </c>
      <c r="M32" s="9">
        <f>[3]Compass!$EN$41</f>
        <v>96990</v>
      </c>
      <c r="N32" s="86">
        <f t="shared" si="10"/>
        <v>-0.21581606351170224</v>
      </c>
      <c r="O32" s="358">
        <f>SUM([3]Compass!$EZ$41:$FB$41)</f>
        <v>224533</v>
      </c>
      <c r="P32" s="9">
        <f>SUM([3]Compass!$EL$41:$EN$41)</f>
        <v>231609</v>
      </c>
      <c r="Q32" s="39">
        <f t="shared" si="11"/>
        <v>-3.0551489795301565E-2</v>
      </c>
      <c r="R32" s="86">
        <f t="shared" si="12"/>
        <v>2.6572260838054688E-2</v>
      </c>
      <c r="S32" s="9"/>
      <c r="T32" s="9"/>
      <c r="U32" s="11"/>
      <c r="V32" s="11"/>
    </row>
    <row r="33" spans="1:20" ht="14.1" customHeight="1" x14ac:dyDescent="0.2">
      <c r="A33" s="53"/>
      <c r="B33" s="363" t="s">
        <v>164</v>
      </c>
      <c r="C33" s="358">
        <f>[3]Pinnacle!$FB$19</f>
        <v>3574</v>
      </c>
      <c r="D33" s="9">
        <f>[3]Pinnacle!$EN$19</f>
        <v>4028</v>
      </c>
      <c r="E33" s="86">
        <f t="shared" si="8"/>
        <v>-0.11271102284011916</v>
      </c>
      <c r="F33" s="9">
        <f>SUM([3]Pinnacle!$EZ$19:$FB$19)</f>
        <v>9873</v>
      </c>
      <c r="G33" s="9">
        <f>SUM([3]Pinnacle!$EL$19:$EN$19)</f>
        <v>11715</v>
      </c>
      <c r="H33" s="39">
        <f t="shared" si="13"/>
        <v>-0.15723431498079385</v>
      </c>
      <c r="I33" s="86">
        <f t="shared" si="9"/>
        <v>0.11020818217335492</v>
      </c>
      <c r="J33" s="53"/>
      <c r="K33" s="363" t="s">
        <v>164</v>
      </c>
      <c r="L33" s="358">
        <f>[3]Pinnacle!$FB$41</f>
        <v>178581</v>
      </c>
      <c r="M33" s="9">
        <f>[3]Pinnacle!$EN$41</f>
        <v>234179</v>
      </c>
      <c r="N33" s="86">
        <f t="shared" si="10"/>
        <v>-0.23741667698640784</v>
      </c>
      <c r="O33" s="358">
        <f>SUM([3]Pinnacle!$EZ$41:$FB$41)</f>
        <v>484883</v>
      </c>
      <c r="P33" s="9">
        <f>SUM([3]Pinnacle!$EL$41:$EN$41)</f>
        <v>649124</v>
      </c>
      <c r="Q33" s="39">
        <f t="shared" si="11"/>
        <v>-0.25301945391019282</v>
      </c>
      <c r="R33" s="86">
        <f t="shared" si="12"/>
        <v>5.7383269060398569E-2</v>
      </c>
      <c r="S33" s="20"/>
      <c r="T33" s="11"/>
    </row>
    <row r="34" spans="1:20" ht="14.1" customHeight="1" x14ac:dyDescent="0.2">
      <c r="A34" s="53"/>
      <c r="B34" s="363" t="s">
        <v>160</v>
      </c>
      <c r="C34" s="358">
        <f>'[3]Go Jet'!$FB$19</f>
        <v>674</v>
      </c>
      <c r="D34" s="9">
        <f>'[3]Go Jet'!$EN$19</f>
        <v>0</v>
      </c>
      <c r="E34" s="86" t="e">
        <f t="shared" si="8"/>
        <v>#DIV/0!</v>
      </c>
      <c r="F34" s="9">
        <f>SUM('[3]Go Jet'!$EZ$19:$FB$19)</f>
        <v>1847</v>
      </c>
      <c r="G34" s="9">
        <f>SUM('[3]Go Jet'!$EL$19:$EN$19)</f>
        <v>0</v>
      </c>
      <c r="H34" s="39" t="e">
        <f>(F34-G34)/G34</f>
        <v>#DIV/0!</v>
      </c>
      <c r="I34" s="86">
        <f t="shared" si="9"/>
        <v>2.061729084110063E-2</v>
      </c>
      <c r="J34" s="53"/>
      <c r="K34" s="362" t="s">
        <v>160</v>
      </c>
      <c r="L34" s="358">
        <f>'[3]Go Jet'!$FB$41</f>
        <v>37657</v>
      </c>
      <c r="M34" s="9">
        <f>'[3]Go Jet'!$EN$41</f>
        <v>0</v>
      </c>
      <c r="N34" s="86" t="e">
        <f t="shared" si="10"/>
        <v>#DIV/0!</v>
      </c>
      <c r="O34" s="358">
        <f>SUM('[3]Go Jet'!$EZ$41:$FB$41)</f>
        <v>99140</v>
      </c>
      <c r="P34" s="9">
        <f>SUM('[3]Go Jet'!$EL$41:$EN$41)</f>
        <v>0</v>
      </c>
      <c r="Q34" s="39" t="e">
        <f>(O34-P34)/P34</f>
        <v>#DIV/0!</v>
      </c>
      <c r="R34" s="86">
        <f t="shared" si="12"/>
        <v>1.1732680450021788E-2</v>
      </c>
      <c r="S34" s="331"/>
      <c r="T34" s="329"/>
    </row>
    <row r="35" spans="1:20" ht="14.1" customHeight="1" x14ac:dyDescent="0.2">
      <c r="A35" s="53"/>
      <c r="B35" s="363" t="s">
        <v>100</v>
      </c>
      <c r="C35" s="358">
        <f>'[3]Sky West'!$FB$19</f>
        <v>6005</v>
      </c>
      <c r="D35" s="9">
        <f>'[3]Sky West'!$EN$19</f>
        <v>5940</v>
      </c>
      <c r="E35" s="86">
        <f t="shared" si="8"/>
        <v>1.0942760942760943E-2</v>
      </c>
      <c r="F35" s="9">
        <f>SUM('[3]Sky West'!$EZ$19:$FB$19)</f>
        <v>15201</v>
      </c>
      <c r="G35" s="9">
        <f>SUM('[3]Sky West'!$EL$19:$EN$19)</f>
        <v>16413</v>
      </c>
      <c r="H35" s="39">
        <f t="shared" si="13"/>
        <v>-7.3843904222262835E-2</v>
      </c>
      <c r="I35" s="86">
        <f t="shared" si="9"/>
        <v>0.16968242451303231</v>
      </c>
      <c r="J35" s="53"/>
      <c r="K35" s="363" t="s">
        <v>100</v>
      </c>
      <c r="L35" s="358">
        <f>'[3]Sky West'!$FB$41</f>
        <v>284341</v>
      </c>
      <c r="M35" s="9">
        <f>'[3]Sky West'!$EN$41</f>
        <v>264975</v>
      </c>
      <c r="N35" s="86">
        <f t="shared" si="10"/>
        <v>7.3086140201905847E-2</v>
      </c>
      <c r="O35" s="358">
        <f>SUM('[3]Sky West'!$EZ$41:$FB$41)</f>
        <v>686818</v>
      </c>
      <c r="P35" s="9">
        <f>SUM('[3]Sky West'!$EL$41:$EN$41)</f>
        <v>704376</v>
      </c>
      <c r="Q35" s="39">
        <f t="shared" si="11"/>
        <v>-2.4927027610253616E-2</v>
      </c>
      <c r="R35" s="86">
        <f t="shared" si="12"/>
        <v>8.128117935568957E-2</v>
      </c>
      <c r="S35" s="20"/>
    </row>
    <row r="36" spans="1:20" ht="14.1" customHeight="1" x14ac:dyDescent="0.2">
      <c r="A36" s="53"/>
      <c r="B36" s="363" t="s">
        <v>134</v>
      </c>
      <c r="C36" s="358">
        <f>'[3]Shuttle America_Delta'!$FB$19</f>
        <v>10</v>
      </c>
      <c r="D36" s="9">
        <f>'[3]Shuttle America_Delta'!$EN$19</f>
        <v>140</v>
      </c>
      <c r="E36" s="86">
        <f t="shared" si="8"/>
        <v>-0.9285714285714286</v>
      </c>
      <c r="F36" s="9">
        <f>SUM('[3]Shuttle America_Delta'!$EZ$19:$FB$19)</f>
        <v>154</v>
      </c>
      <c r="G36" s="9">
        <f>SUM('[3]Shuttle America_Delta'!$EL$19:$EN$19)</f>
        <v>414</v>
      </c>
      <c r="H36" s="39">
        <f t="shared" si="13"/>
        <v>-0.6280193236714976</v>
      </c>
      <c r="I36" s="86">
        <f t="shared" si="9"/>
        <v>1.7190377853435286E-3</v>
      </c>
      <c r="J36" s="53"/>
      <c r="K36" s="363" t="s">
        <v>134</v>
      </c>
      <c r="L36" s="358">
        <f>'[3]Shuttle America_Delta'!$FB$41</f>
        <v>425</v>
      </c>
      <c r="M36" s="9">
        <f>'[3]Shuttle America_Delta'!$EN$41</f>
        <v>5888</v>
      </c>
      <c r="N36" s="86">
        <f t="shared" si="10"/>
        <v>-0.92781929347826086</v>
      </c>
      <c r="O36" s="358">
        <f>SUM('[3]Shuttle America_Delta'!$EZ$41:$FB$41)</f>
        <v>8243</v>
      </c>
      <c r="P36" s="9">
        <f>SUM('[3]Shuttle America_Delta'!$EL$41:$EN$41)</f>
        <v>18210</v>
      </c>
      <c r="Q36" s="39">
        <f t="shared" si="11"/>
        <v>-0.54733662822624929</v>
      </c>
      <c r="R36" s="86">
        <f t="shared" si="12"/>
        <v>9.7551427223653011E-4</v>
      </c>
      <c r="S36" s="20"/>
    </row>
    <row r="37" spans="1:20" ht="14.1" customHeight="1" x14ac:dyDescent="0.2">
      <c r="A37" s="53"/>
      <c r="B37" s="437" t="s">
        <v>183</v>
      </c>
      <c r="C37" s="358">
        <f>'[3]Atlantic Southeast'!$FB$19</f>
        <v>839</v>
      </c>
      <c r="D37" s="9">
        <f>'[3]Atlantic Southeast'!$EN$19</f>
        <v>587</v>
      </c>
      <c r="E37" s="86">
        <f t="shared" si="8"/>
        <v>0.4293015332197615</v>
      </c>
      <c r="F37" s="9">
        <f>SUM('[3]Atlantic Southeast'!$EZ$19:$FB$19)</f>
        <v>2050</v>
      </c>
      <c r="G37" s="9">
        <f>SUM('[3]Atlantic Southeast'!$EL$19:$EN$19)</f>
        <v>2218</v>
      </c>
      <c r="H37" s="39">
        <f t="shared" si="13"/>
        <v>-7.5743913435527499E-2</v>
      </c>
      <c r="I37" s="86">
        <f t="shared" si="9"/>
        <v>2.2883295194508008E-2</v>
      </c>
      <c r="J37" s="53"/>
      <c r="K37" s="437" t="s">
        <v>183</v>
      </c>
      <c r="L37" s="358">
        <f>'[3]Atlantic Southeast'!$FB$41</f>
        <v>48915</v>
      </c>
      <c r="M37" s="9">
        <f>'[3]Atlantic Southeast'!$EN$41</f>
        <v>31698</v>
      </c>
      <c r="N37" s="86">
        <f t="shared" si="10"/>
        <v>0.54315729699034643</v>
      </c>
      <c r="O37" s="358">
        <f>SUM('[3]Atlantic Southeast'!$EZ$41:$FB$41)</f>
        <v>113730</v>
      </c>
      <c r="P37" s="9">
        <f>SUM('[3]Atlantic Southeast'!$EL$41:$EN$41)</f>
        <v>112117</v>
      </c>
      <c r="Q37" s="39">
        <f t="shared" si="11"/>
        <v>1.4386756691670308E-2</v>
      </c>
      <c r="R37" s="86">
        <f t="shared" si="12"/>
        <v>1.345932769397799E-2</v>
      </c>
      <c r="S37" s="328"/>
    </row>
    <row r="38" spans="1:20" ht="14.1" customHeight="1" x14ac:dyDescent="0.2">
      <c r="A38" s="53"/>
      <c r="B38" s="367"/>
      <c r="C38" s="358"/>
      <c r="D38" s="9"/>
      <c r="E38" s="86"/>
      <c r="F38" s="9"/>
      <c r="G38" s="9"/>
      <c r="H38" s="39"/>
      <c r="I38" s="86"/>
      <c r="J38" s="53"/>
      <c r="K38" s="367"/>
      <c r="L38" s="358"/>
      <c r="M38" s="9"/>
      <c r="N38" s="86"/>
      <c r="O38" s="358"/>
      <c r="P38" s="9"/>
      <c r="Q38" s="39"/>
      <c r="R38" s="86"/>
      <c r="S38" s="328"/>
    </row>
    <row r="39" spans="1:20" s="7" customFormat="1" ht="14.1" customHeight="1" x14ac:dyDescent="0.2">
      <c r="A39" s="353" t="s">
        <v>47</v>
      </c>
      <c r="B39" s="368"/>
      <c r="C39" s="354">
        <f>[3]Frontier!$FB$19</f>
        <v>172</v>
      </c>
      <c r="D39" s="356">
        <f>[3]Frontier!$EN$19</f>
        <v>186</v>
      </c>
      <c r="E39" s="357">
        <f>(C39-D39)/D39</f>
        <v>-7.5268817204301078E-2</v>
      </c>
      <c r="F39" s="356">
        <f>SUM([3]Frontier!$EZ$19:$FB$19)</f>
        <v>510</v>
      </c>
      <c r="G39" s="356">
        <f>SUM([3]Frontier!$EL$19:$EN$19)</f>
        <v>492</v>
      </c>
      <c r="H39" s="355">
        <f>(F39-G39)/G39</f>
        <v>3.6585365853658534E-2</v>
      </c>
      <c r="I39" s="357">
        <f>F39/$F$66</f>
        <v>5.6929173410727243E-3</v>
      </c>
      <c r="J39" s="353" t="s">
        <v>47</v>
      </c>
      <c r="K39" s="368"/>
      <c r="L39" s="354">
        <f>[3]Frontier!$FB$41</f>
        <v>31560</v>
      </c>
      <c r="M39" s="356">
        <f>[3]Frontier!$EN$41</f>
        <v>26128</v>
      </c>
      <c r="N39" s="357">
        <f>(L39-M39)/M39</f>
        <v>0.20789957134109002</v>
      </c>
      <c r="O39" s="354">
        <f>SUM([3]Frontier!$EZ$41:$FB$41)</f>
        <v>87910</v>
      </c>
      <c r="P39" s="356">
        <f>SUM([3]Frontier!$EL$41:$EN$41)</f>
        <v>71840</v>
      </c>
      <c r="Q39" s="355">
        <f>(O39-P39)/P39</f>
        <v>0.22369153674832962</v>
      </c>
      <c r="R39" s="357">
        <f>O39/$O$66</f>
        <v>1.0403670953816979E-2</v>
      </c>
      <c r="S39" s="330"/>
      <c r="T39"/>
    </row>
    <row r="40" spans="1:20" s="7" customFormat="1" ht="14.1" customHeight="1" x14ac:dyDescent="0.2">
      <c r="A40" s="353"/>
      <c r="B40" s="368"/>
      <c r="C40" s="354"/>
      <c r="D40" s="356"/>
      <c r="E40" s="357"/>
      <c r="F40" s="356"/>
      <c r="G40" s="356"/>
      <c r="H40" s="355"/>
      <c r="I40" s="357"/>
      <c r="J40" s="353"/>
      <c r="K40" s="368"/>
      <c r="L40" s="358"/>
      <c r="M40" s="9"/>
      <c r="N40" s="86"/>
      <c r="O40" s="358"/>
      <c r="P40" s="9"/>
      <c r="Q40" s="39"/>
      <c r="R40" s="86"/>
      <c r="S40" s="330"/>
    </row>
    <row r="41" spans="1:20" s="7" customFormat="1" ht="14.1" customHeight="1" x14ac:dyDescent="0.2">
      <c r="A41" s="353" t="s">
        <v>159</v>
      </c>
      <c r="B41" s="368"/>
      <c r="C41" s="354">
        <f>'[3]Great Lakes'!$FB$19</f>
        <v>0</v>
      </c>
      <c r="D41" s="356">
        <f>'[3]Great Lakes'!$EN$19</f>
        <v>108</v>
      </c>
      <c r="E41" s="357">
        <f>(C41-D41)/D41</f>
        <v>-1</v>
      </c>
      <c r="F41" s="356">
        <f>SUM('[3]Great Lakes'!$EZ$19:$FB$19)</f>
        <v>0</v>
      </c>
      <c r="G41" s="356">
        <f>SUM('[3]Great Lakes'!$EL$19:$EN$19)</f>
        <v>385</v>
      </c>
      <c r="H41" s="355">
        <f>(F41-G41)/G41</f>
        <v>-1</v>
      </c>
      <c r="I41" s="357">
        <f>F41/$F$66</f>
        <v>0</v>
      </c>
      <c r="J41" s="353" t="s">
        <v>159</v>
      </c>
      <c r="K41" s="368"/>
      <c r="L41" s="354">
        <f>'[3]Great Lakes'!$FB$41</f>
        <v>0</v>
      </c>
      <c r="M41" s="356">
        <f>'[3]Great Lakes'!$EN$41</f>
        <v>304</v>
      </c>
      <c r="N41" s="357">
        <f>(L41-M41)/M41</f>
        <v>-1</v>
      </c>
      <c r="O41" s="354">
        <f>SUM('[3]Great Lakes'!$EZ$41:$FB$41)</f>
        <v>0</v>
      </c>
      <c r="P41" s="356">
        <f>SUM('[3]Great Lakes'!$EL$41:$EN$41)</f>
        <v>1082</v>
      </c>
      <c r="Q41" s="355">
        <f>(O41-P41)/P41</f>
        <v>-1</v>
      </c>
      <c r="R41" s="357">
        <f>O41/$O$66</f>
        <v>0</v>
      </c>
      <c r="S41" s="330"/>
    </row>
    <row r="42" spans="1:20" s="7" customFormat="1" ht="14.1" customHeight="1" x14ac:dyDescent="0.2">
      <c r="A42" s="353"/>
      <c r="B42" s="368"/>
      <c r="C42" s="354"/>
      <c r="D42" s="356"/>
      <c r="E42" s="357"/>
      <c r="F42" s="356"/>
      <c r="G42" s="356"/>
      <c r="H42" s="355"/>
      <c r="I42" s="357"/>
      <c r="J42" s="353"/>
      <c r="K42" s="368"/>
      <c r="L42" s="358"/>
      <c r="M42" s="9"/>
      <c r="N42" s="86"/>
      <c r="O42" s="358"/>
      <c r="P42" s="9"/>
      <c r="Q42" s="39"/>
      <c r="R42" s="86"/>
      <c r="S42" s="330"/>
    </row>
    <row r="43" spans="1:20" s="7" customFormat="1" ht="14.1" customHeight="1" x14ac:dyDescent="0.2">
      <c r="A43" s="353" t="s">
        <v>48</v>
      </c>
      <c r="B43" s="368"/>
      <c r="C43" s="354">
        <f>[3]Icelandair!$FB$19</f>
        <v>38</v>
      </c>
      <c r="D43" s="356">
        <f>[3]Icelandair!$EN$19</f>
        <v>0</v>
      </c>
      <c r="E43" s="357" t="e">
        <f>(C43-D43)/D43</f>
        <v>#DIV/0!</v>
      </c>
      <c r="F43" s="356">
        <f>SUM([3]Icelandair!$EZ$19:$FB$19)</f>
        <v>98</v>
      </c>
      <c r="G43" s="356">
        <f>SUM([3]Icelandair!$EL$19:$EN$19)</f>
        <v>12</v>
      </c>
      <c r="H43" s="355">
        <f>(F43-G43)/G43</f>
        <v>7.166666666666667</v>
      </c>
      <c r="I43" s="357">
        <f>F43/$F$66</f>
        <v>1.0939331361276999E-3</v>
      </c>
      <c r="J43" s="353" t="s">
        <v>48</v>
      </c>
      <c r="K43" s="368"/>
      <c r="L43" s="354">
        <f>[3]Icelandair!$FB$41</f>
        <v>6031</v>
      </c>
      <c r="M43" s="356">
        <f>[3]Icelandair!$EN$41</f>
        <v>0</v>
      </c>
      <c r="N43" s="357" t="e">
        <f>(L43-M43)/M43</f>
        <v>#DIV/0!</v>
      </c>
      <c r="O43" s="354">
        <f>SUM([3]Icelandair!$EZ$41:$FB$41)</f>
        <v>13759</v>
      </c>
      <c r="P43" s="356">
        <f>SUM([3]Icelandair!$EL$41:$EN$41)</f>
        <v>1473</v>
      </c>
      <c r="Q43" s="355">
        <f>(O43-P43)/P43</f>
        <v>8.3408010862186011</v>
      </c>
      <c r="R43" s="357">
        <f>O43/$O$66</f>
        <v>1.628302908128402E-3</v>
      </c>
      <c r="S43" s="20"/>
    </row>
    <row r="44" spans="1:20" s="7" customFormat="1" ht="14.1" customHeight="1" x14ac:dyDescent="0.2">
      <c r="A44" s="353"/>
      <c r="B44" s="368"/>
      <c r="C44" s="354"/>
      <c r="D44" s="356"/>
      <c r="E44" s="357"/>
      <c r="F44" s="356"/>
      <c r="G44" s="356"/>
      <c r="H44" s="355"/>
      <c r="I44" s="357"/>
      <c r="J44" s="353"/>
      <c r="K44" s="368"/>
      <c r="L44" s="358"/>
      <c r="M44" s="9"/>
      <c r="N44" s="86"/>
      <c r="O44" s="358"/>
      <c r="P44" s="9"/>
      <c r="Q44" s="39"/>
      <c r="R44" s="86"/>
      <c r="S44" s="20"/>
    </row>
    <row r="45" spans="1:20" s="7" customFormat="1" ht="14.1" customHeight="1" x14ac:dyDescent="0.2">
      <c r="A45" s="353" t="s">
        <v>224</v>
      </c>
      <c r="B45" s="368"/>
      <c r="C45" s="354">
        <f>[3]KLM!$FB$19</f>
        <v>4</v>
      </c>
      <c r="D45" s="356">
        <f>[3]KLM!$EN$19</f>
        <v>0</v>
      </c>
      <c r="E45" s="357" t="e">
        <f>(C45-D45)/D45</f>
        <v>#DIV/0!</v>
      </c>
      <c r="F45" s="356">
        <f>SUM([3]KLM!$EZ$19:$FB$19)</f>
        <v>4</v>
      </c>
      <c r="G45" s="356">
        <f>SUM([3]KLM!$EL$19:$EN$19)</f>
        <v>0</v>
      </c>
      <c r="H45" s="355" t="e">
        <f>(F45-G45)/G45</f>
        <v>#DIV/0!</v>
      </c>
      <c r="I45" s="357">
        <f>F45/$F$66</f>
        <v>4.4650332086844895E-5</v>
      </c>
      <c r="J45" s="353" t="s">
        <v>224</v>
      </c>
      <c r="K45" s="368"/>
      <c r="L45" s="354">
        <f>[3]KLM!$FB$41</f>
        <v>760</v>
      </c>
      <c r="M45" s="356">
        <f>[3]KLM!$EN$41</f>
        <v>0</v>
      </c>
      <c r="N45" s="357" t="e">
        <f>(L45-M45)/M45</f>
        <v>#DIV/0!</v>
      </c>
      <c r="O45" s="354">
        <f>SUM([3]KLM!$EZ$41:$FB$41)</f>
        <v>760</v>
      </c>
      <c r="P45" s="356">
        <f>SUM([3]KLM!$EL$41:$EN$41)</f>
        <v>0</v>
      </c>
      <c r="Q45" s="355" t="e">
        <f>(O45-P45)/P45</f>
        <v>#DIV/0!</v>
      </c>
      <c r="R45" s="357">
        <f>O45/$O$66</f>
        <v>8.9941871515196271E-5</v>
      </c>
      <c r="S45" s="20"/>
    </row>
    <row r="46" spans="1:20" s="7" customFormat="1" ht="14.1" customHeight="1" x14ac:dyDescent="0.2">
      <c r="A46" s="353"/>
      <c r="B46" s="368"/>
      <c r="C46" s="354"/>
      <c r="D46" s="356"/>
      <c r="E46" s="357"/>
      <c r="F46" s="356"/>
      <c r="G46" s="356"/>
      <c r="H46" s="355"/>
      <c r="I46" s="357"/>
      <c r="J46" s="353"/>
      <c r="K46" s="368"/>
      <c r="L46" s="358"/>
      <c r="M46" s="9"/>
      <c r="N46" s="86"/>
      <c r="O46" s="358"/>
      <c r="P46" s="9"/>
      <c r="Q46" s="39"/>
      <c r="R46" s="86"/>
      <c r="S46" s="20"/>
    </row>
    <row r="47" spans="1:20" ht="14.1" customHeight="1" x14ac:dyDescent="0.2">
      <c r="A47" s="365" t="s">
        <v>132</v>
      </c>
      <c r="B47" s="55"/>
      <c r="C47" s="354">
        <f>SUM(C48:C48)</f>
        <v>1638</v>
      </c>
      <c r="D47" s="356">
        <f>SUM(D48:D48)</f>
        <v>1365</v>
      </c>
      <c r="E47" s="357">
        <f>(C47-D47)/D47</f>
        <v>0.2</v>
      </c>
      <c r="F47" s="354">
        <f>SUM(F48:F48)</f>
        <v>4394</v>
      </c>
      <c r="G47" s="356">
        <f>SUM(G48:G48)</f>
        <v>3910</v>
      </c>
      <c r="H47" s="355">
        <f>(F47-G47)/G47</f>
        <v>0.12378516624040921</v>
      </c>
      <c r="I47" s="357">
        <f>F47/$F$66</f>
        <v>4.9048389797399117E-2</v>
      </c>
      <c r="J47" s="353" t="s">
        <v>132</v>
      </c>
      <c r="K47" s="55"/>
      <c r="L47" s="354">
        <f>SUM(L48:L48)</f>
        <v>194062</v>
      </c>
      <c r="M47" s="356">
        <f>SUM(M48:M48)</f>
        <v>170095</v>
      </c>
      <c r="N47" s="357">
        <f>(L47-M47)/M47</f>
        <v>0.14090361268702783</v>
      </c>
      <c r="O47" s="354">
        <f>SUM(O48:O48)</f>
        <v>491181</v>
      </c>
      <c r="P47" s="356">
        <f>SUM(P48:P48)</f>
        <v>456527</v>
      </c>
      <c r="Q47" s="355">
        <f>(O47-P47)/P47</f>
        <v>7.5907887156728956E-2</v>
      </c>
      <c r="R47" s="357">
        <f>O47/$O$66</f>
        <v>5.8128603148296869E-2</v>
      </c>
      <c r="S47" s="20"/>
    </row>
    <row r="48" spans="1:20" ht="14.1" customHeight="1" x14ac:dyDescent="0.2">
      <c r="A48" s="365"/>
      <c r="B48" s="55" t="s">
        <v>132</v>
      </c>
      <c r="C48" s="431">
        <f>[3]Southwest!$FB$19</f>
        <v>1638</v>
      </c>
      <c r="D48" s="296">
        <f>[3]Southwest!$EN$19</f>
        <v>1365</v>
      </c>
      <c r="E48" s="433">
        <f>(C48-D48)/D48</f>
        <v>0.2</v>
      </c>
      <c r="F48" s="296">
        <f>SUM([3]Southwest!$EZ$19:$FB$19)</f>
        <v>4394</v>
      </c>
      <c r="G48" s="296">
        <f>SUM([3]Southwest!$EL$19:$EN$19)</f>
        <v>3910</v>
      </c>
      <c r="H48" s="432">
        <f>(F48-G48)/G48</f>
        <v>0.12378516624040921</v>
      </c>
      <c r="I48" s="433">
        <f>F48/$F$66</f>
        <v>4.9048389797399117E-2</v>
      </c>
      <c r="J48" s="353"/>
      <c r="K48" s="55" t="s">
        <v>132</v>
      </c>
      <c r="L48" s="431">
        <f>[3]Southwest!$FB$41</f>
        <v>194062</v>
      </c>
      <c r="M48" s="296">
        <f>[3]Southwest!$EN$41</f>
        <v>170095</v>
      </c>
      <c r="N48" s="433">
        <f>(L48-M48)/M48</f>
        <v>0.14090361268702783</v>
      </c>
      <c r="O48" s="431">
        <f>SUM([3]Southwest!$EZ$41:$FB$41)</f>
        <v>491181</v>
      </c>
      <c r="P48" s="296">
        <f>SUM([3]Southwest!$EL$41:$EN$41)</f>
        <v>456527</v>
      </c>
      <c r="Q48" s="432">
        <f>(O48-P48)/P48</f>
        <v>7.5907887156728956E-2</v>
      </c>
      <c r="R48" s="433">
        <f>O48/$O$66</f>
        <v>5.8128603148296869E-2</v>
      </c>
      <c r="S48" s="20"/>
    </row>
    <row r="49" spans="1:20" ht="14.1" customHeight="1" x14ac:dyDescent="0.2">
      <c r="A49" s="353"/>
      <c r="B49" s="55"/>
      <c r="C49" s="354"/>
      <c r="D49" s="356"/>
      <c r="E49" s="357"/>
      <c r="F49" s="356"/>
      <c r="G49" s="356"/>
      <c r="H49" s="355"/>
      <c r="I49" s="357"/>
      <c r="J49" s="353"/>
      <c r="K49" s="55"/>
      <c r="L49" s="358"/>
      <c r="M49" s="9"/>
      <c r="N49" s="86"/>
      <c r="O49" s="358"/>
      <c r="P49" s="9"/>
      <c r="Q49" s="39"/>
      <c r="R49" s="86"/>
      <c r="S49" s="20"/>
      <c r="T49" s="7"/>
    </row>
    <row r="50" spans="1:20" ht="14.1" customHeight="1" x14ac:dyDescent="0.2">
      <c r="A50" s="353" t="s">
        <v>161</v>
      </c>
      <c r="B50" s="55"/>
      <c r="C50" s="354">
        <f>[3]Spirit!$FB$19</f>
        <v>838</v>
      </c>
      <c r="D50" s="356">
        <f>[3]Spirit!$EN$19</f>
        <v>680</v>
      </c>
      <c r="E50" s="357">
        <f>(C50-D50)/D50</f>
        <v>0.2323529411764706</v>
      </c>
      <c r="F50" s="356">
        <f>SUM([3]Spirit!$EZ$19:$FB$19)</f>
        <v>2351</v>
      </c>
      <c r="G50" s="356">
        <f>SUM([3]Spirit!$EL$19:$EN$19)</f>
        <v>1972</v>
      </c>
      <c r="H50" s="355">
        <f>(F50-G50)/G50</f>
        <v>0.19219066937119675</v>
      </c>
      <c r="I50" s="357">
        <f>F50/$F$66</f>
        <v>2.6243232684043088E-2</v>
      </c>
      <c r="J50" s="353" t="s">
        <v>161</v>
      </c>
      <c r="K50" s="55"/>
      <c r="L50" s="354">
        <f>[3]Spirit!$FB$41</f>
        <v>127962</v>
      </c>
      <c r="M50" s="356">
        <f>[3]Spirit!$EN$41</f>
        <v>108982</v>
      </c>
      <c r="N50" s="357">
        <f>(L50-M50)/M50</f>
        <v>0.17415720027160447</v>
      </c>
      <c r="O50" s="354">
        <f>SUM([3]Spirit!$EZ$41:$FB$41)</f>
        <v>323722</v>
      </c>
      <c r="P50" s="356">
        <f>SUM([3]Spirit!$EL$41:$EN$41)</f>
        <v>299188</v>
      </c>
      <c r="Q50" s="355">
        <f>(O50-P50)/P50</f>
        <v>8.2001951949944515E-2</v>
      </c>
      <c r="R50" s="357">
        <f>O50/$O$66</f>
        <v>3.8310740171897853E-2</v>
      </c>
      <c r="S50" s="20"/>
      <c r="T50" s="7"/>
    </row>
    <row r="51" spans="1:20" ht="14.1" customHeight="1" x14ac:dyDescent="0.2">
      <c r="A51" s="353"/>
      <c r="B51" s="55"/>
      <c r="C51" s="354"/>
      <c r="D51" s="356"/>
      <c r="E51" s="357"/>
      <c r="F51" s="356"/>
      <c r="G51" s="356"/>
      <c r="H51" s="355"/>
      <c r="I51" s="357"/>
      <c r="J51" s="353"/>
      <c r="K51" s="55"/>
      <c r="L51" s="358"/>
      <c r="M51" s="9"/>
      <c r="N51" s="86"/>
      <c r="O51" s="358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53" t="s">
        <v>49</v>
      </c>
      <c r="B52" s="368"/>
      <c r="C52" s="354">
        <f>'[3]Sun Country'!$FB$19</f>
        <v>2199</v>
      </c>
      <c r="D52" s="356">
        <f>'[3]Sun Country'!$EN$19</f>
        <v>1927</v>
      </c>
      <c r="E52" s="357">
        <f>(C52-D52)/D52</f>
        <v>0.14115204981837051</v>
      </c>
      <c r="F52" s="356">
        <f>SUM('[3]Sun Country'!$EZ$19:$FB$19)</f>
        <v>6009</v>
      </c>
      <c r="G52" s="356">
        <f>SUM('[3]Sun Country'!$EL$19:$EN$19)</f>
        <v>5319</v>
      </c>
      <c r="H52" s="355">
        <f>(F52-G52)/G52</f>
        <v>0.12972363226170333</v>
      </c>
      <c r="I52" s="357">
        <f>F52/$F$66</f>
        <v>6.7075961377462745E-2</v>
      </c>
      <c r="J52" s="353" t="s">
        <v>49</v>
      </c>
      <c r="K52" s="368"/>
      <c r="L52" s="354">
        <f>'[3]Sun Country'!$FB$41</f>
        <v>276314</v>
      </c>
      <c r="M52" s="356">
        <f>'[3]Sun Country'!$EN$41</f>
        <v>238873</v>
      </c>
      <c r="N52" s="357">
        <f>(L52-M52)/M52</f>
        <v>0.15674019248722124</v>
      </c>
      <c r="O52" s="354">
        <f>SUM('[3]Sun Country'!$EZ$41:$FB$41)</f>
        <v>686224</v>
      </c>
      <c r="P52" s="356">
        <f>SUM('[3]Sun Country'!$EL$41:$EN$41)</f>
        <v>603941</v>
      </c>
      <c r="Q52" s="355">
        <f>(O52-P52)/P52</f>
        <v>0.13624344099837568</v>
      </c>
      <c r="R52" s="357">
        <f>O52/$O$66</f>
        <v>8.1210882682426377E-2</v>
      </c>
      <c r="S52" s="20"/>
    </row>
    <row r="53" spans="1:20" s="7" customFormat="1" ht="14.1" customHeight="1" x14ac:dyDescent="0.2">
      <c r="A53" s="353"/>
      <c r="B53" s="368"/>
      <c r="C53" s="354"/>
      <c r="D53" s="356"/>
      <c r="E53" s="357"/>
      <c r="F53" s="356"/>
      <c r="G53" s="356"/>
      <c r="H53" s="355"/>
      <c r="I53" s="357"/>
      <c r="J53" s="353"/>
      <c r="K53" s="368"/>
      <c r="L53" s="358"/>
      <c r="M53" s="9"/>
      <c r="N53" s="86"/>
      <c r="O53" s="358"/>
      <c r="P53" s="9"/>
      <c r="Q53" s="39"/>
      <c r="R53" s="86"/>
      <c r="S53" s="20"/>
    </row>
    <row r="54" spans="1:20" s="7" customFormat="1" ht="14.1" customHeight="1" x14ac:dyDescent="0.2">
      <c r="A54" s="353" t="s">
        <v>19</v>
      </c>
      <c r="B54" s="361"/>
      <c r="C54" s="354">
        <f>SUM(C55:C61)</f>
        <v>1606</v>
      </c>
      <c r="D54" s="356">
        <f>SUM(D55:D61)</f>
        <v>1588</v>
      </c>
      <c r="E54" s="357">
        <f t="shared" ref="E54:E61" si="14">(C54-D54)/D54</f>
        <v>1.1335012594458438E-2</v>
      </c>
      <c r="F54" s="356">
        <f>SUM(F55:F61)</f>
        <v>4444</v>
      </c>
      <c r="G54" s="356">
        <f>SUM(G55:G61)</f>
        <v>4542</v>
      </c>
      <c r="H54" s="355">
        <f t="shared" ref="H54:H61" si="15">(F54-G54)/G54</f>
        <v>-2.1576398062527521E-2</v>
      </c>
      <c r="I54" s="357">
        <f t="shared" ref="I54:I61" si="16">F54/$F$66</f>
        <v>4.9606518948484682E-2</v>
      </c>
      <c r="J54" s="353" t="s">
        <v>19</v>
      </c>
      <c r="K54" s="361"/>
      <c r="L54" s="354">
        <f>SUM(L55:L61)</f>
        <v>142720</v>
      </c>
      <c r="M54" s="356">
        <f>SUM(M55:M61)</f>
        <v>126766</v>
      </c>
      <c r="N54" s="357">
        <f t="shared" ref="N54:N61" si="17">(L54-M54)/M54</f>
        <v>0.12585393559787325</v>
      </c>
      <c r="O54" s="354">
        <f>SUM(O55:O61)</f>
        <v>376456</v>
      </c>
      <c r="P54" s="356">
        <f>SUM(P55:P61)</f>
        <v>356806</v>
      </c>
      <c r="Q54" s="355">
        <f t="shared" ref="Q54:Q61" si="18">(O54-P54)/P54</f>
        <v>5.5071943857446341E-2</v>
      </c>
      <c r="R54" s="357">
        <f t="shared" ref="R54:R61" si="19">O54/$O$66</f>
        <v>4.4551522609374644E-2</v>
      </c>
      <c r="S54" s="20"/>
      <c r="T54"/>
    </row>
    <row r="55" spans="1:20" s="7" customFormat="1" ht="14.1" customHeight="1" x14ac:dyDescent="0.2">
      <c r="A55" s="369"/>
      <c r="B55" s="435" t="s">
        <v>19</v>
      </c>
      <c r="C55" s="358">
        <f>[3]United!$FB$19</f>
        <v>648</v>
      </c>
      <c r="D55" s="9">
        <f>[3]United!$EN$19+[3]Continental!$EN$19</f>
        <v>460</v>
      </c>
      <c r="E55" s="86">
        <f t="shared" si="14"/>
        <v>0.40869565217391307</v>
      </c>
      <c r="F55" s="9">
        <f>SUM([3]United!$EZ$19:$FB$19)</f>
        <v>1822</v>
      </c>
      <c r="G55" s="9">
        <f>SUM([3]United!$EL$19:$EN$19)+SUM([3]Continental!$EL$19:$EN$19)</f>
        <v>1382</v>
      </c>
      <c r="H55" s="39">
        <f t="shared" si="15"/>
        <v>0.31837916063675831</v>
      </c>
      <c r="I55" s="86">
        <f t="shared" si="16"/>
        <v>2.0338226265557851E-2</v>
      </c>
      <c r="J55" s="369"/>
      <c r="K55" s="435" t="s">
        <v>19</v>
      </c>
      <c r="L55" s="358">
        <f>[3]United!$FB$41</f>
        <v>82037</v>
      </c>
      <c r="M55" s="9">
        <f>[3]United!$EN$41+[3]Continental!$EN$41</f>
        <v>55758</v>
      </c>
      <c r="N55" s="86">
        <f t="shared" si="17"/>
        <v>0.47130456616090965</v>
      </c>
      <c r="O55" s="358">
        <f>SUM([3]United!$EZ$41:$FB$41)</f>
        <v>217115</v>
      </c>
      <c r="P55" s="9">
        <f>SUM([3]United!$EL$41:$EN$41)+SUM([3]Continental!$EL$41:$EN$41)</f>
        <v>165229</v>
      </c>
      <c r="Q55" s="39">
        <f t="shared" si="18"/>
        <v>0.31402477773272247</v>
      </c>
      <c r="R55" s="86">
        <f t="shared" si="19"/>
        <v>2.569438083423926E-2</v>
      </c>
      <c r="S55" s="20"/>
    </row>
    <row r="56" spans="1:20" s="7" customFormat="1" ht="14.1" customHeight="1" x14ac:dyDescent="0.2">
      <c r="A56" s="369"/>
      <c r="B56" s="437" t="s">
        <v>183</v>
      </c>
      <c r="C56" s="358">
        <f>'[3]Continental Express'!$FB$19</f>
        <v>28</v>
      </c>
      <c r="D56" s="9">
        <f>'[3]Continental Express'!$EN$19</f>
        <v>54</v>
      </c>
      <c r="E56" s="86">
        <f t="shared" si="14"/>
        <v>-0.48148148148148145</v>
      </c>
      <c r="F56" s="9">
        <f>SUM('[3]Continental Express'!$EZ$19:$FB$19)</f>
        <v>92</v>
      </c>
      <c r="G56" s="9">
        <f>SUM('[3]Continental Express'!$EL$19:$EN$19)</f>
        <v>1010</v>
      </c>
      <c r="H56" s="39">
        <f t="shared" si="15"/>
        <v>-0.90891089108910894</v>
      </c>
      <c r="I56" s="86">
        <f t="shared" si="16"/>
        <v>1.0269576379974327E-3</v>
      </c>
      <c r="J56" s="53"/>
      <c r="K56" s="435" t="s">
        <v>183</v>
      </c>
      <c r="L56" s="358">
        <f>'[3]Continental Express'!$FB$41</f>
        <v>1317</v>
      </c>
      <c r="M56" s="9">
        <f>'[3]Continental Express'!$EN$41</f>
        <v>2268</v>
      </c>
      <c r="N56" s="86">
        <f t="shared" si="17"/>
        <v>-0.4193121693121693</v>
      </c>
      <c r="O56" s="358">
        <f>SUM('[3]Continental Express'!$EZ$41:$FB$41)</f>
        <v>3643</v>
      </c>
      <c r="P56" s="9">
        <f>SUM('[3]Continental Express'!$EL$41:$EN$41)</f>
        <v>68573</v>
      </c>
      <c r="Q56" s="39">
        <f t="shared" si="18"/>
        <v>-0.94687413413442612</v>
      </c>
      <c r="R56" s="86">
        <f t="shared" si="19"/>
        <v>4.3112926043402633E-4</v>
      </c>
      <c r="S56" s="20"/>
    </row>
    <row r="57" spans="1:20" s="7" customFormat="1" ht="14.1" customHeight="1" x14ac:dyDescent="0.2">
      <c r="A57" s="369"/>
      <c r="B57" s="363" t="s">
        <v>160</v>
      </c>
      <c r="C57" s="358">
        <f>'[3]Go Jet_UA'!$FB$19</f>
        <v>38</v>
      </c>
      <c r="D57" s="9">
        <f>'[3]Go Jet_UA'!$EN$19</f>
        <v>78</v>
      </c>
      <c r="E57" s="86">
        <f t="shared" si="14"/>
        <v>-0.51282051282051277</v>
      </c>
      <c r="F57" s="9">
        <f>SUM('[3]Go Jet_UA'!$EZ$19:$FB$19)</f>
        <v>74</v>
      </c>
      <c r="G57" s="9">
        <f>SUM('[3]Go Jet_UA'!$EL$19:$EN$19)</f>
        <v>130</v>
      </c>
      <c r="H57" s="39">
        <f t="shared" si="15"/>
        <v>-0.43076923076923079</v>
      </c>
      <c r="I57" s="86">
        <f t="shared" si="16"/>
        <v>8.2603114360663057E-4</v>
      </c>
      <c r="J57" s="369"/>
      <c r="K57" s="362" t="s">
        <v>160</v>
      </c>
      <c r="L57" s="358">
        <f>'[3]Go Jet_UA'!$FB$41</f>
        <v>2493</v>
      </c>
      <c r="M57" s="9">
        <f>'[3]Go Jet_UA'!$EN$41</f>
        <v>5015</v>
      </c>
      <c r="N57" s="86">
        <f t="shared" si="17"/>
        <v>-0.5028913260219342</v>
      </c>
      <c r="O57" s="358">
        <f>SUM('[3]Go Jet_UA'!$EZ$41:$FB$41)</f>
        <v>4752</v>
      </c>
      <c r="P57" s="9">
        <f>SUM('[3]Go Jet_UA'!$EL$41:$EN$41)</f>
        <v>8330</v>
      </c>
      <c r="Q57" s="39">
        <f t="shared" si="18"/>
        <v>-0.42953181272509006</v>
      </c>
      <c r="R57" s="86">
        <f t="shared" si="19"/>
        <v>5.6237338610554295E-4</v>
      </c>
      <c r="S57" s="20"/>
    </row>
    <row r="58" spans="1:20" s="7" customFormat="1" ht="14.1" customHeight="1" x14ac:dyDescent="0.2">
      <c r="A58" s="369"/>
      <c r="B58" s="363" t="s">
        <v>51</v>
      </c>
      <c r="C58" s="358">
        <f>[3]MESA_UA!$FB$19</f>
        <v>366</v>
      </c>
      <c r="D58" s="9">
        <f>[3]MESA_UA!$EN$19</f>
        <v>246</v>
      </c>
      <c r="E58" s="86">
        <f t="shared" si="14"/>
        <v>0.48780487804878048</v>
      </c>
      <c r="F58" s="9">
        <f>SUM([3]MESA_UA!$EZ$19:$FB$19)</f>
        <v>948</v>
      </c>
      <c r="G58" s="9">
        <f>SUM([3]MESA_UA!$EL$19:$EN$19)</f>
        <v>604</v>
      </c>
      <c r="H58" s="39">
        <f>(F58-G58)/G58</f>
        <v>0.56953642384105962</v>
      </c>
      <c r="I58" s="86">
        <f t="shared" si="16"/>
        <v>1.0582128704582241E-2</v>
      </c>
      <c r="J58" s="369"/>
      <c r="K58" s="362" t="s">
        <v>51</v>
      </c>
      <c r="L58" s="358">
        <f>[3]MESA_UA!$FB$41</f>
        <v>22620</v>
      </c>
      <c r="M58" s="9">
        <f>[3]MESA_UA!$EN$41</f>
        <v>14983</v>
      </c>
      <c r="N58" s="86">
        <f t="shared" si="17"/>
        <v>0.5097110058065808</v>
      </c>
      <c r="O58" s="358">
        <f>SUM([3]MESA_UA!$EZ$41:$FB$41)</f>
        <v>56611</v>
      </c>
      <c r="P58" s="9">
        <f>SUM([3]MESA_UA!$EL$41:$EN$41)</f>
        <v>26291</v>
      </c>
      <c r="Q58" s="39">
        <f t="shared" si="18"/>
        <v>1.1532463580693013</v>
      </c>
      <c r="R58" s="86">
        <f t="shared" si="19"/>
        <v>6.6996043267720734E-3</v>
      </c>
      <c r="S58" s="20"/>
    </row>
    <row r="59" spans="1:20" s="7" customFormat="1" ht="14.1" customHeight="1" x14ac:dyDescent="0.2">
      <c r="A59" s="369"/>
      <c r="B59" s="437" t="s">
        <v>52</v>
      </c>
      <c r="C59" s="358">
        <f>[3]Republic_UA!$FB$19</f>
        <v>252</v>
      </c>
      <c r="D59" s="9">
        <f>[3]Republic_UA!$EN$19</f>
        <v>162</v>
      </c>
      <c r="E59" s="86">
        <f t="shared" si="14"/>
        <v>0.55555555555555558</v>
      </c>
      <c r="F59" s="9">
        <f>SUM([3]Republic_UA!$EZ$19:$FB$19)</f>
        <v>684</v>
      </c>
      <c r="G59" s="9">
        <f>SUM([3]Republic_UA!$EL$19:$EN$19)</f>
        <v>290</v>
      </c>
      <c r="H59" s="39">
        <f t="shared" ref="H59" si="20">(F59-G59)/G59</f>
        <v>1.3586206896551725</v>
      </c>
      <c r="I59" s="86">
        <f t="shared" si="16"/>
        <v>7.6352067868504774E-3</v>
      </c>
      <c r="J59" s="369"/>
      <c r="K59" s="437" t="s">
        <v>52</v>
      </c>
      <c r="L59" s="358">
        <f>[3]Republic_UA!$FB$41</f>
        <v>15128</v>
      </c>
      <c r="M59" s="9">
        <f>[3]Republic_UA!$EN$41</f>
        <v>10406</v>
      </c>
      <c r="N59" s="86">
        <f t="shared" si="17"/>
        <v>0.45377666730732269</v>
      </c>
      <c r="O59" s="358">
        <f>SUM([3]Republic_UA!$EZ$41:$FB$41)</f>
        <v>38758</v>
      </c>
      <c r="P59" s="9">
        <f>SUM([3]Republic_UA!$EL$41:$EN$41)</f>
        <v>17062</v>
      </c>
      <c r="Q59" s="39">
        <f t="shared" si="18"/>
        <v>1.2715977024967764</v>
      </c>
      <c r="R59" s="86">
        <f t="shared" si="19"/>
        <v>4.5867987581394432E-3</v>
      </c>
      <c r="S59" s="20"/>
    </row>
    <row r="60" spans="1:20" s="7" customFormat="1" ht="14.1" customHeight="1" x14ac:dyDescent="0.2">
      <c r="A60" s="369"/>
      <c r="B60" s="363" t="s">
        <v>100</v>
      </c>
      <c r="C60" s="358">
        <f>'[3]Sky West_UA'!$FB$19</f>
        <v>274</v>
      </c>
      <c r="D60" s="9">
        <f>'[3]Sky West_UA'!$EN$19+'[3]Sky West_CO'!$EN$19</f>
        <v>436</v>
      </c>
      <c r="E60" s="86">
        <f t="shared" si="14"/>
        <v>-0.37155963302752293</v>
      </c>
      <c r="F60" s="9">
        <f>SUM('[3]Sky West_UA'!$EZ$19:$FB$19)</f>
        <v>800</v>
      </c>
      <c r="G60" s="9">
        <f>SUM('[3]Sky West_UA'!$EL$19:$EN$19)+SUM('[3]Sky West_CO'!$EL$19:$EN$19)</f>
        <v>798</v>
      </c>
      <c r="H60" s="39">
        <f t="shared" si="15"/>
        <v>2.5062656641604009E-3</v>
      </c>
      <c r="I60" s="86">
        <f t="shared" si="16"/>
        <v>8.93006641736898E-3</v>
      </c>
      <c r="J60" s="369"/>
      <c r="K60" s="362" t="s">
        <v>100</v>
      </c>
      <c r="L60" s="358">
        <f>'[3]Sky West_UA'!$FB$41</f>
        <v>19125</v>
      </c>
      <c r="M60" s="9">
        <f>'[3]Sky West_UA'!$EN$41+'[3]Sky West_CO'!$EN$41</f>
        <v>28961</v>
      </c>
      <c r="N60" s="86">
        <f t="shared" si="17"/>
        <v>-0.33962915645177999</v>
      </c>
      <c r="O60" s="358">
        <f>SUM('[3]Sky West_UA'!$EZ$41:$FB$41)</f>
        <v>54304</v>
      </c>
      <c r="P60" s="9">
        <f>SUM('[3]Sky West_UA'!$EL$41:$EN$41)+SUM('[3]Sky West_CO'!$EL$41:$EN$41)</f>
        <v>52406</v>
      </c>
      <c r="Q60" s="39">
        <f t="shared" si="18"/>
        <v>3.6217227035072318E-2</v>
      </c>
      <c r="R60" s="86">
        <f t="shared" si="19"/>
        <v>6.42658340889634E-3</v>
      </c>
      <c r="S60" s="20"/>
    </row>
    <row r="61" spans="1:20" s="7" customFormat="1" ht="14.1" customHeight="1" x14ac:dyDescent="0.2">
      <c r="A61" s="369"/>
      <c r="B61" s="364" t="s">
        <v>134</v>
      </c>
      <c r="C61" s="358">
        <f>'[3]Shuttle America'!$FB$19</f>
        <v>0</v>
      </c>
      <c r="D61" s="9">
        <f>'[3]Shuttle America'!$EN$19</f>
        <v>152</v>
      </c>
      <c r="E61" s="86">
        <f t="shared" si="14"/>
        <v>-1</v>
      </c>
      <c r="F61" s="9">
        <f>SUM('[3]Shuttle America'!$EZ$19:$FB$19)</f>
        <v>24</v>
      </c>
      <c r="G61" s="9">
        <f>SUM('[3]Shuttle America'!$EL$19:$EN$19)</f>
        <v>328</v>
      </c>
      <c r="H61" s="39">
        <f t="shared" si="15"/>
        <v>-0.92682926829268297</v>
      </c>
      <c r="I61" s="86">
        <f t="shared" si="16"/>
        <v>2.6790199252106937E-4</v>
      </c>
      <c r="J61" s="369"/>
      <c r="K61" s="364" t="s">
        <v>134</v>
      </c>
      <c r="L61" s="358">
        <f>'[3]Shuttle America'!$FB$41</f>
        <v>0</v>
      </c>
      <c r="M61" s="9">
        <f>'[3]Shuttle America'!$EN$41</f>
        <v>9375</v>
      </c>
      <c r="N61" s="86">
        <f t="shared" si="17"/>
        <v>-1</v>
      </c>
      <c r="O61" s="358">
        <f>SUM('[3]Shuttle America'!$EZ$41:$FB$41)</f>
        <v>1273</v>
      </c>
      <c r="P61" s="9">
        <f>SUM('[3]Shuttle America'!$EL$41:$EN$41)</f>
        <v>18915</v>
      </c>
      <c r="Q61" s="39">
        <f t="shared" si="18"/>
        <v>-0.93269891620407086</v>
      </c>
      <c r="R61" s="86">
        <f t="shared" si="19"/>
        <v>1.5065263478795376E-4</v>
      </c>
      <c r="S61" s="20"/>
    </row>
    <row r="62" spans="1:20" s="7" customFormat="1" ht="14.1" customHeight="1" thickBot="1" x14ac:dyDescent="0.25">
      <c r="A62" s="440"/>
      <c r="B62" s="441"/>
      <c r="C62" s="370"/>
      <c r="D62" s="372"/>
      <c r="E62" s="373"/>
      <c r="F62" s="374"/>
      <c r="G62" s="374"/>
      <c r="H62" s="371"/>
      <c r="I62" s="373"/>
      <c r="J62" s="440"/>
      <c r="K62" s="441"/>
      <c r="L62" s="370"/>
      <c r="M62" s="374"/>
      <c r="N62" s="373"/>
      <c r="O62" s="370"/>
      <c r="P62" s="374"/>
      <c r="Q62" s="371"/>
      <c r="R62" s="488"/>
      <c r="S62" s="20"/>
    </row>
    <row r="63" spans="1:20" s="229" customFormat="1" ht="14.1" customHeight="1" thickBot="1" x14ac:dyDescent="0.25">
      <c r="B63" s="264"/>
      <c r="C63" s="356"/>
      <c r="D63" s="356"/>
      <c r="E63" s="355"/>
      <c r="F63" s="439"/>
      <c r="G63" s="356"/>
      <c r="H63" s="355"/>
      <c r="I63" s="355"/>
      <c r="J63" s="375"/>
      <c r="K63" s="264"/>
      <c r="L63" s="376"/>
      <c r="M63" s="377"/>
      <c r="N63" s="375"/>
      <c r="O63" s="230"/>
      <c r="P63" s="230"/>
      <c r="Q63" s="230"/>
      <c r="R63" s="507"/>
      <c r="S63" s="228"/>
      <c r="T63"/>
    </row>
    <row r="64" spans="1:20" ht="14.1" customHeight="1" x14ac:dyDescent="0.2">
      <c r="B64" s="378" t="s">
        <v>136</v>
      </c>
      <c r="C64" s="452">
        <f>+C66-C65</f>
        <v>19289</v>
      </c>
      <c r="D64" s="453">
        <f>+D66-D65</f>
        <v>18137</v>
      </c>
      <c r="E64" s="454">
        <f>(C64-D64)/D64</f>
        <v>6.3516568340960464E-2</v>
      </c>
      <c r="F64" s="452">
        <f t="shared" ref="F64:G64" si="21">+F66-F65</f>
        <v>52180</v>
      </c>
      <c r="G64" s="453">
        <f t="shared" si="21"/>
        <v>49187</v>
      </c>
      <c r="H64" s="459">
        <f>(F64-G64)/G64</f>
        <v>6.084941142984935E-2</v>
      </c>
      <c r="I64" s="462">
        <f>F64/$F$66</f>
        <v>0.58246358207289162</v>
      </c>
      <c r="K64" s="378" t="s">
        <v>136</v>
      </c>
      <c r="L64" s="452">
        <f>+L66-L65</f>
        <v>2612413</v>
      </c>
      <c r="M64" s="453">
        <f>+M66-M65</f>
        <v>2483798</v>
      </c>
      <c r="N64" s="454">
        <f>(L64-M64)/M64</f>
        <v>5.178158610321773E-2</v>
      </c>
      <c r="O64" s="452">
        <f t="shared" ref="O64:P64" si="22">+O66-O65</f>
        <v>6600381</v>
      </c>
      <c r="P64" s="453">
        <f t="shared" si="22"/>
        <v>6410045</v>
      </c>
      <c r="Q64" s="505">
        <f>(O64-P64)/P64</f>
        <v>2.9693395288176605E-2</v>
      </c>
      <c r="R64" s="511">
        <f>+O64/O66</f>
        <v>0.78111923664913507</v>
      </c>
    </row>
    <row r="65" spans="2:18" ht="14.1" customHeight="1" x14ac:dyDescent="0.2">
      <c r="B65" s="329" t="s">
        <v>137</v>
      </c>
      <c r="C65" s="455">
        <f>C61+C37+C35+C33+C32+C36+C19+C60+C57+C34+C56+C58+C24+C23+C20+C15+C7+C6+C59+C21+C22</f>
        <v>13945</v>
      </c>
      <c r="D65" s="379">
        <f>D61+D37+D35+D33+D32+D36+D19+D60+D57+D34+D56+D58+D24+D23+D20+D15+D7+D6+D59+D21+D22</f>
        <v>13998</v>
      </c>
      <c r="E65" s="380">
        <f>(C65-D65)/D65</f>
        <v>-3.7862551793113302E-3</v>
      </c>
      <c r="F65" s="455">
        <f>F61+F37+F35+F33+F32+F36+F19+F60+F57+F34+F56+F58+F24+F23+F20+F15+F7+F6+F59+F21+F22</f>
        <v>37405</v>
      </c>
      <c r="G65" s="379">
        <f>G61+G37+G35+G33+G32+G36+G19+G60+G57+G34+G56+G58+G24+G23+G20+G15+G7+G6+G59+G21+G22</f>
        <v>39273</v>
      </c>
      <c r="H65" s="460">
        <f>(F65-G65)/G65</f>
        <v>-4.7564484505894636E-2</v>
      </c>
      <c r="I65" s="430">
        <f>F65/$F$66</f>
        <v>0.41753641792710833</v>
      </c>
      <c r="K65" s="329" t="s">
        <v>137</v>
      </c>
      <c r="L65" s="455">
        <f>L61+L37+L35+L33+L32+L36+L19+L60+L57+L34+L56+L58+L24+L23+L20+L15+L7+L6+L59+L21+L22</f>
        <v>715522</v>
      </c>
      <c r="M65" s="379">
        <f>M61+M37+M35+M33+M32+M36+M19+M60+M57+M34+M56+M58+M24+M23+M20+M15+M7+M6+M59+M21+M22</f>
        <v>733932</v>
      </c>
      <c r="N65" s="380">
        <f>(L65-M65)/M65</f>
        <v>-2.5084067733795502E-2</v>
      </c>
      <c r="O65" s="455">
        <f>O61+O37+O35+O33+O32+O36+O19+O60+O57+O34+O56+O58+O24+O23+O20+O15+O7+O6+O59+O21+O22</f>
        <v>1849521</v>
      </c>
      <c r="P65" s="379">
        <f>P61+P37+P35+P33+P32+P36+P19+P60+P57+P34+P56+P58+P24+P23+P20+P15+P7+P6+P59+P21+P22</f>
        <v>1971407</v>
      </c>
      <c r="Q65" s="503">
        <f>(O65-P65)/P65</f>
        <v>-6.1826908395881723E-2</v>
      </c>
      <c r="R65" s="512">
        <f>+O65/O66</f>
        <v>0.2188807633508649</v>
      </c>
    </row>
    <row r="66" spans="2:18" ht="14.1" customHeight="1" thickBot="1" x14ac:dyDescent="0.25">
      <c r="B66" s="329" t="s">
        <v>138</v>
      </c>
      <c r="C66" s="456">
        <f>C54+C52+C47+C43+C39+C30+C17+C13+C4+C41+C50+C28+C26+C9+C45</f>
        <v>33234</v>
      </c>
      <c r="D66" s="456">
        <f>D54+D52+D47+D43+D39+D30+D17+D13+D4+D41+D50+D28+D26+D9+D45</f>
        <v>32135</v>
      </c>
      <c r="E66" s="458">
        <f>(C66-D66)/D66</f>
        <v>3.419947098179555E-2</v>
      </c>
      <c r="F66" s="456">
        <f>F54+F52+F47+F43+F39+F30+F17+F13+F4+F41+F50+F28+F26+F9+F45</f>
        <v>89585</v>
      </c>
      <c r="G66" s="457">
        <f>G54+G52+G47+G43+G39+G30+G17+G13+G4+G41+G50+G28+G26+G9+G45</f>
        <v>88460</v>
      </c>
      <c r="H66" s="461">
        <f>(F66-G66)/G66</f>
        <v>1.2717612480217048E-2</v>
      </c>
      <c r="I66" s="463">
        <f>+H66/H66</f>
        <v>1</v>
      </c>
      <c r="K66" s="329" t="s">
        <v>138</v>
      </c>
      <c r="L66" s="456">
        <f>L54+L52+L47+L43+L39+L30+L17+L13+L4+L41+L50+L28+L26+L9+L45</f>
        <v>3327935</v>
      </c>
      <c r="M66" s="457">
        <f>M54+M52+M47+M43+M39+M30+M17+M13+M4+M41+M50+M28+M26+M9+M45</f>
        <v>3217730</v>
      </c>
      <c r="N66" s="458">
        <f>(L66-M66)/M66</f>
        <v>3.4249299972340747E-2</v>
      </c>
      <c r="O66" s="456">
        <f>O54+O52+O47+O43+O39+O30+O17+O13+O4+O41+O50+O28+O26+O9+O45</f>
        <v>8449902</v>
      </c>
      <c r="P66" s="457">
        <f>P54+P52+P47+P43+P39+P30+P17+P13+P4+P41+P50+P28+P26+P9+P45</f>
        <v>8381452</v>
      </c>
      <c r="Q66" s="506">
        <f>(O66-P66)/P66</f>
        <v>8.1668426902641693E-3</v>
      </c>
      <c r="R66" s="513">
        <f>+O66/O66</f>
        <v>1</v>
      </c>
    </row>
    <row r="67" spans="2:18" x14ac:dyDescent="0.2">
      <c r="B67" s="329"/>
      <c r="E67" s="37"/>
      <c r="F67" s="231"/>
      <c r="G67" s="5"/>
      <c r="H67" s="37"/>
      <c r="I67" s="37"/>
      <c r="K67" s="11"/>
      <c r="L67" s="4"/>
      <c r="M67" s="4"/>
      <c r="N67" s="227"/>
      <c r="O67" s="4"/>
      <c r="P67" s="7"/>
      <c r="Q67" s="7"/>
    </row>
    <row r="68" spans="2:18" x14ac:dyDescent="0.2">
      <c r="B68" s="264"/>
      <c r="D68" s="420"/>
      <c r="E68" s="227"/>
      <c r="F68" s="4"/>
      <c r="G68" s="4"/>
      <c r="H68"/>
      <c r="I68"/>
      <c r="J68"/>
      <c r="K68"/>
      <c r="N68"/>
      <c r="O68" s="2"/>
      <c r="P68" s="2"/>
    </row>
    <row r="69" spans="2:18" x14ac:dyDescent="0.2">
      <c r="B69" s="329"/>
      <c r="E69" s="227"/>
      <c r="F69" s="2"/>
      <c r="H69"/>
      <c r="I69"/>
      <c r="J69"/>
      <c r="K69"/>
      <c r="N69"/>
      <c r="O69" s="2"/>
      <c r="P69" s="2"/>
      <c r="R69" s="2"/>
    </row>
    <row r="70" spans="2:18" x14ac:dyDescent="0.2">
      <c r="B70" s="264"/>
      <c r="E70" s="227"/>
      <c r="F70" s="4"/>
      <c r="G70" s="4"/>
      <c r="H70"/>
      <c r="I70"/>
      <c r="J70"/>
      <c r="K70"/>
      <c r="N70"/>
      <c r="O70" s="2"/>
      <c r="P70" s="2"/>
    </row>
    <row r="71" spans="2:18" x14ac:dyDescent="0.2">
      <c r="D71" s="227"/>
      <c r="E71" s="227"/>
      <c r="F71" s="4"/>
      <c r="G71" s="7"/>
      <c r="H71"/>
      <c r="I71"/>
      <c r="J71"/>
      <c r="K71"/>
      <c r="L71"/>
      <c r="M71"/>
      <c r="N71"/>
      <c r="O71" s="130"/>
    </row>
    <row r="72" spans="2:18" x14ac:dyDescent="0.2">
      <c r="D72" s="227"/>
      <c r="E72" s="227"/>
      <c r="F72" s="4"/>
      <c r="G72" s="7"/>
      <c r="H72"/>
      <c r="I72"/>
      <c r="J72"/>
      <c r="K72"/>
      <c r="M72"/>
      <c r="N72"/>
    </row>
    <row r="73" spans="2:18" x14ac:dyDescent="0.2">
      <c r="D73" s="3"/>
      <c r="F73" s="4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E1190" s="37"/>
      <c r="F1190" s="231"/>
      <c r="G1190" s="5"/>
      <c r="H1190" s="37"/>
      <c r="I1190" s="37"/>
      <c r="K1190" s="11"/>
    </row>
    <row r="1191" spans="5:11" x14ac:dyDescent="0.2">
      <c r="E1191" s="37"/>
      <c r="F1191" s="231"/>
      <c r="G1191" s="5"/>
      <c r="H1191" s="37"/>
      <c r="I1191" s="37"/>
      <c r="K1191" s="11"/>
    </row>
    <row r="1192" spans="5:11" x14ac:dyDescent="0.2">
      <c r="E1192" s="37"/>
      <c r="F1192" s="231"/>
      <c r="G1192" s="5"/>
      <c r="H1192" s="37"/>
      <c r="I1192" s="37"/>
      <c r="K1192" s="11"/>
    </row>
    <row r="1193" spans="5:11" x14ac:dyDescent="0.2">
      <c r="E1193" s="37"/>
      <c r="F1193" s="231"/>
      <c r="G1193" s="5"/>
      <c r="H1193" s="37"/>
      <c r="I1193" s="37"/>
      <c r="K1193" s="11"/>
    </row>
    <row r="1194" spans="5:11" x14ac:dyDescent="0.2">
      <c r="E1194" s="37"/>
      <c r="F1194" s="231"/>
      <c r="G1194" s="5"/>
      <c r="H1194" s="37"/>
      <c r="I1194" s="37"/>
      <c r="K1194" s="11"/>
    </row>
    <row r="1195" spans="5:11" x14ac:dyDescent="0.2">
      <c r="E1195" s="37"/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  <row r="4705" spans="6:11" x14ac:dyDescent="0.2">
      <c r="F4705" s="231"/>
      <c r="G4705" s="5"/>
      <c r="H4705" s="37"/>
      <c r="I4705" s="37"/>
      <c r="K4705" s="11"/>
    </row>
    <row r="4706" spans="6:11" x14ac:dyDescent="0.2">
      <c r="F4706" s="231"/>
      <c r="G4706" s="5"/>
      <c r="H4706" s="37"/>
      <c r="I4706" s="37"/>
      <c r="K4706" s="11"/>
    </row>
    <row r="4707" spans="6:11" x14ac:dyDescent="0.2">
      <c r="F4707" s="231"/>
      <c r="G4707" s="5"/>
      <c r="H4707" s="37"/>
      <c r="I4707" s="37"/>
      <c r="K4707" s="11"/>
    </row>
    <row r="4708" spans="6:11" x14ac:dyDescent="0.2">
      <c r="F4708" s="231"/>
      <c r="G4708" s="5"/>
      <c r="H4708" s="37"/>
      <c r="I4708" s="37"/>
      <c r="K4708" s="11"/>
    </row>
    <row r="4709" spans="6:11" x14ac:dyDescent="0.2">
      <c r="F4709" s="231"/>
      <c r="G4709" s="5"/>
      <c r="H4709" s="37"/>
      <c r="I4709" s="37"/>
      <c r="K4709" s="11"/>
    </row>
    <row r="4710" spans="6:11" x14ac:dyDescent="0.2">
      <c r="F4710" s="231"/>
      <c r="G4710" s="5"/>
      <c r="H4710" s="37"/>
      <c r="I4710" s="37"/>
      <c r="K4710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1" fitToWidth="2" orientation="portrait" r:id="rId1"/>
  <headerFooter alignWithMargins="0">
    <oddHeader>&amp;L
Schedule 10
&amp;CMinneapolis-St. Paul International Airport
&amp;"Arial,Bold"&amp;A
March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B16" sqref="B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84">
        <v>42795</v>
      </c>
      <c r="B1" s="449" t="s">
        <v>17</v>
      </c>
      <c r="C1" s="449" t="s">
        <v>18</v>
      </c>
      <c r="D1" s="449" t="s">
        <v>19</v>
      </c>
      <c r="E1" s="449" t="s">
        <v>161</v>
      </c>
      <c r="F1" s="449" t="s">
        <v>168</v>
      </c>
      <c r="G1" s="449" t="s">
        <v>162</v>
      </c>
      <c r="H1" s="449" t="s">
        <v>224</v>
      </c>
      <c r="I1" s="449" t="s">
        <v>20</v>
      </c>
      <c r="J1" s="450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[3]American!$FB$22</f>
        <v>100508</v>
      </c>
      <c r="C4" s="21">
        <f>[3]Delta!$FB$22+[3]Delta!$FB$32</f>
        <v>832852</v>
      </c>
      <c r="D4" s="21">
        <f>[3]United!$FB$22</f>
        <v>41015</v>
      </c>
      <c r="E4" s="21">
        <f>[3]Spirit!$FB$22</f>
        <v>62006</v>
      </c>
      <c r="F4" s="21">
        <f>[3]Condor!$FB$22</f>
        <v>0</v>
      </c>
      <c r="G4" s="21">
        <f>'[3]Air France'!$FB$22</f>
        <v>0</v>
      </c>
      <c r="H4" s="21">
        <f>[3]KLM!$FB$22+[3]KLM!$FB$32</f>
        <v>487</v>
      </c>
      <c r="I4" s="21">
        <f>'Other Major Airline Stats'!J5</f>
        <v>258150</v>
      </c>
      <c r="J4" s="281">
        <f>SUM(B4:I4)</f>
        <v>1295018</v>
      </c>
    </row>
    <row r="5" spans="1:19" x14ac:dyDescent="0.2">
      <c r="A5" s="62" t="s">
        <v>31</v>
      </c>
      <c r="B5" s="14">
        <f>[3]American!$FB$23</f>
        <v>100906</v>
      </c>
      <c r="C5" s="14">
        <f>[3]Delta!$FB$23+[3]Delta!$FB$33</f>
        <v>841733</v>
      </c>
      <c r="D5" s="14">
        <f>[3]United!$FB$23</f>
        <v>41022</v>
      </c>
      <c r="E5" s="14">
        <f>[3]Spirit!$FB$23</f>
        <v>65956</v>
      </c>
      <c r="F5" s="14">
        <f>[3]Condor!$FB$23</f>
        <v>0</v>
      </c>
      <c r="G5" s="14">
        <f>'[3]Air France'!$FB$23</f>
        <v>0</v>
      </c>
      <c r="H5" s="14">
        <f>[3]KLM!$FB$23+[3]KLM!$FB$33</f>
        <v>273</v>
      </c>
      <c r="I5" s="14">
        <f>'Other Major Airline Stats'!J6</f>
        <v>267505</v>
      </c>
      <c r="J5" s="282">
        <f>SUM(B5:I5)</f>
        <v>1317395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201414</v>
      </c>
      <c r="C6" s="34">
        <f t="shared" si="0"/>
        <v>1674585</v>
      </c>
      <c r="D6" s="34">
        <f t="shared" si="0"/>
        <v>82037</v>
      </c>
      <c r="E6" s="34">
        <f t="shared" si="0"/>
        <v>127962</v>
      </c>
      <c r="F6" s="34">
        <f t="shared" ref="F6:H6" si="1">SUM(F4:F5)</f>
        <v>0</v>
      </c>
      <c r="G6" s="34">
        <f t="shared" si="1"/>
        <v>0</v>
      </c>
      <c r="H6" s="34">
        <f t="shared" si="1"/>
        <v>760</v>
      </c>
      <c r="I6" s="34">
        <f t="shared" si="0"/>
        <v>525655</v>
      </c>
      <c r="J6" s="283">
        <f>SUM(B6:I6)</f>
        <v>2612413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[3]American!$FB$27</f>
        <v>3591</v>
      </c>
      <c r="C9" s="21">
        <f>[3]Delta!$FB$27+[3]Delta!$FB$37</f>
        <v>29648</v>
      </c>
      <c r="D9" s="21">
        <f>[3]United!$FB$27</f>
        <v>1338</v>
      </c>
      <c r="E9" s="21">
        <f>[3]Spirit!$FB$27</f>
        <v>436</v>
      </c>
      <c r="F9" s="21">
        <f>[3]Condor!$FB$27</f>
        <v>0</v>
      </c>
      <c r="G9" s="21">
        <f>'[3]Air France'!$FB$27</f>
        <v>0</v>
      </c>
      <c r="H9" s="21">
        <f>[3]KLM!$FB$27+[3]KLM!$FB$37</f>
        <v>2</v>
      </c>
      <c r="I9" s="21">
        <f>'Other Major Airline Stats'!J10</f>
        <v>3763</v>
      </c>
      <c r="J9" s="281">
        <f>SUM(B9:I9)</f>
        <v>38778</v>
      </c>
    </row>
    <row r="10" spans="1:19" x14ac:dyDescent="0.2">
      <c r="A10" s="62" t="s">
        <v>33</v>
      </c>
      <c r="B10" s="14">
        <f>[3]American!$FB$28</f>
        <v>3961</v>
      </c>
      <c r="C10" s="14">
        <f>[3]Delta!$FB$28+[3]Delta!$FB$38</f>
        <v>29059</v>
      </c>
      <c r="D10" s="14">
        <f>[3]United!$FB$28</f>
        <v>1550</v>
      </c>
      <c r="E10" s="14">
        <f>[3]Spirit!$FB$28</f>
        <v>370</v>
      </c>
      <c r="F10" s="14">
        <f>[3]Condor!$FB$28</f>
        <v>0</v>
      </c>
      <c r="G10" s="14">
        <f>'[3]Air France'!$FB$28</f>
        <v>0</v>
      </c>
      <c r="H10" s="14">
        <f>[3]KLM!$FB$28+[3]KLM!$FB$38</f>
        <v>2</v>
      </c>
      <c r="I10" s="14">
        <f>'Other Major Airline Stats'!J11</f>
        <v>4013</v>
      </c>
      <c r="J10" s="282">
        <f>SUM(B10:I10)</f>
        <v>38955</v>
      </c>
    </row>
    <row r="11" spans="1:19" ht="15.75" thickBot="1" x14ac:dyDescent="0.3">
      <c r="A11" s="63" t="s">
        <v>34</v>
      </c>
      <c r="B11" s="284">
        <f t="shared" ref="B11:I11" si="2">SUM(B9:B10)</f>
        <v>7552</v>
      </c>
      <c r="C11" s="284">
        <f t="shared" si="2"/>
        <v>58707</v>
      </c>
      <c r="D11" s="284">
        <f t="shared" si="2"/>
        <v>2888</v>
      </c>
      <c r="E11" s="284">
        <f t="shared" si="2"/>
        <v>806</v>
      </c>
      <c r="F11" s="284">
        <f t="shared" ref="F11:H11" si="3">SUM(F9:F10)</f>
        <v>0</v>
      </c>
      <c r="G11" s="284">
        <f t="shared" si="3"/>
        <v>0</v>
      </c>
      <c r="H11" s="284">
        <f t="shared" si="3"/>
        <v>4</v>
      </c>
      <c r="I11" s="284">
        <f t="shared" si="2"/>
        <v>7776</v>
      </c>
      <c r="J11" s="285">
        <f>SUM(B11:I11)</f>
        <v>77733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[3]American!$FB$4</f>
        <v>811</v>
      </c>
      <c r="C15" s="21">
        <f>[3]Delta!$FB$4+[3]Delta!$FB$15</f>
        <v>5798</v>
      </c>
      <c r="D15" s="21">
        <f>[3]United!$FB$4</f>
        <v>324</v>
      </c>
      <c r="E15" s="21">
        <f>[3]Spirit!$FB$4</f>
        <v>419</v>
      </c>
      <c r="F15" s="21">
        <f>[3]Condor!$FB$4</f>
        <v>0</v>
      </c>
      <c r="G15" s="21">
        <f>'[3]Air France'!$FB$4</f>
        <v>0</v>
      </c>
      <c r="H15" s="21">
        <f>[3]KLM!$FB$4+[3]KLM!$FB$15</f>
        <v>2</v>
      </c>
      <c r="I15" s="21">
        <f>'Other Major Airline Stats'!J16</f>
        <v>2217</v>
      </c>
      <c r="J15" s="27">
        <f>SUM(B15:I15)</f>
        <v>9571</v>
      </c>
    </row>
    <row r="16" spans="1:19" x14ac:dyDescent="0.2">
      <c r="A16" s="62" t="s">
        <v>23</v>
      </c>
      <c r="B16" s="14">
        <f>[3]American!$FB$5</f>
        <v>812</v>
      </c>
      <c r="C16" s="14">
        <f>[3]Delta!$FB$5+[3]Delta!$FB$16</f>
        <v>5795</v>
      </c>
      <c r="D16" s="14">
        <f>[3]United!$FB$5</f>
        <v>324</v>
      </c>
      <c r="E16" s="14">
        <f>[3]Spirit!$FB$5</f>
        <v>419</v>
      </c>
      <c r="F16" s="14">
        <f>[3]Condor!$FB$5</f>
        <v>0</v>
      </c>
      <c r="G16" s="14">
        <f>'[3]Air France'!$FB$5</f>
        <v>0</v>
      </c>
      <c r="H16" s="14">
        <f>[3]KLM!$FB$5+[3]KLM!$FB$16</f>
        <v>2</v>
      </c>
      <c r="I16" s="14">
        <f>'Other Major Airline Stats'!J17</f>
        <v>2215</v>
      </c>
      <c r="J16" s="33">
        <f>SUM(B16:I16)</f>
        <v>9567</v>
      </c>
    </row>
    <row r="17" spans="1:10" x14ac:dyDescent="0.2">
      <c r="A17" s="62" t="s">
        <v>24</v>
      </c>
      <c r="B17" s="288">
        <f t="shared" ref="B17:I17" si="4">SUM(B15:B16)</f>
        <v>1623</v>
      </c>
      <c r="C17" s="286">
        <f t="shared" si="4"/>
        <v>11593</v>
      </c>
      <c r="D17" s="286">
        <f t="shared" si="4"/>
        <v>648</v>
      </c>
      <c r="E17" s="286">
        <f t="shared" si="4"/>
        <v>838</v>
      </c>
      <c r="F17" s="286">
        <f t="shared" ref="F17:H17" si="5">SUM(F15:F16)</f>
        <v>0</v>
      </c>
      <c r="G17" s="286">
        <f t="shared" si="5"/>
        <v>0</v>
      </c>
      <c r="H17" s="286">
        <f t="shared" si="5"/>
        <v>4</v>
      </c>
      <c r="I17" s="286">
        <f t="shared" si="4"/>
        <v>4432</v>
      </c>
      <c r="J17" s="287">
        <f>SUM(B17:I17)</f>
        <v>19138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[3]American!$FB$8</f>
        <v>0</v>
      </c>
      <c r="C19" s="21">
        <f>[3]Delta!$FB$8</f>
        <v>2</v>
      </c>
      <c r="D19" s="21">
        <f>[3]United!$FB$8</f>
        <v>0</v>
      </c>
      <c r="E19" s="21">
        <f>[3]Spirit!$FB$8</f>
        <v>0</v>
      </c>
      <c r="F19" s="21">
        <f>[3]Condor!$FB$8</f>
        <v>0</v>
      </c>
      <c r="G19" s="21">
        <f>'[3]Air France'!$FB$8</f>
        <v>0</v>
      </c>
      <c r="H19" s="21">
        <f>[3]KLM!$FB$8</f>
        <v>0</v>
      </c>
      <c r="I19" s="21">
        <f>'Other Major Airline Stats'!J20</f>
        <v>70</v>
      </c>
      <c r="J19" s="27">
        <f>SUM(B19:I19)</f>
        <v>72</v>
      </c>
    </row>
    <row r="20" spans="1:10" x14ac:dyDescent="0.2">
      <c r="A20" s="62" t="s">
        <v>26</v>
      </c>
      <c r="B20" s="14">
        <f>[3]American!$FB$9</f>
        <v>0</v>
      </c>
      <c r="C20" s="14">
        <f>[3]Delta!$FB$9</f>
        <v>12</v>
      </c>
      <c r="D20" s="14">
        <f>[3]United!$FB$9</f>
        <v>0</v>
      </c>
      <c r="E20" s="14">
        <f>[3]Spirit!$FB$9</f>
        <v>0</v>
      </c>
      <c r="F20" s="14">
        <f>[3]Condor!$FB$9</f>
        <v>0</v>
      </c>
      <c r="G20" s="14">
        <f>'[3]Air France'!$FB$9</f>
        <v>0</v>
      </c>
      <c r="H20" s="14">
        <f>[3]KLM!$FB$9</f>
        <v>0</v>
      </c>
      <c r="I20" s="14">
        <f>'Other Major Airline Stats'!J21</f>
        <v>67</v>
      </c>
      <c r="J20" s="33">
        <f>SUM(B20:I20)</f>
        <v>79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14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137</v>
      </c>
      <c r="J21" s="176">
        <f>SUM(B21:I21)</f>
        <v>151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1623</v>
      </c>
      <c r="C23" s="28">
        <f t="shared" si="8"/>
        <v>11607</v>
      </c>
      <c r="D23" s="28">
        <f t="shared" si="8"/>
        <v>648</v>
      </c>
      <c r="E23" s="28">
        <f>E17+E21</f>
        <v>838</v>
      </c>
      <c r="F23" s="28">
        <f t="shared" ref="F23:H23" si="9">F17+F21</f>
        <v>0</v>
      </c>
      <c r="G23" s="28">
        <f t="shared" si="9"/>
        <v>0</v>
      </c>
      <c r="H23" s="28">
        <f t="shared" si="9"/>
        <v>4</v>
      </c>
      <c r="I23" s="28">
        <f t="shared" si="8"/>
        <v>4569</v>
      </c>
      <c r="J23" s="29">
        <f>SUM(B23:I23)</f>
        <v>19289</v>
      </c>
    </row>
    <row r="25" spans="1:10" ht="13.5" thickBot="1" x14ac:dyDescent="0.25">
      <c r="B25" s="419"/>
      <c r="C25" s="419"/>
      <c r="D25" s="419"/>
      <c r="E25" s="419"/>
      <c r="F25" s="419"/>
      <c r="G25" s="419"/>
      <c r="H25" s="419"/>
      <c r="I25" s="419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[3]American!$FB$47</f>
        <v>41758</v>
      </c>
      <c r="C28" s="21">
        <f>[3]Delta!$FB$47</f>
        <v>4594951</v>
      </c>
      <c r="D28" s="21">
        <f>[3]United!$FB$47</f>
        <v>131684</v>
      </c>
      <c r="E28" s="21">
        <f>[3]Spirit!$FB$47</f>
        <v>0</v>
      </c>
      <c r="F28" s="21">
        <f>[3]Condor!$FB$47</f>
        <v>0</v>
      </c>
      <c r="G28" s="21">
        <f>'[3]Air France'!$FB$47</f>
        <v>0</v>
      </c>
      <c r="H28" s="21">
        <f>[3]KLM!$FB$47</f>
        <v>21980</v>
      </c>
      <c r="I28" s="21">
        <f>'Other Major Airline Stats'!J28</f>
        <v>387899</v>
      </c>
      <c r="J28" s="27">
        <f>SUM(B28:I28)</f>
        <v>5178272</v>
      </c>
    </row>
    <row r="29" spans="1:10" x14ac:dyDescent="0.2">
      <c r="A29" s="62" t="s">
        <v>38</v>
      </c>
      <c r="B29" s="14">
        <f>[3]American!$FB$48</f>
        <v>91318</v>
      </c>
      <c r="C29" s="14">
        <f>[3]Delta!$FB$48</f>
        <v>1227691</v>
      </c>
      <c r="D29" s="14">
        <f>[3]United!$FB$48</f>
        <v>23604</v>
      </c>
      <c r="E29" s="14">
        <f>[3]Spirit!$FB$48</f>
        <v>0</v>
      </c>
      <c r="F29" s="14">
        <f>[3]Condor!$FB$48</f>
        <v>0</v>
      </c>
      <c r="G29" s="14">
        <f>'[3]Air France'!$FB$48</f>
        <v>0</v>
      </c>
      <c r="H29" s="14">
        <f>[3]KLM!$FB$48</f>
        <v>0</v>
      </c>
      <c r="I29" s="14">
        <f>'Other Major Airline Stats'!J29</f>
        <v>263774</v>
      </c>
      <c r="J29" s="33">
        <f>SUM(B29:I29)</f>
        <v>1606387</v>
      </c>
    </row>
    <row r="30" spans="1:10" x14ac:dyDescent="0.2">
      <c r="A30" s="66" t="s">
        <v>39</v>
      </c>
      <c r="B30" s="288">
        <f t="shared" ref="B30:I30" si="10">SUM(B28:B29)</f>
        <v>133076</v>
      </c>
      <c r="C30" s="288">
        <f t="shared" si="10"/>
        <v>5822642</v>
      </c>
      <c r="D30" s="288">
        <f t="shared" si="10"/>
        <v>155288</v>
      </c>
      <c r="E30" s="288">
        <f t="shared" si="10"/>
        <v>0</v>
      </c>
      <c r="F30" s="288">
        <f t="shared" ref="F30:H30" si="11">SUM(F28:F29)</f>
        <v>0</v>
      </c>
      <c r="G30" s="288">
        <f t="shared" si="11"/>
        <v>0</v>
      </c>
      <c r="H30" s="288">
        <f t="shared" si="11"/>
        <v>21980</v>
      </c>
      <c r="I30" s="288">
        <f t="shared" si="10"/>
        <v>651673</v>
      </c>
      <c r="J30" s="27">
        <f>SUM(B30:I30)</f>
        <v>6784659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[3]American!$FB$52</f>
        <v>11021</v>
      </c>
      <c r="C33" s="21">
        <f>[3]Delta!$FB$52</f>
        <v>2698847</v>
      </c>
      <c r="D33" s="21">
        <f>[3]United!$FB$52</f>
        <v>108120</v>
      </c>
      <c r="E33" s="21">
        <f>[3]Spirit!$FB$52</f>
        <v>0</v>
      </c>
      <c r="F33" s="21">
        <f>[3]Condor!$FB$52</f>
        <v>0</v>
      </c>
      <c r="G33" s="21">
        <f>'[3]Air France'!$FB$52</f>
        <v>0</v>
      </c>
      <c r="H33" s="21">
        <f>[3]KLM!$FB$52</f>
        <v>17327</v>
      </c>
      <c r="I33" s="21">
        <f>'Other Major Airline Stats'!J33</f>
        <v>227097</v>
      </c>
      <c r="J33" s="27">
        <f t="shared" si="12"/>
        <v>3062412</v>
      </c>
    </row>
    <row r="34" spans="1:10" x14ac:dyDescent="0.2">
      <c r="A34" s="62" t="s">
        <v>38</v>
      </c>
      <c r="B34" s="14">
        <f>[3]American!$FB$53</f>
        <v>53438</v>
      </c>
      <c r="C34" s="14">
        <f>[3]Delta!$FB$53</f>
        <v>1637325</v>
      </c>
      <c r="D34" s="14">
        <f>[3]United!$FB$53</f>
        <v>4722</v>
      </c>
      <c r="E34" s="14">
        <f>[3]Spirit!$FB$53</f>
        <v>0</v>
      </c>
      <c r="F34" s="14">
        <f>[3]Condor!$FB$53</f>
        <v>0</v>
      </c>
      <c r="G34" s="14">
        <f>'[3]Air France'!$FB$53</f>
        <v>0</v>
      </c>
      <c r="H34" s="14">
        <f>[3]KLM!$FB$53</f>
        <v>0</v>
      </c>
      <c r="I34" s="14">
        <f>'Other Major Airline Stats'!J34</f>
        <v>493682</v>
      </c>
      <c r="J34" s="33">
        <f t="shared" si="12"/>
        <v>2189167</v>
      </c>
    </row>
    <row r="35" spans="1:10" x14ac:dyDescent="0.2">
      <c r="A35" s="66" t="s">
        <v>41</v>
      </c>
      <c r="B35" s="288">
        <f t="shared" ref="B35:I35" si="13">SUM(B33:B34)</f>
        <v>64459</v>
      </c>
      <c r="C35" s="288">
        <f t="shared" si="13"/>
        <v>4336172</v>
      </c>
      <c r="D35" s="288">
        <f t="shared" si="13"/>
        <v>112842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0</v>
      </c>
      <c r="H35" s="288">
        <f t="shared" si="14"/>
        <v>17327</v>
      </c>
      <c r="I35" s="288">
        <f t="shared" si="13"/>
        <v>720779</v>
      </c>
      <c r="J35" s="27">
        <f t="shared" si="12"/>
        <v>5251579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[3]American!$FB$57</f>
        <v>0</v>
      </c>
      <c r="C38" s="21">
        <f>[3]Delta!$FB$57</f>
        <v>0</v>
      </c>
      <c r="D38" s="21">
        <f>[3]United!$FB$57</f>
        <v>0</v>
      </c>
      <c r="E38" s="21">
        <f>[3]Spirit!$FB$57</f>
        <v>0</v>
      </c>
      <c r="F38" s="21">
        <f>[3]Condor!$FB$57</f>
        <v>0</v>
      </c>
      <c r="G38" s="21">
        <f>'[3]Air France'!$FB$57</f>
        <v>0</v>
      </c>
      <c r="H38" s="21">
        <f>[3]KLM!$FB$57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[3]American!$FB$58</f>
        <v>0</v>
      </c>
      <c r="C39" s="14">
        <f>[3]Delta!$FB$58</f>
        <v>0</v>
      </c>
      <c r="D39" s="14">
        <f>[3]United!$FB$58</f>
        <v>0</v>
      </c>
      <c r="E39" s="14">
        <f>[3]Spirit!$FB$58</f>
        <v>0</v>
      </c>
      <c r="F39" s="14">
        <f>[3]Condor!$FB$58</f>
        <v>0</v>
      </c>
      <c r="G39" s="14">
        <f>'[3]Air France'!$FB$58</f>
        <v>0</v>
      </c>
      <c r="H39" s="14">
        <f>[3]KLM!$FB$58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52779</v>
      </c>
      <c r="C43" s="21">
        <f t="shared" si="17"/>
        <v>7293798</v>
      </c>
      <c r="D43" s="21">
        <f t="shared" si="17"/>
        <v>239804</v>
      </c>
      <c r="E43" s="21">
        <f>E28+E33+E38</f>
        <v>0</v>
      </c>
      <c r="F43" s="21">
        <f t="shared" ref="F43:H43" si="18">F28+F33+F38</f>
        <v>0</v>
      </c>
      <c r="G43" s="21">
        <f t="shared" si="18"/>
        <v>0</v>
      </c>
      <c r="H43" s="21">
        <f t="shared" si="18"/>
        <v>39307</v>
      </c>
      <c r="I43" s="21">
        <f t="shared" si="17"/>
        <v>614996</v>
      </c>
      <c r="J43" s="27">
        <f>SUM(B43:I43)</f>
        <v>8240684</v>
      </c>
    </row>
    <row r="44" spans="1:10" x14ac:dyDescent="0.2">
      <c r="A44" s="62" t="s">
        <v>38</v>
      </c>
      <c r="B44" s="14">
        <f t="shared" si="17"/>
        <v>144756</v>
      </c>
      <c r="C44" s="14">
        <f t="shared" si="17"/>
        <v>2865016</v>
      </c>
      <c r="D44" s="14">
        <f t="shared" si="17"/>
        <v>28326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757456</v>
      </c>
      <c r="J44" s="27">
        <f>SUM(B44:I44)</f>
        <v>3795554</v>
      </c>
    </row>
    <row r="45" spans="1:10" ht="15.75" thickBot="1" x14ac:dyDescent="0.3">
      <c r="A45" s="63" t="s">
        <v>46</v>
      </c>
      <c r="B45" s="289">
        <f t="shared" ref="B45:I45" si="20">SUM(B43:B44)</f>
        <v>197535</v>
      </c>
      <c r="C45" s="289">
        <f t="shared" si="20"/>
        <v>10158814</v>
      </c>
      <c r="D45" s="289">
        <f t="shared" si="20"/>
        <v>268130</v>
      </c>
      <c r="E45" s="289">
        <f t="shared" si="20"/>
        <v>0</v>
      </c>
      <c r="F45" s="289">
        <f t="shared" ref="F45:H45" si="21">SUM(F43:F44)</f>
        <v>0</v>
      </c>
      <c r="G45" s="289">
        <f t="shared" si="21"/>
        <v>0</v>
      </c>
      <c r="H45" s="289">
        <f t="shared" si="21"/>
        <v>39307</v>
      </c>
      <c r="I45" s="289">
        <f t="shared" si="20"/>
        <v>1372452</v>
      </c>
      <c r="J45" s="290">
        <f>SUM(B45:I45)</f>
        <v>12036238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81" t="s">
        <v>124</v>
      </c>
      <c r="C47" s="319">
        <f>[3]Delta!$FB$70+[3]Delta!$FB$73</f>
        <v>463795</v>
      </c>
      <c r="D47" s="306"/>
      <c r="E47" s="306"/>
      <c r="F47" s="306"/>
      <c r="G47" s="306"/>
      <c r="H47" s="306"/>
      <c r="I47" s="306"/>
      <c r="J47" s="307">
        <f>SUM(B47:I47)</f>
        <v>463795</v>
      </c>
    </row>
    <row r="48" spans="1:10" hidden="1" x14ac:dyDescent="0.2">
      <c r="A48" s="382" t="s">
        <v>125</v>
      </c>
      <c r="C48" s="319">
        <f>[3]Delta!$FB$71+[3]Delta!$FB$74</f>
        <v>377938</v>
      </c>
      <c r="D48" s="306"/>
      <c r="E48" s="306"/>
      <c r="F48" s="306"/>
      <c r="G48" s="306"/>
      <c r="H48" s="306"/>
      <c r="I48" s="306"/>
      <c r="J48" s="307">
        <f>SUM(B48:I48)</f>
        <v>377938</v>
      </c>
    </row>
    <row r="49" spans="1:10" hidden="1" x14ac:dyDescent="0.2">
      <c r="A49" s="383" t="s">
        <v>126</v>
      </c>
      <c r="C49" s="320">
        <f>SUM(C47:C48)</f>
        <v>841733</v>
      </c>
      <c r="J49" s="307">
        <f>SUM(B49:I49)</f>
        <v>841733</v>
      </c>
    </row>
    <row r="50" spans="1:10" x14ac:dyDescent="0.2">
      <c r="A50" s="381" t="s">
        <v>124</v>
      </c>
      <c r="B50" s="393"/>
      <c r="C50" s="322">
        <f>[3]Delta!$FB$70+[3]Delta!$FB$73</f>
        <v>463795</v>
      </c>
      <c r="D50" s="393"/>
      <c r="E50" s="322">
        <f>[3]Spirit!$FB$70+[3]Spirit!$FB$73</f>
        <v>0</v>
      </c>
      <c r="F50" s="393"/>
      <c r="G50" s="393"/>
      <c r="H50" s="393"/>
      <c r="I50" s="321">
        <f>'Other Major Airline Stats'!J48</f>
        <v>236726</v>
      </c>
      <c r="J50" s="310">
        <f>SUM(B50:I50)</f>
        <v>700521</v>
      </c>
    </row>
    <row r="51" spans="1:10" x14ac:dyDescent="0.2">
      <c r="A51" s="395" t="s">
        <v>125</v>
      </c>
      <c r="B51" s="393"/>
      <c r="C51" s="322">
        <f>[3]Delta!$FB$71+[3]Delta!$FB$74</f>
        <v>377938</v>
      </c>
      <c r="D51" s="393"/>
      <c r="E51" s="322">
        <f>[3]Spirit!$FB$71+[3]Spirit!$FB$74</f>
        <v>0</v>
      </c>
      <c r="F51" s="393"/>
      <c r="G51" s="393"/>
      <c r="H51" s="393"/>
      <c r="I51" s="321">
        <f>+'Other Major Airline Stats'!J49</f>
        <v>3103</v>
      </c>
      <c r="J51" s="310">
        <f>SUM(B51:I51)</f>
        <v>381041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6" zoomScaleNormal="100" workbookViewId="0">
      <selection activeCell="F52" sqref="F5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4">
        <v>42795</v>
      </c>
      <c r="B2" s="448" t="s">
        <v>47</v>
      </c>
      <c r="C2" s="448" t="s">
        <v>159</v>
      </c>
      <c r="D2" s="447" t="s">
        <v>206</v>
      </c>
      <c r="E2" s="447" t="s">
        <v>207</v>
      </c>
      <c r="F2" s="448" t="s">
        <v>48</v>
      </c>
      <c r="G2" s="447" t="s">
        <v>132</v>
      </c>
      <c r="H2" s="447" t="s">
        <v>49</v>
      </c>
      <c r="I2" s="447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[3]Frontier!$FB$22</f>
        <v>15666</v>
      </c>
      <c r="C5" s="146">
        <f>'[3]Great Lakes'!$FB$22</f>
        <v>0</v>
      </c>
      <c r="D5" s="118">
        <f>'[3]Air Choice One'!$FB$22</f>
        <v>431</v>
      </c>
      <c r="E5" s="118">
        <f>'[3]Boutique Air'!$FB$22</f>
        <v>553</v>
      </c>
      <c r="F5" s="146">
        <f>[3]Icelandair!$FB$32</f>
        <v>2869</v>
      </c>
      <c r="G5" s="118">
        <f>[3]Southwest!$FB$22</f>
        <v>94982</v>
      </c>
      <c r="H5" s="118">
        <f>'[3]Sun Country'!$FB$22+'[3]Sun Country'!$FB$32</f>
        <v>135565</v>
      </c>
      <c r="I5" s="118">
        <f>[3]Alaska!$FB$22</f>
        <v>8084</v>
      </c>
      <c r="J5" s="147">
        <f>SUM(B5:I5)</f>
        <v>258150</v>
      </c>
      <c r="M5" s="130"/>
    </row>
    <row r="6" spans="1:13" x14ac:dyDescent="0.2">
      <c r="A6" s="62" t="s">
        <v>31</v>
      </c>
      <c r="B6" s="146">
        <f>[3]Frontier!$FB$23</f>
        <v>15894</v>
      </c>
      <c r="C6" s="146">
        <f>'[3]Great Lakes'!$FB$23</f>
        <v>0</v>
      </c>
      <c r="D6" s="118">
        <f>'[3]Air Choice One'!$FB$23</f>
        <v>426</v>
      </c>
      <c r="E6" s="118">
        <f>'[3]Boutique Air'!$FB$23</f>
        <v>532</v>
      </c>
      <c r="F6" s="146">
        <f>[3]Icelandair!$FB$33</f>
        <v>3162</v>
      </c>
      <c r="G6" s="118">
        <f>[3]Southwest!$FB$23</f>
        <v>99080</v>
      </c>
      <c r="H6" s="118">
        <f>'[3]Sun Country'!$FB$23+'[3]Sun Country'!$FB$33</f>
        <v>140749</v>
      </c>
      <c r="I6" s="118">
        <f>[3]Alaska!$FB$23</f>
        <v>7662</v>
      </c>
      <c r="J6" s="147">
        <f>SUM(B6:I6)</f>
        <v>267505</v>
      </c>
    </row>
    <row r="7" spans="1:13" ht="15" x14ac:dyDescent="0.25">
      <c r="A7" s="60" t="s">
        <v>7</v>
      </c>
      <c r="B7" s="155">
        <f t="shared" ref="B7:I7" si="0">SUM(B5:B6)</f>
        <v>31560</v>
      </c>
      <c r="C7" s="155">
        <f t="shared" si="0"/>
        <v>0</v>
      </c>
      <c r="D7" s="155">
        <f t="shared" ref="D7:E7" si="1">SUM(D5:D6)</f>
        <v>857</v>
      </c>
      <c r="E7" s="155">
        <f t="shared" si="1"/>
        <v>1085</v>
      </c>
      <c r="F7" s="155">
        <f t="shared" si="0"/>
        <v>6031</v>
      </c>
      <c r="G7" s="155">
        <f t="shared" si="0"/>
        <v>194062</v>
      </c>
      <c r="H7" s="155">
        <f>SUM(H5:H6)</f>
        <v>276314</v>
      </c>
      <c r="I7" s="155">
        <f t="shared" si="0"/>
        <v>15746</v>
      </c>
      <c r="J7" s="156">
        <f>SUM(B7:I7)</f>
        <v>525655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[3]Frontier!$FB$27</f>
        <v>123</v>
      </c>
      <c r="C10" s="154">
        <f>'[3]Great Lakes'!$FB$27</f>
        <v>0</v>
      </c>
      <c r="D10" s="154">
        <f>'[3]Air Choice One'!$FB$27</f>
        <v>0</v>
      </c>
      <c r="E10" s="154">
        <f>'[3]Boutique Air'!$FB$27</f>
        <v>0</v>
      </c>
      <c r="F10" s="154">
        <f>[3]Icelandair!$FB$37</f>
        <v>56</v>
      </c>
      <c r="G10" s="154">
        <f>[3]Southwest!$FB$27</f>
        <v>1532</v>
      </c>
      <c r="H10" s="154">
        <f>'[3]Sun Country'!$FB$27+'[3]Sun Country'!$FB$37</f>
        <v>1801</v>
      </c>
      <c r="I10" s="154">
        <f>[3]Alaska!$FB$27</f>
        <v>251</v>
      </c>
      <c r="J10" s="147">
        <f>SUM(B10:I10)</f>
        <v>3763</v>
      </c>
    </row>
    <row r="11" spans="1:13" x14ac:dyDescent="0.2">
      <c r="A11" s="62" t="s">
        <v>33</v>
      </c>
      <c r="B11" s="157">
        <f>[3]Frontier!$FB$28</f>
        <v>143</v>
      </c>
      <c r="C11" s="157">
        <f>'[3]Great Lakes'!$FB$28</f>
        <v>0</v>
      </c>
      <c r="D11" s="157">
        <f>'[3]Air Choice One'!$FB$28</f>
        <v>0</v>
      </c>
      <c r="E11" s="157">
        <f>'[3]Boutique Air'!$FB$28</f>
        <v>0</v>
      </c>
      <c r="F11" s="157">
        <f>[3]Icelandair!$FB$38</f>
        <v>52</v>
      </c>
      <c r="G11" s="157">
        <f>[3]Southwest!$FB$28</f>
        <v>1611</v>
      </c>
      <c r="H11" s="157">
        <f>'[3]Sun Country'!$FB$28+'[3]Sun Country'!$FB$38</f>
        <v>1899</v>
      </c>
      <c r="I11" s="157">
        <f>[3]Alaska!$FB$28</f>
        <v>308</v>
      </c>
      <c r="J11" s="147">
        <f>SUM(B11:I11)</f>
        <v>4013</v>
      </c>
    </row>
    <row r="12" spans="1:13" ht="15.75" thickBot="1" x14ac:dyDescent="0.3">
      <c r="A12" s="63" t="s">
        <v>34</v>
      </c>
      <c r="B12" s="150">
        <f t="shared" ref="B12:I12" si="2">SUM(B10:B11)</f>
        <v>266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108</v>
      </c>
      <c r="G12" s="150">
        <f t="shared" si="2"/>
        <v>3143</v>
      </c>
      <c r="H12" s="150">
        <f>SUM(H10:H11)</f>
        <v>3700</v>
      </c>
      <c r="I12" s="150">
        <f t="shared" si="2"/>
        <v>559</v>
      </c>
      <c r="J12" s="158">
        <f>SUM(B12:I12)</f>
        <v>7776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[3]Frontier!$FB$4</f>
        <v>86</v>
      </c>
      <c r="C16" s="146">
        <f>'[3]Great Lakes'!$FB$4</f>
        <v>0</v>
      </c>
      <c r="D16" s="106">
        <f>'[3]Air Choice One'!$FB$4</f>
        <v>127</v>
      </c>
      <c r="E16" s="106">
        <f>'[3]Boutique Air'!$FB$4</f>
        <v>79</v>
      </c>
      <c r="F16" s="146">
        <f>[3]Icelandair!$FB$15</f>
        <v>19</v>
      </c>
      <c r="G16" s="106">
        <f>[3]Southwest!$FB$4</f>
        <v>819</v>
      </c>
      <c r="H16" s="118">
        <f>'[3]Sun Country'!$FB$4+'[3]Sun Country'!$FB$15</f>
        <v>1036</v>
      </c>
      <c r="I16" s="118">
        <f>[3]Alaska!$FB$4</f>
        <v>51</v>
      </c>
      <c r="J16" s="147">
        <f>SUM(B16:I16)</f>
        <v>2217</v>
      </c>
    </row>
    <row r="17" spans="1:257" x14ac:dyDescent="0.2">
      <c r="A17" s="62" t="s">
        <v>23</v>
      </c>
      <c r="B17" s="146">
        <f>[3]Frontier!$FB$5</f>
        <v>86</v>
      </c>
      <c r="C17" s="146">
        <f>'[3]Great Lakes'!$FB$5</f>
        <v>0</v>
      </c>
      <c r="D17" s="106">
        <f>'[3]Air Choice One'!$FB$5</f>
        <v>127</v>
      </c>
      <c r="E17" s="106">
        <f>'[3]Boutique Air'!$FB$5</f>
        <v>79</v>
      </c>
      <c r="F17" s="146">
        <f>[3]Icelandair!$FB$16</f>
        <v>19</v>
      </c>
      <c r="G17" s="106">
        <f>[3]Southwest!$FB$5</f>
        <v>819</v>
      </c>
      <c r="H17" s="118">
        <f>'[3]Sun Country'!$FB$5+'[3]Sun Country'!$FB$16</f>
        <v>1034</v>
      </c>
      <c r="I17" s="118">
        <f>[3]Alaska!$FB$5</f>
        <v>51</v>
      </c>
      <c r="J17" s="147">
        <f>SUM(B17:I17)</f>
        <v>2215</v>
      </c>
    </row>
    <row r="18" spans="1:257" x14ac:dyDescent="0.2">
      <c r="A18" s="66" t="s">
        <v>24</v>
      </c>
      <c r="B18" s="148">
        <f t="shared" ref="B18:I18" si="4">SUM(B16:B17)</f>
        <v>172</v>
      </c>
      <c r="C18" s="148">
        <f t="shared" si="4"/>
        <v>0</v>
      </c>
      <c r="D18" s="148">
        <f t="shared" ref="D18:E18" si="5">SUM(D16:D17)</f>
        <v>254</v>
      </c>
      <c r="E18" s="148">
        <f t="shared" si="5"/>
        <v>158</v>
      </c>
      <c r="F18" s="148">
        <f t="shared" si="4"/>
        <v>38</v>
      </c>
      <c r="G18" s="148">
        <f t="shared" si="4"/>
        <v>1638</v>
      </c>
      <c r="H18" s="148">
        <f t="shared" si="4"/>
        <v>2070</v>
      </c>
      <c r="I18" s="148">
        <f t="shared" si="4"/>
        <v>102</v>
      </c>
      <c r="J18" s="149">
        <f>SUM(B18:I18)</f>
        <v>4432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[3]Frontier!$FB$8</f>
        <v>0</v>
      </c>
      <c r="C20" s="146">
        <f>'[3]Great Lakes'!$FB$8</f>
        <v>0</v>
      </c>
      <c r="D20" s="118">
        <f>'[3]Air Choice One'!$FB$8</f>
        <v>0</v>
      </c>
      <c r="E20" s="118">
        <f>'[3]Boutique Air'!$FB$8</f>
        <v>4</v>
      </c>
      <c r="F20" s="146">
        <f>[3]Icelandair!$FB$8</f>
        <v>0</v>
      </c>
      <c r="G20" s="118">
        <f>[3]Southwest!$FB$8</f>
        <v>0</v>
      </c>
      <c r="H20" s="118">
        <f>'[3]Sun Country'!$FB$8</f>
        <v>66</v>
      </c>
      <c r="I20" s="118">
        <f>[3]Alaska!$FB$8</f>
        <v>0</v>
      </c>
      <c r="J20" s="147">
        <f>SUM(B20:I20)</f>
        <v>70</v>
      </c>
    </row>
    <row r="21" spans="1:257" x14ac:dyDescent="0.2">
      <c r="A21" s="62" t="s">
        <v>26</v>
      </c>
      <c r="B21" s="146">
        <f>[3]Frontier!$FB$9</f>
        <v>0</v>
      </c>
      <c r="C21" s="146">
        <f>'[3]Great Lakes'!$FB$9</f>
        <v>0</v>
      </c>
      <c r="D21" s="118">
        <f>'[3]Air Choice One'!$FB$9</f>
        <v>0</v>
      </c>
      <c r="E21" s="118">
        <f>'[3]Boutique Air'!$FB$9</f>
        <v>4</v>
      </c>
      <c r="F21" s="146">
        <f>[3]Icelandair!$FB$9</f>
        <v>0</v>
      </c>
      <c r="G21" s="118">
        <f>[3]Southwest!$FB$9</f>
        <v>0</v>
      </c>
      <c r="H21" s="118">
        <f>'[3]Sun Country'!$FB$9</f>
        <v>63</v>
      </c>
      <c r="I21" s="118">
        <f>[3]Alaska!$FB$9</f>
        <v>0</v>
      </c>
      <c r="J21" s="147">
        <f>SUM(B21:I21)</f>
        <v>67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8</v>
      </c>
      <c r="F22" s="148">
        <f t="shared" si="6"/>
        <v>0</v>
      </c>
      <c r="G22" s="148">
        <f t="shared" si="6"/>
        <v>0</v>
      </c>
      <c r="H22" s="148">
        <f t="shared" si="6"/>
        <v>129</v>
      </c>
      <c r="I22" s="148">
        <f t="shared" si="6"/>
        <v>0</v>
      </c>
      <c r="J22" s="149">
        <f>SUM(B22:I22)</f>
        <v>137</v>
      </c>
    </row>
    <row r="23" spans="1:257" ht="15.75" thickBot="1" x14ac:dyDescent="0.3">
      <c r="A23" s="63" t="s">
        <v>28</v>
      </c>
      <c r="B23" s="150">
        <f t="shared" ref="B23:I23" si="8">B22+B18</f>
        <v>172</v>
      </c>
      <c r="C23" s="150">
        <f t="shared" si="8"/>
        <v>0</v>
      </c>
      <c r="D23" s="150">
        <f t="shared" ref="D23:E23" si="9">D22+D18</f>
        <v>254</v>
      </c>
      <c r="E23" s="150">
        <f t="shared" si="9"/>
        <v>166</v>
      </c>
      <c r="F23" s="150">
        <f t="shared" si="8"/>
        <v>38</v>
      </c>
      <c r="G23" s="150">
        <f t="shared" si="8"/>
        <v>1638</v>
      </c>
      <c r="H23" s="150">
        <f t="shared" si="8"/>
        <v>2199</v>
      </c>
      <c r="I23" s="150">
        <f t="shared" si="8"/>
        <v>102</v>
      </c>
      <c r="J23" s="151">
        <f>SUM(B23:I23)</f>
        <v>4569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9"/>
      <c r="C25" s="419"/>
      <c r="D25" s="419"/>
      <c r="E25" s="419"/>
      <c r="F25" s="419"/>
      <c r="G25" s="419"/>
      <c r="H25" s="419"/>
      <c r="I25" s="419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[3]Frontier!$FB$47</f>
        <v>0</v>
      </c>
      <c r="C28" s="146">
        <f>'[3]Great Lakes'!$FB$47</f>
        <v>0</v>
      </c>
      <c r="D28" s="118">
        <f>'[3]Air Choice One'!$FB$47</f>
        <v>0</v>
      </c>
      <c r="E28" s="118">
        <f>'[3]Boutique Air'!$FB$47</f>
        <v>0</v>
      </c>
      <c r="F28" s="146">
        <f>[3]Icelandair!$FB$47</f>
        <v>45777</v>
      </c>
      <c r="G28" s="118">
        <f>[3]Southwest!$FB$47</f>
        <v>208950</v>
      </c>
      <c r="H28" s="118">
        <f>'[3]Sun Country'!$FB$47</f>
        <v>114980</v>
      </c>
      <c r="I28" s="118">
        <f>[3]Alaska!$FB$47</f>
        <v>18192</v>
      </c>
      <c r="J28" s="147">
        <f>SUM(B28:I28)</f>
        <v>387899</v>
      </c>
    </row>
    <row r="29" spans="1:257" x14ac:dyDescent="0.2">
      <c r="A29" s="62" t="s">
        <v>38</v>
      </c>
      <c r="B29" s="146">
        <f>[3]Frontier!$FB$48</f>
        <v>0</v>
      </c>
      <c r="C29" s="146">
        <f>'[3]Great Lakes'!$FB$48</f>
        <v>0</v>
      </c>
      <c r="D29" s="118">
        <f>'[3]Air Choice One'!$FB$48</f>
        <v>0</v>
      </c>
      <c r="E29" s="118">
        <f>'[3]Boutique Air'!$FB$48</f>
        <v>0</v>
      </c>
      <c r="F29" s="146">
        <f>[3]Icelandair!$FB$48</f>
        <v>0</v>
      </c>
      <c r="G29" s="118">
        <f>[3]Southwest!$FB$48</f>
        <v>0</v>
      </c>
      <c r="H29" s="118">
        <f>'[3]Sun Country'!$FB$48</f>
        <v>217018</v>
      </c>
      <c r="I29" s="118">
        <f>[3]Alaska!$FB$48</f>
        <v>46756</v>
      </c>
      <c r="J29" s="147">
        <f>SUM(B29:I29)</f>
        <v>263774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45777</v>
      </c>
      <c r="G30" s="162">
        <f t="shared" si="10"/>
        <v>208950</v>
      </c>
      <c r="H30" s="162">
        <f t="shared" si="10"/>
        <v>331998</v>
      </c>
      <c r="I30" s="162">
        <f t="shared" si="10"/>
        <v>64948</v>
      </c>
      <c r="J30" s="165">
        <f>SUM(B30:I30)</f>
        <v>651673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[3]Frontier!$FB$52</f>
        <v>0</v>
      </c>
      <c r="C33" s="146">
        <f>'[3]Great Lakes'!$FB$52</f>
        <v>0</v>
      </c>
      <c r="D33" s="118">
        <f>'[3]Air Choice One'!$FB$52</f>
        <v>0</v>
      </c>
      <c r="E33" s="118">
        <f>'[3]Boutique Air'!$FB$52</f>
        <v>0</v>
      </c>
      <c r="F33" s="146">
        <f>[3]Icelandair!$FB$52</f>
        <v>426</v>
      </c>
      <c r="G33" s="118">
        <f>[3]Southwest!$FB$52</f>
        <v>130369</v>
      </c>
      <c r="H33" s="118">
        <f>'[3]Sun Country'!$FB$52</f>
        <v>87491</v>
      </c>
      <c r="I33" s="118">
        <f>[3]Alaska!$FB$52</f>
        <v>8811</v>
      </c>
      <c r="J33" s="147">
        <f>SUM(B33:I33)</f>
        <v>227097</v>
      </c>
    </row>
    <row r="34" spans="1:10" x14ac:dyDescent="0.2">
      <c r="A34" s="62" t="s">
        <v>38</v>
      </c>
      <c r="B34" s="146">
        <f>[3]Frontier!$FB$53</f>
        <v>0</v>
      </c>
      <c r="C34" s="146">
        <f>'[3]Great Lakes'!$FB$53</f>
        <v>0</v>
      </c>
      <c r="D34" s="118">
        <f>'[3]Air Choice One'!$FB$53</f>
        <v>0</v>
      </c>
      <c r="E34" s="118">
        <f>'[3]Boutique Air'!$FB$53</f>
        <v>0</v>
      </c>
      <c r="F34" s="146">
        <f>[3]Icelandair!$FB$53</f>
        <v>0</v>
      </c>
      <c r="G34" s="118">
        <f>[3]Southwest!$FB$53</f>
        <v>0</v>
      </c>
      <c r="H34" s="118">
        <f>'[3]Sun Country'!$FB$53</f>
        <v>482703</v>
      </c>
      <c r="I34" s="118">
        <f>[3]Alaska!$FB$53</f>
        <v>10979</v>
      </c>
      <c r="J34" s="163">
        <f>SUM(B34:I34)</f>
        <v>493682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426</v>
      </c>
      <c r="G35" s="164">
        <f t="shared" si="12"/>
        <v>130369</v>
      </c>
      <c r="H35" s="164">
        <f t="shared" si="12"/>
        <v>570194</v>
      </c>
      <c r="I35" s="164">
        <f t="shared" si="12"/>
        <v>19790</v>
      </c>
      <c r="J35" s="165">
        <f>SUM(B35:I35)</f>
        <v>720779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[3]Frontier!$FB$57</f>
        <v>0</v>
      </c>
      <c r="C38" s="154">
        <f>'[3]Great Lakes'!$FB$57</f>
        <v>0</v>
      </c>
      <c r="D38" s="154">
        <f>'[3]Air Choice One'!$FB$57</f>
        <v>0</v>
      </c>
      <c r="E38" s="154">
        <f>'[3]Boutique Air'!$FB$57</f>
        <v>0</v>
      </c>
      <c r="F38" s="154">
        <f>[3]Icelandair!$FB$57</f>
        <v>0</v>
      </c>
      <c r="G38" s="154">
        <f>[3]Southwest!$FB$57</f>
        <v>0</v>
      </c>
      <c r="H38" s="154">
        <f>'[3]Sun Country'!$FB$57</f>
        <v>0</v>
      </c>
      <c r="I38" s="154">
        <f>[3]Alaska!$FB$57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[3]Frontier!$FB$58</f>
        <v>0</v>
      </c>
      <c r="C39" s="157">
        <f>'[3]Great Lakes'!$FB$58</f>
        <v>0</v>
      </c>
      <c r="D39" s="157">
        <f>'[3]Air Choice One'!$FB$58</f>
        <v>0</v>
      </c>
      <c r="E39" s="157">
        <f>'[3]Boutique Air'!$FB$58</f>
        <v>0</v>
      </c>
      <c r="F39" s="157">
        <f>[3]Icelandair!$FB$58</f>
        <v>0</v>
      </c>
      <c r="G39" s="157">
        <f>[3]Southwest!$FB$58</f>
        <v>0</v>
      </c>
      <c r="H39" s="157">
        <f>'[3]Sun Country'!$FB$58</f>
        <v>0</v>
      </c>
      <c r="I39" s="157">
        <f>[3]Alaska!$FB$58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46203</v>
      </c>
      <c r="G43" s="154">
        <f t="shared" si="16"/>
        <v>339319</v>
      </c>
      <c r="H43" s="154">
        <f t="shared" si="16"/>
        <v>202471</v>
      </c>
      <c r="I43" s="154">
        <f t="shared" si="16"/>
        <v>27003</v>
      </c>
      <c r="J43" s="147">
        <f>SUM(B43:I43)</f>
        <v>614996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699721</v>
      </c>
      <c r="I44" s="157">
        <f t="shared" si="18"/>
        <v>57735</v>
      </c>
      <c r="J44" s="147">
        <f>SUM(B44:I44)</f>
        <v>757456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46203</v>
      </c>
      <c r="G45" s="167">
        <f t="shared" si="20"/>
        <v>339319</v>
      </c>
      <c r="H45" s="167">
        <f t="shared" si="20"/>
        <v>902192</v>
      </c>
      <c r="I45" s="167">
        <f t="shared" si="20"/>
        <v>84738</v>
      </c>
      <c r="J45" s="168">
        <f>SUM(B45:I45)</f>
        <v>1372452</v>
      </c>
    </row>
    <row r="48" spans="1:10" x14ac:dyDescent="0.2">
      <c r="A48" s="381" t="s">
        <v>124</v>
      </c>
      <c r="B48" s="393"/>
      <c r="C48" s="393"/>
      <c r="D48" s="393"/>
      <c r="E48" s="393"/>
      <c r="G48" s="322">
        <f>[3]Southwest!$FB$70+[3]Southwest!$FB$73</f>
        <v>97879</v>
      </c>
      <c r="H48" s="322">
        <f>'[3]Sun Country'!$FB$70+'[3]Sun Country'!$FB$73</f>
        <v>138847</v>
      </c>
      <c r="I48" s="393"/>
      <c r="J48" s="310">
        <f>SUM(B48:I48)</f>
        <v>236726</v>
      </c>
    </row>
    <row r="49" spans="1:10" x14ac:dyDescent="0.2">
      <c r="A49" s="395" t="s">
        <v>125</v>
      </c>
      <c r="B49" s="393"/>
      <c r="C49" s="393"/>
      <c r="D49" s="393"/>
      <c r="E49" s="393"/>
      <c r="G49" s="322">
        <f>[3]Southwest!$FB$71+[3]Southwest!$FB$74</f>
        <v>1201</v>
      </c>
      <c r="H49" s="322">
        <f>'[3]Sun Country'!$FB$71+'[3]Sun Country'!$FB$74</f>
        <v>1902</v>
      </c>
      <c r="I49" s="393"/>
      <c r="J49" s="310">
        <f>SUM(B49:I49)</f>
        <v>3103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7" zoomScaleNormal="100" workbookViewId="0">
      <selection activeCell="J49" sqref="J49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91"/>
    </row>
    <row r="2" spans="1:13" s="7" customFormat="1" ht="51.75" thickBot="1" x14ac:dyDescent="0.25">
      <c r="A2" s="384">
        <v>42795</v>
      </c>
      <c r="B2" s="446" t="s">
        <v>163</v>
      </c>
      <c r="C2" s="446" t="s">
        <v>166</v>
      </c>
      <c r="D2" s="446" t="s">
        <v>185</v>
      </c>
      <c r="E2" s="446" t="s">
        <v>184</v>
      </c>
      <c r="F2" s="446" t="s">
        <v>186</v>
      </c>
      <c r="G2" s="446" t="s">
        <v>222</v>
      </c>
      <c r="H2" s="446" t="s">
        <v>190</v>
      </c>
      <c r="I2" s="446" t="s">
        <v>208</v>
      </c>
      <c r="J2" s="446" t="s">
        <v>209</v>
      </c>
      <c r="K2" s="446" t="s">
        <v>189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[3]Pinnacle!$FB$22+[3]Pinnacle!$FB$32</f>
        <v>89182</v>
      </c>
      <c r="C5" s="132">
        <f>[3]MESA_UA!$FB$22</f>
        <v>11018</v>
      </c>
      <c r="D5" s="130">
        <f>'[3]Sky West'!$FB$22+'[3]Sky West'!$FB$32</f>
        <v>139974</v>
      </c>
      <c r="E5" s="130">
        <f>'[3]Sky West_UA'!$FB$22</f>
        <v>9475</v>
      </c>
      <c r="F5" s="130">
        <f>'[3]Sky West_AS'!$FB$22</f>
        <v>2126</v>
      </c>
      <c r="G5" s="130">
        <f>'[3]Sky West_AA'!$FB$22</f>
        <v>205</v>
      </c>
      <c r="H5" s="130">
        <f>[3]Republic!$FB$22</f>
        <v>6923</v>
      </c>
      <c r="I5" s="130">
        <f>[3]Republic_UA!$FB$22</f>
        <v>7476</v>
      </c>
      <c r="J5" s="130">
        <f>'[3]Air Georgian'!$FB$32</f>
        <v>3470</v>
      </c>
      <c r="K5" s="130">
        <f>'[3]American Eagle'!$FB$22</f>
        <v>412</v>
      </c>
      <c r="L5" s="130">
        <f>'Other Regional'!L5</f>
        <v>83018</v>
      </c>
      <c r="M5" s="110">
        <f>SUM(B5:L5)</f>
        <v>353279</v>
      </c>
    </row>
    <row r="6" spans="1:13" s="10" customFormat="1" x14ac:dyDescent="0.2">
      <c r="A6" s="62" t="s">
        <v>31</v>
      </c>
      <c r="B6" s="131">
        <f>[3]Pinnacle!$FB$23+[3]Pinnacle!$FB$33</f>
        <v>89399</v>
      </c>
      <c r="C6" s="132">
        <f>[3]MESA_UA!$FB$23</f>
        <v>11602</v>
      </c>
      <c r="D6" s="130">
        <f>'[3]Sky West'!$FB$23+'[3]Sky West'!$FB$33</f>
        <v>144367</v>
      </c>
      <c r="E6" s="130">
        <f>'[3]Sky West_UA'!$FB$23</f>
        <v>9650</v>
      </c>
      <c r="F6" s="130">
        <f>'[3]Sky West_AS'!$FB$23</f>
        <v>2095</v>
      </c>
      <c r="G6" s="130">
        <f>'[3]Sky West_AA'!$FB$23</f>
        <v>226</v>
      </c>
      <c r="H6" s="130">
        <f>[3]Republic!$FB$23</f>
        <v>7312</v>
      </c>
      <c r="I6" s="130">
        <f>[3]Republic_UA!$FB$23</f>
        <v>7652</v>
      </c>
      <c r="J6" s="130">
        <f>'[3]Air Georgian'!$FB$33</f>
        <v>3526</v>
      </c>
      <c r="K6" s="130">
        <f>'[3]American Eagle'!$FB$23</f>
        <v>428</v>
      </c>
      <c r="L6" s="130">
        <f>'Other Regional'!L6</f>
        <v>85986</v>
      </c>
      <c r="M6" s="115">
        <f>SUM(B6:L6)</f>
        <v>362243</v>
      </c>
    </row>
    <row r="7" spans="1:13" ht="15" thickBot="1" x14ac:dyDescent="0.25">
      <c r="A7" s="73" t="s">
        <v>7</v>
      </c>
      <c r="B7" s="133">
        <f>SUM(B5:B6)</f>
        <v>178581</v>
      </c>
      <c r="C7" s="133">
        <f t="shared" ref="C7:L7" si="0">SUM(C5:C6)</f>
        <v>22620</v>
      </c>
      <c r="D7" s="133">
        <f t="shared" si="0"/>
        <v>284341</v>
      </c>
      <c r="E7" s="133">
        <f t="shared" si="0"/>
        <v>19125</v>
      </c>
      <c r="F7" s="133">
        <f t="shared" ref="F7:G7" si="1">SUM(F5:F6)</f>
        <v>4221</v>
      </c>
      <c r="G7" s="133">
        <f t="shared" si="1"/>
        <v>431</v>
      </c>
      <c r="H7" s="133">
        <f t="shared" si="0"/>
        <v>14235</v>
      </c>
      <c r="I7" s="133">
        <f t="shared" si="0"/>
        <v>15128</v>
      </c>
      <c r="J7" s="133">
        <f t="shared" si="0"/>
        <v>6996</v>
      </c>
      <c r="K7" s="133">
        <f t="shared" si="0"/>
        <v>840</v>
      </c>
      <c r="L7" s="133">
        <f t="shared" si="0"/>
        <v>169004</v>
      </c>
      <c r="M7" s="134">
        <f>SUM(B7:L7)</f>
        <v>715522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[3]Pinnacle!$FB$27+[3]Pinnacle!$FB$37</f>
        <v>3222</v>
      </c>
      <c r="C10" s="132">
        <f>[3]MESA_UA!$FB$27</f>
        <v>395</v>
      </c>
      <c r="D10" s="130">
        <f>'[3]Sky West'!$FB$27+'[3]Sky West'!$FB$37</f>
        <v>5505</v>
      </c>
      <c r="E10" s="130">
        <f>'[3]Sky West_UA'!$FB$27</f>
        <v>191</v>
      </c>
      <c r="F10" s="130">
        <f>'[3]Sky West_AS'!$FB$27</f>
        <v>76</v>
      </c>
      <c r="G10" s="130">
        <f>'[3]Sky West_AA'!$FB$27</f>
        <v>29</v>
      </c>
      <c r="H10" s="130">
        <f>[3]Republic!$FB$27</f>
        <v>261</v>
      </c>
      <c r="I10" s="130">
        <f>[3]Republic_UA!$FB$27</f>
        <v>274</v>
      </c>
      <c r="J10" s="130">
        <f>'[3]Air Georgian'!$FB$37</f>
        <v>0</v>
      </c>
      <c r="K10" s="130">
        <f>'[3]American Eagle'!$FB$27</f>
        <v>32</v>
      </c>
      <c r="L10" s="130">
        <f>'Other Regional'!L10</f>
        <v>2985</v>
      </c>
      <c r="M10" s="110">
        <f>SUM(B10:L10)</f>
        <v>12970</v>
      </c>
    </row>
    <row r="11" spans="1:13" x14ac:dyDescent="0.2">
      <c r="A11" s="62" t="s">
        <v>33</v>
      </c>
      <c r="B11" s="131">
        <f>[3]Pinnacle!$FB$28+[3]Pinnacle!$FB$38</f>
        <v>3056</v>
      </c>
      <c r="C11" s="132">
        <f>[3]MESA_UA!$FB$28</f>
        <v>417</v>
      </c>
      <c r="D11" s="130">
        <f>'[3]Sky West'!$FB$28+'[3]Sky West'!$FB$38</f>
        <v>5659</v>
      </c>
      <c r="E11" s="130">
        <f>'[3]Sky West_UA'!$FB$28</f>
        <v>163</v>
      </c>
      <c r="F11" s="130">
        <f>'[3]Sky West_AS'!$FB$28</f>
        <v>79</v>
      </c>
      <c r="G11" s="130">
        <f>'[3]Sky West_AA'!$FB$28</f>
        <v>10</v>
      </c>
      <c r="H11" s="130">
        <f>[3]Republic!$FB$28</f>
        <v>312</v>
      </c>
      <c r="I11" s="130">
        <f>[3]Republic_UA!$FB$28</f>
        <v>223</v>
      </c>
      <c r="J11" s="130">
        <f>'[3]Air Georgian'!$FB$38</f>
        <v>0</v>
      </c>
      <c r="K11" s="130">
        <f>'[3]American Eagle'!$FB$28</f>
        <v>28</v>
      </c>
      <c r="L11" s="130">
        <f>'Other Regional'!L11</f>
        <v>3047</v>
      </c>
      <c r="M11" s="115">
        <f>SUM(B11:L11)</f>
        <v>12994</v>
      </c>
    </row>
    <row r="12" spans="1:13" ht="15" thickBot="1" x14ac:dyDescent="0.25">
      <c r="A12" s="74" t="s">
        <v>34</v>
      </c>
      <c r="B12" s="136">
        <f t="shared" ref="B12:L12" si="2">SUM(B10:B11)</f>
        <v>6278</v>
      </c>
      <c r="C12" s="136">
        <f t="shared" si="2"/>
        <v>812</v>
      </c>
      <c r="D12" s="136">
        <f t="shared" si="2"/>
        <v>11164</v>
      </c>
      <c r="E12" s="136">
        <f t="shared" si="2"/>
        <v>354</v>
      </c>
      <c r="F12" s="136">
        <f t="shared" ref="F12:G12" si="3">SUM(F10:F11)</f>
        <v>155</v>
      </c>
      <c r="G12" s="136">
        <f t="shared" si="3"/>
        <v>39</v>
      </c>
      <c r="H12" s="136">
        <f t="shared" si="2"/>
        <v>573</v>
      </c>
      <c r="I12" s="136">
        <f t="shared" si="2"/>
        <v>497</v>
      </c>
      <c r="J12" s="136">
        <f t="shared" si="2"/>
        <v>0</v>
      </c>
      <c r="K12" s="136">
        <f t="shared" si="2"/>
        <v>60</v>
      </c>
      <c r="L12" s="136">
        <f t="shared" si="2"/>
        <v>6032</v>
      </c>
      <c r="M12" s="137">
        <f>SUM(B12:L12)</f>
        <v>25964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[3]Pinnacle!$FB$4+[3]Pinnacle!$FB$15</f>
        <v>1787</v>
      </c>
      <c r="C15" s="108">
        <f>[3]MESA_UA!$FB$4</f>
        <v>183</v>
      </c>
      <c r="D15" s="106">
        <f>'[3]Sky West'!$FB$4+'[3]Sky West'!$FB$15</f>
        <v>3002</v>
      </c>
      <c r="E15" s="106">
        <f>'[3]Sky West_UA'!$FB$4</f>
        <v>137</v>
      </c>
      <c r="F15" s="106">
        <f>'[3]Sky West_AS'!$FB$4</f>
        <v>31</v>
      </c>
      <c r="G15" s="106">
        <f>'[3]Sky West_AA'!$FB$4</f>
        <v>5</v>
      </c>
      <c r="H15" s="109">
        <f>[3]Republic!$FB$4</f>
        <v>138</v>
      </c>
      <c r="I15" s="472">
        <f>[3]Republic_UA!$FB$4</f>
        <v>126</v>
      </c>
      <c r="J15" s="472">
        <f>'[3]Air Georgian'!$FB$15</f>
        <v>88</v>
      </c>
      <c r="K15" s="109">
        <f>'[3]American Eagle'!$FB$4</f>
        <v>8</v>
      </c>
      <c r="L15" s="107">
        <f>'Other Regional'!L15</f>
        <v>1466</v>
      </c>
      <c r="M15" s="110">
        <f t="shared" ref="M15:M21" si="5">SUM(B15:L15)</f>
        <v>6971</v>
      </c>
    </row>
    <row r="16" spans="1:13" x14ac:dyDescent="0.2">
      <c r="A16" s="62" t="s">
        <v>54</v>
      </c>
      <c r="B16" s="14">
        <f>[3]Pinnacle!$FB$5+[3]Pinnacle!$FB$16</f>
        <v>1784</v>
      </c>
      <c r="C16" s="113">
        <f>[3]MESA_UA!$FB$5</f>
        <v>183</v>
      </c>
      <c r="D16" s="111">
        <f>'[3]Sky West'!$FB$5+'[3]Sky West'!$FB$16</f>
        <v>2994</v>
      </c>
      <c r="E16" s="111">
        <f>'[3]Sky West_UA'!$FB$5</f>
        <v>137</v>
      </c>
      <c r="F16" s="111">
        <f>'[3]Sky West_AS'!$FB$5</f>
        <v>31</v>
      </c>
      <c r="G16" s="111">
        <f>'[3]Sky West_AA'!$FB$5</f>
        <v>5</v>
      </c>
      <c r="H16" s="114">
        <f>[3]Republic!$FB$5</f>
        <v>138</v>
      </c>
      <c r="I16" s="297">
        <f>[3]Republic_UA!$FB$5</f>
        <v>126</v>
      </c>
      <c r="J16" s="297">
        <f>'[3]Air Georgian'!$FB$16</f>
        <v>88</v>
      </c>
      <c r="K16" s="114">
        <f>'[3]American Eagle'!$FB$5</f>
        <v>9</v>
      </c>
      <c r="L16" s="112">
        <f>'Other Regional'!L16</f>
        <v>1466</v>
      </c>
      <c r="M16" s="115">
        <f t="shared" si="5"/>
        <v>6961</v>
      </c>
    </row>
    <row r="17" spans="1:13" x14ac:dyDescent="0.2">
      <c r="A17" s="71" t="s">
        <v>55</v>
      </c>
      <c r="B17" s="116">
        <f t="shared" ref="B17:K17" si="6">SUM(B15:B16)</f>
        <v>3571</v>
      </c>
      <c r="C17" s="116">
        <f t="shared" si="6"/>
        <v>366</v>
      </c>
      <c r="D17" s="116">
        <f t="shared" si="6"/>
        <v>5996</v>
      </c>
      <c r="E17" s="116">
        <f t="shared" si="6"/>
        <v>274</v>
      </c>
      <c r="F17" s="116">
        <f t="shared" ref="F17:G17" si="7">SUM(F15:F16)</f>
        <v>62</v>
      </c>
      <c r="G17" s="116">
        <f t="shared" si="7"/>
        <v>10</v>
      </c>
      <c r="H17" s="116">
        <f t="shared" si="6"/>
        <v>276</v>
      </c>
      <c r="I17" s="116">
        <f t="shared" ref="I17:J17" si="8">SUM(I15:I16)</f>
        <v>252</v>
      </c>
      <c r="J17" s="116">
        <f t="shared" si="8"/>
        <v>176</v>
      </c>
      <c r="K17" s="116">
        <f t="shared" si="6"/>
        <v>17</v>
      </c>
      <c r="L17" s="116">
        <f>SUM(L15:L16)</f>
        <v>2932</v>
      </c>
      <c r="M17" s="117">
        <f t="shared" si="5"/>
        <v>13932</v>
      </c>
    </row>
    <row r="18" spans="1:13" x14ac:dyDescent="0.2">
      <c r="A18" s="62" t="s">
        <v>56</v>
      </c>
      <c r="B18" s="118">
        <f>[3]Pinnacle!$FB$8</f>
        <v>0</v>
      </c>
      <c r="C18" s="119">
        <f>[3]MESA_UA!$FB$8</f>
        <v>0</v>
      </c>
      <c r="D18" s="118">
        <f>'[3]Sky West'!$FB$8</f>
        <v>0</v>
      </c>
      <c r="E18" s="118">
        <f>'[3]Sky West_UA'!$FB$8</f>
        <v>0</v>
      </c>
      <c r="F18" s="118">
        <f>'[3]Sky West_AS'!$FB$8</f>
        <v>0</v>
      </c>
      <c r="G18" s="118">
        <f>'[3]Sky West_AA'!$FB$8</f>
        <v>0</v>
      </c>
      <c r="H18" s="118">
        <f>[3]Republic!$FB$8</f>
        <v>0</v>
      </c>
      <c r="I18" s="118">
        <f>[3]Republic_UA!$FB$8</f>
        <v>0</v>
      </c>
      <c r="J18" s="118">
        <f>'[3]Air Georgian'!$FB$8</f>
        <v>0</v>
      </c>
      <c r="K18" s="118">
        <f>'[3]American Eagle'!$FB$8</f>
        <v>0</v>
      </c>
      <c r="L18" s="118">
        <f>'Other Regional'!L18</f>
        <v>0</v>
      </c>
      <c r="M18" s="110">
        <f t="shared" si="5"/>
        <v>0</v>
      </c>
    </row>
    <row r="19" spans="1:13" x14ac:dyDescent="0.2">
      <c r="A19" s="62" t="s">
        <v>57</v>
      </c>
      <c r="B19" s="120">
        <f>[3]Pinnacle!$FB$9</f>
        <v>3</v>
      </c>
      <c r="C19" s="121">
        <f>[3]MESA_UA!$FB$9</f>
        <v>0</v>
      </c>
      <c r="D19" s="120">
        <f>'[3]Sky West'!$FB$9</f>
        <v>9</v>
      </c>
      <c r="E19" s="120">
        <f>'[3]Sky West_UA'!$FB$9</f>
        <v>0</v>
      </c>
      <c r="F19" s="120">
        <f>'[3]Sky West_AS'!$FB$9</f>
        <v>0</v>
      </c>
      <c r="G19" s="120">
        <f>'[3]Sky West_AA'!$FB$9</f>
        <v>0</v>
      </c>
      <c r="H19" s="120">
        <f>[3]Republic!$FB$9</f>
        <v>0</v>
      </c>
      <c r="I19" s="120">
        <f>[3]Republic_UA!$FB$9</f>
        <v>0</v>
      </c>
      <c r="J19" s="120">
        <f>'[3]Air Georgian'!$FB$9</f>
        <v>0</v>
      </c>
      <c r="K19" s="120">
        <f>'[3]American Eagle'!$FB$9</f>
        <v>0</v>
      </c>
      <c r="L19" s="120">
        <f>'Other Regional'!L19</f>
        <v>1</v>
      </c>
      <c r="M19" s="115">
        <f t="shared" si="5"/>
        <v>13</v>
      </c>
    </row>
    <row r="20" spans="1:13" x14ac:dyDescent="0.2">
      <c r="A20" s="71" t="s">
        <v>58</v>
      </c>
      <c r="B20" s="116">
        <f t="shared" ref="B20:L20" si="9">SUM(B18:B19)</f>
        <v>3</v>
      </c>
      <c r="C20" s="116">
        <f t="shared" si="9"/>
        <v>0</v>
      </c>
      <c r="D20" s="116">
        <f t="shared" si="9"/>
        <v>9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1</v>
      </c>
      <c r="M20" s="117">
        <f t="shared" si="5"/>
        <v>13</v>
      </c>
    </row>
    <row r="21" spans="1:13" ht="15.75" thickBot="1" x14ac:dyDescent="0.3">
      <c r="A21" s="72" t="s">
        <v>28</v>
      </c>
      <c r="B21" s="122">
        <f t="shared" ref="B21:K21" si="11">SUM(B20,B17)</f>
        <v>3574</v>
      </c>
      <c r="C21" s="122">
        <f t="shared" si="11"/>
        <v>366</v>
      </c>
      <c r="D21" s="122">
        <f t="shared" si="11"/>
        <v>6005</v>
      </c>
      <c r="E21" s="122">
        <f t="shared" si="11"/>
        <v>274</v>
      </c>
      <c r="F21" s="122">
        <f t="shared" ref="F21:G21" si="12">SUM(F20,F17)</f>
        <v>62</v>
      </c>
      <c r="G21" s="122">
        <f t="shared" si="12"/>
        <v>10</v>
      </c>
      <c r="H21" s="122">
        <f t="shared" si="11"/>
        <v>276</v>
      </c>
      <c r="I21" s="122">
        <f t="shared" si="11"/>
        <v>252</v>
      </c>
      <c r="J21" s="122">
        <f t="shared" si="11"/>
        <v>176</v>
      </c>
      <c r="K21" s="122">
        <f t="shared" si="11"/>
        <v>17</v>
      </c>
      <c r="L21" s="122">
        <f>SUM(L20,L17)</f>
        <v>2933</v>
      </c>
      <c r="M21" s="123">
        <f t="shared" si="5"/>
        <v>13945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[3]Pinnacle!$FB$47</f>
        <v>0</v>
      </c>
      <c r="C25" s="132">
        <f>[3]MESA_UA!$FB$47</f>
        <v>0</v>
      </c>
      <c r="D25" s="130">
        <f>'[3]Sky West'!$FB$47</f>
        <v>0</v>
      </c>
      <c r="E25" s="130">
        <f>'[3]Sky West_UA'!$FB$47</f>
        <v>0</v>
      </c>
      <c r="F25" s="130">
        <f>'[3]Sky West_AS'!$FB$47</f>
        <v>1475</v>
      </c>
      <c r="G25" s="130">
        <f>'[3]Sky West_AA'!$FB$47</f>
        <v>28</v>
      </c>
      <c r="H25" s="130">
        <f>[3]Republic!$FB$47</f>
        <v>0</v>
      </c>
      <c r="I25" s="130">
        <f>[3]Republic_UA!$FB$47</f>
        <v>0</v>
      </c>
      <c r="J25" s="130">
        <f>'[3]Air Georgian'!$FB$47</f>
        <v>0</v>
      </c>
      <c r="K25" s="130">
        <f>'[3]American Eagle'!$FB$47</f>
        <v>0</v>
      </c>
      <c r="L25" s="130">
        <f>'Other Regional'!L25</f>
        <v>99</v>
      </c>
      <c r="M25" s="110">
        <f>SUM(B25:L25)</f>
        <v>1602</v>
      </c>
    </row>
    <row r="26" spans="1:13" x14ac:dyDescent="0.2">
      <c r="A26" s="75" t="s">
        <v>38</v>
      </c>
      <c r="B26" s="130">
        <f>[3]Pinnacle!$FB$48</f>
        <v>0</v>
      </c>
      <c r="C26" s="132">
        <f>[3]MESA_UA!$FB$48</f>
        <v>0</v>
      </c>
      <c r="D26" s="130">
        <f>'[3]Sky West'!$FB$48</f>
        <v>0</v>
      </c>
      <c r="E26" s="130">
        <f>'[3]Sky West_UA'!$FB$48</f>
        <v>0</v>
      </c>
      <c r="F26" s="130">
        <f>'[3]Sky West_AS'!$FB$48</f>
        <v>4451</v>
      </c>
      <c r="G26" s="130">
        <f>'[3]Sky West_AA'!$FB$48</f>
        <v>0</v>
      </c>
      <c r="H26" s="130">
        <f>[3]Republic!$FB$48</f>
        <v>0</v>
      </c>
      <c r="I26" s="130">
        <f>[3]Republic_UA!$FB$48</f>
        <v>0</v>
      </c>
      <c r="J26" s="130">
        <f>'[3]Air Georgian'!$FB$48</f>
        <v>0</v>
      </c>
      <c r="K26" s="130">
        <f>'[3]American Eagle'!$FB$48</f>
        <v>0</v>
      </c>
      <c r="L26" s="130">
        <f>'Other Regional'!L26</f>
        <v>0</v>
      </c>
      <c r="M26" s="110">
        <f>SUM(B26:L26)</f>
        <v>4451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5926</v>
      </c>
      <c r="G27" s="133">
        <f t="shared" si="14"/>
        <v>28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99</v>
      </c>
      <c r="M27" s="134">
        <f>SUM(B27:L27)</f>
        <v>6053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[3]Pinnacle!$FB$52</f>
        <v>0</v>
      </c>
      <c r="C30" s="132">
        <f>[3]MESA_UA!$FB$52</f>
        <v>0</v>
      </c>
      <c r="D30" s="130">
        <f>'[3]Sky West'!$FB$52</f>
        <v>0</v>
      </c>
      <c r="E30" s="130">
        <f>'[3]Sky West_UA'!$FB$52</f>
        <v>0</v>
      </c>
      <c r="F30" s="130">
        <f>'[3]Sky West_AS'!$FB$52</f>
        <v>2</v>
      </c>
      <c r="G30" s="130">
        <f>'[3]Sky West_AA'!$FB$52</f>
        <v>0</v>
      </c>
      <c r="H30" s="130">
        <f>[3]Republic!$FB$52</f>
        <v>166</v>
      </c>
      <c r="I30" s="130">
        <f>[3]Republic_UA!$FB$52</f>
        <v>0</v>
      </c>
      <c r="J30" s="130">
        <f>'[3]Air Georgian'!$FB$52</f>
        <v>0</v>
      </c>
      <c r="K30" s="130">
        <f>'[3]American Eagle'!$FB$52</f>
        <v>0</v>
      </c>
      <c r="L30" s="130">
        <f>'Other Regional'!L30</f>
        <v>0</v>
      </c>
      <c r="M30" s="110">
        <f t="shared" ref="M30:M37" si="15">SUM(B30:L30)</f>
        <v>168</v>
      </c>
    </row>
    <row r="31" spans="1:13" x14ac:dyDescent="0.2">
      <c r="A31" s="75" t="s">
        <v>60</v>
      </c>
      <c r="B31" s="130">
        <f>[3]Pinnacle!$FB$53</f>
        <v>0</v>
      </c>
      <c r="C31" s="132">
        <f>[3]MESA_UA!$FB$53</f>
        <v>0</v>
      </c>
      <c r="D31" s="130">
        <f>'[3]Sky West'!$FB$53</f>
        <v>0</v>
      </c>
      <c r="E31" s="130">
        <f>'[3]Sky West_UA'!$FB$53</f>
        <v>0</v>
      </c>
      <c r="F31" s="130">
        <f>'[3]Sky West_AS'!$FB$53</f>
        <v>0</v>
      </c>
      <c r="G31" s="130">
        <f>'[3]Sky West_AA'!$FB$53</f>
        <v>0</v>
      </c>
      <c r="H31" s="130">
        <f>[3]Republic!$FB$53</f>
        <v>0</v>
      </c>
      <c r="I31" s="130">
        <f>[3]Republic_UA!$FB$53</f>
        <v>0</v>
      </c>
      <c r="J31" s="130">
        <f>'[3]Air Georgian'!$FB$53</f>
        <v>0</v>
      </c>
      <c r="K31" s="130">
        <f>'[3]American Eagle'!$FB$53</f>
        <v>0</v>
      </c>
      <c r="L31" s="130">
        <f>'Other Regional'!L31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2</v>
      </c>
      <c r="G32" s="133">
        <f t="shared" si="17"/>
        <v>0</v>
      </c>
      <c r="H32" s="133">
        <f t="shared" si="16"/>
        <v>166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0</v>
      </c>
      <c r="M32" s="134">
        <f t="shared" si="15"/>
        <v>168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[3]Pinnacle!$FB$57</f>
        <v>0</v>
      </c>
      <c r="C35" s="132">
        <f>[3]MESA_UA!$FB$57</f>
        <v>0</v>
      </c>
      <c r="D35" s="130">
        <f>'[3]Sky West'!$FB$57</f>
        <v>0</v>
      </c>
      <c r="E35" s="130">
        <f>'[3]Sky West_UA'!$FB$57</f>
        <v>0</v>
      </c>
      <c r="F35" s="130">
        <f>'[3]Sky West_AS'!$FB$57</f>
        <v>0</v>
      </c>
      <c r="G35" s="130">
        <f>'[3]Sky West_AA'!$FB$57</f>
        <v>0</v>
      </c>
      <c r="H35" s="130">
        <f>[3]Republic!$FB$57</f>
        <v>0</v>
      </c>
      <c r="I35" s="130">
        <f>[3]Republic!$FB$57</f>
        <v>0</v>
      </c>
      <c r="J35" s="130">
        <f>[3]Republic!$FB$57</f>
        <v>0</v>
      </c>
      <c r="K35" s="130">
        <f>'[3]American Eagle'!$FB$57</f>
        <v>0</v>
      </c>
      <c r="L35" s="130">
        <f>'Other Regional'!L35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[3]Pinnacle!$FB$58</f>
        <v>0</v>
      </c>
      <c r="C36" s="132">
        <f>[3]MESA_UA!$FB$58</f>
        <v>0</v>
      </c>
      <c r="D36" s="130">
        <f>'[3]Sky West'!$FB$58</f>
        <v>0</v>
      </c>
      <c r="E36" s="130">
        <f>'[3]Sky West_UA'!$FB$58</f>
        <v>0</v>
      </c>
      <c r="F36" s="130">
        <f>'[3]Sky West_AS'!$FB$58</f>
        <v>0</v>
      </c>
      <c r="G36" s="130">
        <f>'[3]Sky West_AA'!$FB$58</f>
        <v>0</v>
      </c>
      <c r="H36" s="130">
        <f>[3]Republic!$FB$58</f>
        <v>0</v>
      </c>
      <c r="I36" s="130">
        <f>[3]Republic!$FB$58</f>
        <v>0</v>
      </c>
      <c r="J36" s="130">
        <f>[3]Republic!$FB$58</f>
        <v>0</v>
      </c>
      <c r="K36" s="130">
        <f>'[3]American Eagle'!$FB$58</f>
        <v>0</v>
      </c>
      <c r="L36" s="130">
        <f>'Other Regional'!L36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1477</v>
      </c>
      <c r="G40" s="130">
        <f t="shared" ref="G40" si="22">SUM(G35,G30,G25)</f>
        <v>28</v>
      </c>
      <c r="H40" s="130">
        <f t="shared" si="20"/>
        <v>166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99</v>
      </c>
      <c r="M40" s="110">
        <f>SUM(B40:L40)</f>
        <v>1770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4451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4451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5928</v>
      </c>
      <c r="G42" s="136">
        <f t="shared" ref="G42" si="24">SUM(G37,G32,G27)</f>
        <v>28</v>
      </c>
      <c r="H42" s="136">
        <f t="shared" si="20"/>
        <v>166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99</v>
      </c>
      <c r="M42" s="137">
        <f>SUM(B42:L42)</f>
        <v>6221</v>
      </c>
    </row>
    <row r="44" spans="1:13" x14ac:dyDescent="0.2">
      <c r="A44" s="381" t="s">
        <v>124</v>
      </c>
      <c r="B44" s="321">
        <f>[3]Pinnacle!$FB$70+[3]Pinnacle!$FB$73</f>
        <v>27357</v>
      </c>
      <c r="D44" s="322">
        <f>'[3]Sky West'!$FB$70+'[3]Sky West'!$FB$73</f>
        <v>45043</v>
      </c>
      <c r="E44" s="5"/>
      <c r="F44" s="5"/>
      <c r="G44" s="5"/>
      <c r="L44" s="322">
        <f>+'Other Regional'!L46</f>
        <v>36421</v>
      </c>
      <c r="M44" s="310">
        <f>SUM(B44:L44)</f>
        <v>108821</v>
      </c>
    </row>
    <row r="45" spans="1:13" x14ac:dyDescent="0.2">
      <c r="A45" s="395" t="s">
        <v>125</v>
      </c>
      <c r="B45" s="321">
        <f>[3]Pinnacle!$FB$71+[3]Pinnacle!$FB$74</f>
        <v>62042</v>
      </c>
      <c r="D45" s="322">
        <f>'[3]Sky West'!$FB$71+'[3]Sky West'!$FB$74</f>
        <v>99324</v>
      </c>
      <c r="E45" s="5"/>
      <c r="F45" s="5"/>
      <c r="G45" s="5"/>
      <c r="L45" s="322">
        <f>+'Other Regional'!L47</f>
        <v>46489</v>
      </c>
      <c r="M45" s="310">
        <f>SUM(B45:L45)</f>
        <v>207855</v>
      </c>
    </row>
    <row r="46" spans="1:13" x14ac:dyDescent="0.2">
      <c r="A46" s="312" t="s">
        <v>126</v>
      </c>
      <c r="B46" s="313">
        <f>SUM(B44:B45)</f>
        <v>89399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March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zoomScaleNormal="100" zoomScaleSheetLayoutView="100" workbookViewId="0">
      <selection activeCell="L48" sqref="L4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1"/>
    </row>
    <row r="2" spans="1:12" s="7" customFormat="1" ht="55.5" customHeight="1" thickBot="1" x14ac:dyDescent="0.25">
      <c r="A2" s="384">
        <v>42795</v>
      </c>
      <c r="B2" s="446" t="s">
        <v>188</v>
      </c>
      <c r="C2" s="446" t="s">
        <v>187</v>
      </c>
      <c r="D2" s="446" t="s">
        <v>210</v>
      </c>
      <c r="E2" s="446" t="s">
        <v>170</v>
      </c>
      <c r="F2" s="446" t="s">
        <v>193</v>
      </c>
      <c r="G2" s="446" t="s">
        <v>192</v>
      </c>
      <c r="H2" s="446" t="s">
        <v>165</v>
      </c>
      <c r="I2" s="446" t="s">
        <v>169</v>
      </c>
      <c r="J2" s="446" t="s">
        <v>194</v>
      </c>
      <c r="K2" s="446" t="s">
        <v>191</v>
      </c>
      <c r="L2" s="291" t="s">
        <v>21</v>
      </c>
    </row>
    <row r="3" spans="1:12" ht="15.75" thickTop="1" x14ac:dyDescent="0.25">
      <c r="A3" s="279" t="s">
        <v>3</v>
      </c>
      <c r="B3" s="407"/>
      <c r="C3" s="407"/>
      <c r="D3" s="407"/>
      <c r="E3" s="407"/>
      <c r="F3" s="408"/>
      <c r="G3" s="408"/>
      <c r="H3" s="408"/>
      <c r="I3" s="408"/>
      <c r="J3" s="408"/>
      <c r="K3" s="407"/>
      <c r="L3" s="127"/>
    </row>
    <row r="4" spans="1:12" x14ac:dyDescent="0.2">
      <c r="A4" s="62" t="s">
        <v>29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30</v>
      </c>
      <c r="B5" s="131">
        <f>'[3]Shuttle America'!$FB$22</f>
        <v>0</v>
      </c>
      <c r="C5" s="131">
        <f>'[3]Shuttle America_Delta'!$FB$22</f>
        <v>151</v>
      </c>
      <c r="D5" s="473">
        <f>[3]PSA!$FB$22</f>
        <v>1027</v>
      </c>
      <c r="E5" s="21">
        <f>[3]Compass!$FB$22+[3]Compass!$FB$32</f>
        <v>37048</v>
      </c>
      <c r="F5" s="131">
        <f>'[3]Atlantic Southeast'!$FB$22+'[3]Atlantic Southeast'!$FB$32</f>
        <v>24137</v>
      </c>
      <c r="G5" s="131">
        <f>'[3]Continental Express'!$FB$22</f>
        <v>640</v>
      </c>
      <c r="H5" s="130">
        <f>'[3]Go Jet_UA'!$FB$22</f>
        <v>1206</v>
      </c>
      <c r="I5" s="21">
        <f>'[3]Go Jet'!$FB$22+'[3]Go Jet'!$FB$32</f>
        <v>18809</v>
      </c>
      <c r="J5" s="132">
        <f>'[3]Air Wisconsin'!$FB$22</f>
        <v>0</v>
      </c>
      <c r="K5" s="130">
        <f>[3]MESA!$FB$22</f>
        <v>0</v>
      </c>
      <c r="L5" s="110">
        <f>SUM(B5:K5)</f>
        <v>83018</v>
      </c>
    </row>
    <row r="6" spans="1:12" s="10" customFormat="1" x14ac:dyDescent="0.2">
      <c r="A6" s="62" t="s">
        <v>31</v>
      </c>
      <c r="B6" s="131">
        <f>'[3]Shuttle America'!$FB$23</f>
        <v>0</v>
      </c>
      <c r="C6" s="131">
        <f>'[3]Shuttle America_Delta'!$FB$23</f>
        <v>274</v>
      </c>
      <c r="D6" s="473">
        <f>[3]PSA!$FB$23</f>
        <v>1112</v>
      </c>
      <c r="E6" s="14">
        <f>[3]Compass!$FB$23+[3]Compass!$FB$33</f>
        <v>39010</v>
      </c>
      <c r="F6" s="131">
        <f>'[3]Atlantic Southeast'!$FB$23+'[3]Atlantic Southeast'!$FB$33</f>
        <v>24778</v>
      </c>
      <c r="G6" s="131">
        <f>'[3]Continental Express'!$FB$23</f>
        <v>677</v>
      </c>
      <c r="H6" s="130">
        <f>'[3]Go Jet_UA'!$FB$23</f>
        <v>1287</v>
      </c>
      <c r="I6" s="14">
        <f>'[3]Go Jet'!$FB$23+'[3]Go Jet'!$FB$33</f>
        <v>18848</v>
      </c>
      <c r="J6" s="132">
        <f>'[3]Air Wisconsin'!$FB$23</f>
        <v>0</v>
      </c>
      <c r="K6" s="130">
        <f>[3]MESA!$FB$23</f>
        <v>0</v>
      </c>
      <c r="L6" s="115">
        <f>SUM(B6:K6)</f>
        <v>85986</v>
      </c>
    </row>
    <row r="7" spans="1:12" ht="15" thickBot="1" x14ac:dyDescent="0.25">
      <c r="A7" s="73" t="s">
        <v>7</v>
      </c>
      <c r="B7" s="133">
        <f t="shared" ref="B7:K7" si="0">SUM(B5:B6)</f>
        <v>0</v>
      </c>
      <c r="C7" s="133">
        <f t="shared" si="0"/>
        <v>425</v>
      </c>
      <c r="D7" s="133">
        <f t="shared" si="0"/>
        <v>2139</v>
      </c>
      <c r="E7" s="133">
        <f>SUM(E5:E6)</f>
        <v>76058</v>
      </c>
      <c r="F7" s="133">
        <f t="shared" si="0"/>
        <v>48915</v>
      </c>
      <c r="G7" s="133">
        <f t="shared" si="0"/>
        <v>1317</v>
      </c>
      <c r="H7" s="133">
        <f t="shared" si="0"/>
        <v>2493</v>
      </c>
      <c r="I7" s="133">
        <f>SUM(I5:I6)</f>
        <v>37657</v>
      </c>
      <c r="J7" s="133">
        <f t="shared" si="0"/>
        <v>0</v>
      </c>
      <c r="K7" s="133">
        <f t="shared" si="0"/>
        <v>0</v>
      </c>
      <c r="L7" s="134">
        <f>SUM(B7:K7)</f>
        <v>169004</v>
      </c>
    </row>
    <row r="8" spans="1:12" ht="13.5" thickTop="1" x14ac:dyDescent="0.2">
      <c r="A8" s="62"/>
      <c r="B8" s="131"/>
      <c r="C8" s="131"/>
      <c r="D8" s="473"/>
      <c r="E8" s="344"/>
      <c r="F8" s="131"/>
      <c r="G8" s="131"/>
      <c r="H8" s="130"/>
      <c r="I8" s="344"/>
      <c r="J8" s="132"/>
      <c r="K8" s="130"/>
      <c r="L8" s="135"/>
    </row>
    <row r="9" spans="1:12" s="10" customFormat="1" x14ac:dyDescent="0.2">
      <c r="A9" s="62" t="s">
        <v>32</v>
      </c>
      <c r="B9" s="131"/>
      <c r="C9" s="131"/>
      <c r="D9" s="473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30</v>
      </c>
      <c r="B10" s="131">
        <f>'[3]Shuttle America'!$FB$27</f>
        <v>0</v>
      </c>
      <c r="C10" s="131">
        <f>'[3]Shuttle America_Delta'!$FB$27</f>
        <v>13</v>
      </c>
      <c r="D10" s="473">
        <f>[3]PSA!$FB$27</f>
        <v>35</v>
      </c>
      <c r="E10" s="21">
        <f>[3]Compass!$FB$27+[3]Compass!$FB$37</f>
        <v>1376</v>
      </c>
      <c r="F10" s="21">
        <f>'[3]Atlantic Southeast'!$FB$27+'[3]Atlantic Southeast'!$FB$37</f>
        <v>773</v>
      </c>
      <c r="G10" s="131">
        <f>'[3]Continental Express'!$FB$27</f>
        <v>18</v>
      </c>
      <c r="H10" s="130">
        <f>'[3]Go Jet_UA'!$FB$27</f>
        <v>66</v>
      </c>
      <c r="I10" s="21">
        <f>'[3]Go Jet'!$FB$27+'[3]Go Jet'!$FB$37</f>
        <v>704</v>
      </c>
      <c r="J10" s="132">
        <f>'[3]Air Wisconsin'!$FB$27</f>
        <v>0</v>
      </c>
      <c r="K10" s="130">
        <f>[3]MESA!$FB$27</f>
        <v>0</v>
      </c>
      <c r="L10" s="110">
        <f>SUM(B10:K10)</f>
        <v>2985</v>
      </c>
    </row>
    <row r="11" spans="1:12" x14ac:dyDescent="0.2">
      <c r="A11" s="62" t="s">
        <v>33</v>
      </c>
      <c r="B11" s="131">
        <f>'[3]Shuttle America'!$FB$28</f>
        <v>0</v>
      </c>
      <c r="C11" s="131">
        <f>'[3]Shuttle America_Delta'!$FB$28</f>
        <v>7</v>
      </c>
      <c r="D11" s="473">
        <f>[3]PSA!$FB$28</f>
        <v>37</v>
      </c>
      <c r="E11" s="14">
        <f>[3]Compass!$FB$28+[3]Compass!$FB$38</f>
        <v>1583</v>
      </c>
      <c r="F11" s="14">
        <f>'[3]Atlantic Southeast'!$FB$28+'[3]Atlantic Southeast'!$FB$38</f>
        <v>748</v>
      </c>
      <c r="G11" s="131">
        <f>'[3]Continental Express'!$FB$28</f>
        <v>12</v>
      </c>
      <c r="H11" s="130">
        <f>'[3]Go Jet_UA'!$FB$28</f>
        <v>19</v>
      </c>
      <c r="I11" s="14">
        <f>'[3]Go Jet'!$FB$28+'[3]Go Jet'!$FB$38</f>
        <v>641</v>
      </c>
      <c r="J11" s="132">
        <f>'[3]Air Wisconsin'!$FB$28</f>
        <v>0</v>
      </c>
      <c r="K11" s="130">
        <f>[3]MESA!$FB$28</f>
        <v>0</v>
      </c>
      <c r="L11" s="115">
        <f>SUM(B11:K11)</f>
        <v>3047</v>
      </c>
    </row>
    <row r="12" spans="1:12" ht="15" thickBot="1" x14ac:dyDescent="0.25">
      <c r="A12" s="74" t="s">
        <v>34</v>
      </c>
      <c r="B12" s="136">
        <f>SUM(B10:B11)</f>
        <v>0</v>
      </c>
      <c r="C12" s="136">
        <f>SUM(C10:C11)</f>
        <v>20</v>
      </c>
      <c r="D12" s="136">
        <f t="shared" ref="D12" si="1">SUM(D10:D11)</f>
        <v>72</v>
      </c>
      <c r="E12" s="136">
        <f t="shared" ref="E12:K12" si="2">SUM(E10:E11)</f>
        <v>2959</v>
      </c>
      <c r="F12" s="136">
        <f t="shared" si="2"/>
        <v>1521</v>
      </c>
      <c r="G12" s="136">
        <f t="shared" si="2"/>
        <v>30</v>
      </c>
      <c r="H12" s="136">
        <f t="shared" si="2"/>
        <v>85</v>
      </c>
      <c r="I12" s="136">
        <f t="shared" ref="I12" si="3">SUM(I10:I11)</f>
        <v>1345</v>
      </c>
      <c r="J12" s="136">
        <f t="shared" si="2"/>
        <v>0</v>
      </c>
      <c r="K12" s="136">
        <f t="shared" si="2"/>
        <v>0</v>
      </c>
      <c r="L12" s="137">
        <f>SUM(B12:K12)</f>
        <v>6032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53</v>
      </c>
      <c r="B15" s="106">
        <f>'[3]Shuttle America'!$FB$4</f>
        <v>0</v>
      </c>
      <c r="C15" s="106">
        <f>'[3]Shuttle America_Delta'!$FB$4</f>
        <v>5</v>
      </c>
      <c r="D15" s="474">
        <f>[3]PSA!$FB$4</f>
        <v>22</v>
      </c>
      <c r="E15" s="21">
        <f>[3]Compass!$FB$4+[3]Compass!$FB$15</f>
        <v>649</v>
      </c>
      <c r="F15" s="107">
        <f>'[3]Atlantic Southeast'!$FB$4+'[3]Atlantic Southeast'!$FB$15</f>
        <v>420</v>
      </c>
      <c r="G15" s="107">
        <f>'[3]Continental Express'!$FB$4</f>
        <v>14</v>
      </c>
      <c r="H15" s="106">
        <f>'[3]Go Jet_UA'!$FB$4</f>
        <v>19</v>
      </c>
      <c r="I15" s="21">
        <f>'[3]Go Jet'!$FB$4+'[3]Go Jet'!$FB$15</f>
        <v>337</v>
      </c>
      <c r="J15" s="108">
        <f>'[3]Air Wisconsin'!$FB$4</f>
        <v>0</v>
      </c>
      <c r="K15" s="106">
        <f>[3]MESA!$FB$4</f>
        <v>0</v>
      </c>
      <c r="L15" s="110">
        <f t="shared" ref="L15:L21" si="4">SUM(B15:K15)</f>
        <v>1466</v>
      </c>
    </row>
    <row r="16" spans="1:12" x14ac:dyDescent="0.2">
      <c r="A16" s="62" t="s">
        <v>54</v>
      </c>
      <c r="B16" s="111">
        <f>'[3]Shuttle America'!$FB$5</f>
        <v>0</v>
      </c>
      <c r="C16" s="111">
        <f>'[3]Shuttle America_Delta'!$FB$5</f>
        <v>5</v>
      </c>
      <c r="D16" s="475">
        <f>[3]PSA!$FB$5</f>
        <v>22</v>
      </c>
      <c r="E16" s="14">
        <f>[3]Compass!$FB$5+[3]Compass!$FB$16</f>
        <v>650</v>
      </c>
      <c r="F16" s="112">
        <f>'[3]Atlantic Southeast'!$FB$5+'[3]Atlantic Southeast'!$FB$16</f>
        <v>419</v>
      </c>
      <c r="G16" s="112">
        <f>'[3]Continental Express'!$FB$5</f>
        <v>14</v>
      </c>
      <c r="H16" s="111">
        <f>'[3]Go Jet_UA'!$FB$5</f>
        <v>19</v>
      </c>
      <c r="I16" s="14">
        <f>'[3]Go Jet'!$FB$5+'[3]Go Jet'!$FB$16</f>
        <v>337</v>
      </c>
      <c r="J16" s="113">
        <f>'[3]Air Wisconsin'!$FB$5</f>
        <v>0</v>
      </c>
      <c r="K16" s="111">
        <f>[3]MESA!$FB$5</f>
        <v>0</v>
      </c>
      <c r="L16" s="115">
        <f t="shared" si="4"/>
        <v>1466</v>
      </c>
    </row>
    <row r="17" spans="1:12" x14ac:dyDescent="0.2">
      <c r="A17" s="71" t="s">
        <v>55</v>
      </c>
      <c r="B17" s="116">
        <f>SUM(B15:B16)</f>
        <v>0</v>
      </c>
      <c r="C17" s="116">
        <f>SUM(C15:C16)</f>
        <v>10</v>
      </c>
      <c r="D17" s="116">
        <f t="shared" ref="D17" si="5">SUM(D15:D16)</f>
        <v>44</v>
      </c>
      <c r="E17" s="286">
        <f>SUM(E15:E16)</f>
        <v>1299</v>
      </c>
      <c r="F17" s="116">
        <f t="shared" ref="F17:K17" si="6">SUM(F15:F16)</f>
        <v>839</v>
      </c>
      <c r="G17" s="116">
        <f t="shared" si="6"/>
        <v>28</v>
      </c>
      <c r="H17" s="116">
        <f t="shared" si="6"/>
        <v>38</v>
      </c>
      <c r="I17" s="286">
        <f>SUM(I15:I16)</f>
        <v>674</v>
      </c>
      <c r="J17" s="116">
        <f t="shared" si="6"/>
        <v>0</v>
      </c>
      <c r="K17" s="116">
        <f t="shared" si="6"/>
        <v>0</v>
      </c>
      <c r="L17" s="117">
        <f t="shared" si="4"/>
        <v>2932</v>
      </c>
    </row>
    <row r="18" spans="1:12" x14ac:dyDescent="0.2">
      <c r="A18" s="62" t="s">
        <v>56</v>
      </c>
      <c r="B18" s="118">
        <f>'[3]Shuttle America'!$FB$8</f>
        <v>0</v>
      </c>
      <c r="C18" s="118">
        <f>'[3]Shuttle America_Delta'!$FB$8</f>
        <v>0</v>
      </c>
      <c r="D18" s="118">
        <f>[3]PSA!$FB$8</f>
        <v>0</v>
      </c>
      <c r="E18" s="21">
        <f>[3]Compass!$FB$8</f>
        <v>0</v>
      </c>
      <c r="F18" s="109">
        <f>'[3]Atlantic Southeast'!$FB$8</f>
        <v>0</v>
      </c>
      <c r="G18" s="109">
        <f>'[3]Continental Express'!$FB$8</f>
        <v>0</v>
      </c>
      <c r="H18" s="118">
        <f>'[3]Go Jet_UA'!$FB$8</f>
        <v>0</v>
      </c>
      <c r="I18" s="21">
        <f>'[3]Go Jet'!$FB$8</f>
        <v>0</v>
      </c>
      <c r="J18" s="119">
        <f>'[3]Air Wisconsin'!$FB$8</f>
        <v>0</v>
      </c>
      <c r="K18" s="118">
        <f>[3]MESA!$FB$8</f>
        <v>0</v>
      </c>
      <c r="L18" s="110">
        <f t="shared" si="4"/>
        <v>0</v>
      </c>
    </row>
    <row r="19" spans="1:12" x14ac:dyDescent="0.2">
      <c r="A19" s="62" t="s">
        <v>57</v>
      </c>
      <c r="B19" s="120">
        <f>'[3]Shuttle America'!$FB$9</f>
        <v>0</v>
      </c>
      <c r="C19" s="120">
        <f>'[3]Shuttle America_Delta'!$FB$9</f>
        <v>0</v>
      </c>
      <c r="D19" s="120">
        <f>[3]PSA!$FB$9</f>
        <v>0</v>
      </c>
      <c r="E19" s="14">
        <f>[3]Compass!$FB$9</f>
        <v>1</v>
      </c>
      <c r="F19" s="114">
        <f>'[3]Atlantic Southeast'!$FB$9</f>
        <v>0</v>
      </c>
      <c r="G19" s="114">
        <f>'[3]Continental Express'!$FB$9</f>
        <v>0</v>
      </c>
      <c r="H19" s="120">
        <f>'[3]Go Jet_UA'!$FB$9</f>
        <v>0</v>
      </c>
      <c r="I19" s="14">
        <f>'[3]Go Jet'!$FB$9</f>
        <v>0</v>
      </c>
      <c r="J19" s="121">
        <f>'[3]Air Wisconsin'!$FB$9</f>
        <v>0</v>
      </c>
      <c r="K19" s="120">
        <f>[3]MESA!$FB$9</f>
        <v>0</v>
      </c>
      <c r="L19" s="115">
        <f t="shared" si="4"/>
        <v>1</v>
      </c>
    </row>
    <row r="20" spans="1:12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" si="7">SUM(D18:D19)</f>
        <v>0</v>
      </c>
      <c r="E20" s="286">
        <f>SUM(E18:E19)</f>
        <v>1</v>
      </c>
      <c r="F20" s="116">
        <f t="shared" ref="F20:K20" si="8">SUM(F18:F19)</f>
        <v>0</v>
      </c>
      <c r="G20" s="116">
        <f t="shared" si="8"/>
        <v>0</v>
      </c>
      <c r="H20" s="116">
        <f t="shared" si="8"/>
        <v>0</v>
      </c>
      <c r="I20" s="286">
        <f>SUM(I18:I19)</f>
        <v>0</v>
      </c>
      <c r="J20" s="116">
        <f t="shared" si="8"/>
        <v>0</v>
      </c>
      <c r="K20" s="116">
        <f t="shared" si="8"/>
        <v>0</v>
      </c>
      <c r="L20" s="117">
        <f t="shared" si="4"/>
        <v>1</v>
      </c>
    </row>
    <row r="21" spans="1:12" ht="15.75" thickBot="1" x14ac:dyDescent="0.3">
      <c r="A21" s="72" t="s">
        <v>28</v>
      </c>
      <c r="B21" s="122">
        <f>SUM(B20,B17)</f>
        <v>0</v>
      </c>
      <c r="C21" s="122">
        <f>SUM(C20,C17)</f>
        <v>10</v>
      </c>
      <c r="D21" s="122">
        <f t="shared" ref="D21" si="9">SUM(D20,D17)</f>
        <v>44</v>
      </c>
      <c r="E21" s="122">
        <f t="shared" ref="E21:K21" si="10">SUM(E20,E17)</f>
        <v>1300</v>
      </c>
      <c r="F21" s="122">
        <f t="shared" si="10"/>
        <v>839</v>
      </c>
      <c r="G21" s="122">
        <f t="shared" si="10"/>
        <v>28</v>
      </c>
      <c r="H21" s="122">
        <f t="shared" si="10"/>
        <v>38</v>
      </c>
      <c r="I21" s="122">
        <f t="shared" ref="I21" si="11">SUM(I20,I17)</f>
        <v>674</v>
      </c>
      <c r="J21" s="122">
        <f t="shared" si="10"/>
        <v>0</v>
      </c>
      <c r="K21" s="122">
        <f t="shared" si="10"/>
        <v>0</v>
      </c>
      <c r="L21" s="123">
        <f t="shared" si="4"/>
        <v>2933</v>
      </c>
    </row>
    <row r="22" spans="1:12" ht="3.75" customHeight="1" thickBot="1" x14ac:dyDescent="0.25"/>
    <row r="23" spans="1:12" ht="15.75" thickTop="1" x14ac:dyDescent="0.25">
      <c r="A23" s="65" t="s">
        <v>117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36</v>
      </c>
      <c r="B24" s="130"/>
      <c r="C24" s="130"/>
      <c r="D24" s="130"/>
      <c r="F24" s="131"/>
      <c r="G24" s="131"/>
      <c r="H24" s="130"/>
      <c r="J24" s="132"/>
      <c r="K24" s="130"/>
      <c r="L24" s="110"/>
    </row>
    <row r="25" spans="1:12" x14ac:dyDescent="0.2">
      <c r="A25" s="75" t="s">
        <v>37</v>
      </c>
      <c r="B25" s="130">
        <f>'[3]Shuttle America'!$FB$47</f>
        <v>0</v>
      </c>
      <c r="C25" s="130">
        <f>'[3]Shuttle America_Delta'!$FB$47</f>
        <v>42</v>
      </c>
      <c r="D25" s="130">
        <f>[3]PSA!$FB$47</f>
        <v>0</v>
      </c>
      <c r="E25" s="130">
        <f>[3]Compass!$FB$47</f>
        <v>0</v>
      </c>
      <c r="F25" s="131">
        <f>'[3]Atlantic Southeast'!$FB$47</f>
        <v>0</v>
      </c>
      <c r="G25" s="131">
        <f>'[3]Continental Express'!$FB$47</f>
        <v>0</v>
      </c>
      <c r="H25" s="130">
        <f>'[3]Go Jet_UA'!$FB$47</f>
        <v>0</v>
      </c>
      <c r="I25" s="130">
        <f>'[3]Go Jet'!$FB$47</f>
        <v>57</v>
      </c>
      <c r="J25" s="132">
        <f>'[3]Air Wisconsin'!$FB$47</f>
        <v>0</v>
      </c>
      <c r="K25" s="130">
        <f>[3]MESA!$FB$47</f>
        <v>0</v>
      </c>
      <c r="L25" s="110">
        <f>SUM(B25:K25)</f>
        <v>99</v>
      </c>
    </row>
    <row r="26" spans="1:12" x14ac:dyDescent="0.2">
      <c r="A26" s="75" t="s">
        <v>38</v>
      </c>
      <c r="B26" s="130">
        <f>'[3]Shuttle America'!$FB$48</f>
        <v>0</v>
      </c>
      <c r="C26" s="130">
        <f>'[3]Shuttle America_Delta'!$FB$48</f>
        <v>0</v>
      </c>
      <c r="D26" s="130">
        <f>[3]PSA!$FB$48</f>
        <v>0</v>
      </c>
      <c r="E26" s="130">
        <f>[3]Compass!$FB$48</f>
        <v>0</v>
      </c>
      <c r="F26" s="131">
        <f>'[3]Atlantic Southeast'!$FB$48</f>
        <v>0</v>
      </c>
      <c r="G26" s="131">
        <f>'[3]Continental Express'!$FB$48</f>
        <v>0</v>
      </c>
      <c r="H26" s="130">
        <f>'[3]Go Jet_UA'!$FB$48</f>
        <v>0</v>
      </c>
      <c r="I26" s="130">
        <f>'[3]Go Jet'!$FB$48</f>
        <v>0</v>
      </c>
      <c r="J26" s="132">
        <f>'[3]Air Wisconsin'!$FB$48</f>
        <v>0</v>
      </c>
      <c r="K26" s="130">
        <f>[3]MESA!$FB$48</f>
        <v>0</v>
      </c>
      <c r="L26" s="110">
        <f>SUM(B26:K26)</f>
        <v>0</v>
      </c>
    </row>
    <row r="27" spans="1:12" ht="15" thickBot="1" x14ac:dyDescent="0.25">
      <c r="A27" s="73" t="s">
        <v>39</v>
      </c>
      <c r="B27" s="133">
        <f>SUM(B25:B26)</f>
        <v>0</v>
      </c>
      <c r="C27" s="133">
        <f>SUM(C25:C26)</f>
        <v>42</v>
      </c>
      <c r="D27" s="133">
        <f t="shared" ref="D27" si="12">SUM(D25:D26)</f>
        <v>0</v>
      </c>
      <c r="E27" s="133">
        <f>SUM(E25:E26)</f>
        <v>0</v>
      </c>
      <c r="F27" s="133">
        <f t="shared" ref="F27:K27" si="13">SUM(F25:F26)</f>
        <v>0</v>
      </c>
      <c r="G27" s="133">
        <f t="shared" si="13"/>
        <v>0</v>
      </c>
      <c r="H27" s="133">
        <f t="shared" si="13"/>
        <v>0</v>
      </c>
      <c r="I27" s="133">
        <f>SUM(I25:I26)</f>
        <v>57</v>
      </c>
      <c r="J27" s="133">
        <f t="shared" si="13"/>
        <v>0</v>
      </c>
      <c r="K27" s="133">
        <f t="shared" si="13"/>
        <v>0</v>
      </c>
      <c r="L27" s="134">
        <f>SUM(B27:K27)</f>
        <v>99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40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59</v>
      </c>
      <c r="B30" s="130">
        <f>'[3]Shuttle America'!$FB$52</f>
        <v>0</v>
      </c>
      <c r="C30" s="130">
        <f>'[3]Shuttle America_Delta'!$FB$52</f>
        <v>0</v>
      </c>
      <c r="D30" s="130">
        <f>[3]PSA!$FB$52</f>
        <v>0</v>
      </c>
      <c r="E30" s="130">
        <f>[3]Compass!$FB$52</f>
        <v>0</v>
      </c>
      <c r="F30" s="131">
        <f>'[3]Atlantic Southeast'!$FB$52</f>
        <v>0</v>
      </c>
      <c r="G30" s="131">
        <f>'[3]Continental Express'!$FB$52</f>
        <v>0</v>
      </c>
      <c r="H30" s="130">
        <f>'[3]Go Jet_UA'!$FB$52</f>
        <v>0</v>
      </c>
      <c r="I30" s="130">
        <f>'[3]Go Jet'!$FB$52</f>
        <v>0</v>
      </c>
      <c r="J30" s="132">
        <f>'[3]Air Wisconsin'!BH$52</f>
        <v>0</v>
      </c>
      <c r="K30" s="130">
        <f>[3]MESA!$FB$52</f>
        <v>0</v>
      </c>
      <c r="L30" s="110">
        <f>SUM(B30:K30)</f>
        <v>0</v>
      </c>
    </row>
    <row r="31" spans="1:12" x14ac:dyDescent="0.2">
      <c r="A31" s="75" t="s">
        <v>60</v>
      </c>
      <c r="B31" s="130">
        <f>'[3]Shuttle America'!$FB$53</f>
        <v>0</v>
      </c>
      <c r="C31" s="130">
        <f>'[3]Shuttle America_Delta'!$FB$53</f>
        <v>0</v>
      </c>
      <c r="D31" s="130">
        <f>[3]PSA!$FB$53</f>
        <v>0</v>
      </c>
      <c r="E31" s="130">
        <f>[3]Compass!$FB$53</f>
        <v>0</v>
      </c>
      <c r="F31" s="131">
        <f>'[3]Atlantic Southeast'!$FB$53</f>
        <v>0</v>
      </c>
      <c r="G31" s="131">
        <f>'[3]Continental Express'!$FB$53</f>
        <v>0</v>
      </c>
      <c r="H31" s="130">
        <f>'[3]Go Jet_UA'!$FB$53</f>
        <v>0</v>
      </c>
      <c r="I31" s="130">
        <f>'[3]Go Jet'!$FB$53</f>
        <v>0</v>
      </c>
      <c r="J31" s="132">
        <f>'[3]Air Wisconsin'!$FB$53</f>
        <v>0</v>
      </c>
      <c r="K31" s="130">
        <f>[3]MESA!$FB$53</f>
        <v>0</v>
      </c>
      <c r="L31" s="110">
        <f>SUM(B31:K31)</f>
        <v>0</v>
      </c>
    </row>
    <row r="32" spans="1:12" ht="15" thickBot="1" x14ac:dyDescent="0.25">
      <c r="A32" s="73" t="s">
        <v>41</v>
      </c>
      <c r="B32" s="133">
        <f t="shared" ref="B32:K32" si="14">SUM(B30:B31)</f>
        <v>0</v>
      </c>
      <c r="C32" s="133">
        <f t="shared" si="14"/>
        <v>0</v>
      </c>
      <c r="D32" s="133">
        <f t="shared" si="14"/>
        <v>0</v>
      </c>
      <c r="E32" s="133">
        <f t="shared" si="14"/>
        <v>0</v>
      </c>
      <c r="F32" s="133">
        <f t="shared" si="14"/>
        <v>0</v>
      </c>
      <c r="G32" s="133">
        <f t="shared" si="14"/>
        <v>0</v>
      </c>
      <c r="H32" s="133">
        <f t="shared" si="14"/>
        <v>0</v>
      </c>
      <c r="I32" s="133">
        <f t="shared" ref="I32" si="15">SUM(I30:I31)</f>
        <v>0</v>
      </c>
      <c r="J32" s="133">
        <f t="shared" si="14"/>
        <v>0</v>
      </c>
      <c r="K32" s="133">
        <f t="shared" si="14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42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37</v>
      </c>
      <c r="B35" s="130">
        <f>'[3]Shuttle America'!$FB$57</f>
        <v>0</v>
      </c>
      <c r="C35" s="130">
        <f>'[3]Shuttle America_Delta'!$FB$57</f>
        <v>0</v>
      </c>
      <c r="D35" s="130">
        <f>[3]PSA!$FB$57</f>
        <v>0</v>
      </c>
      <c r="E35" s="130">
        <f>[3]Compass!$FB$57</f>
        <v>0</v>
      </c>
      <c r="F35" s="131">
        <f>'[3]Atlantic Southeast'!$FB$57</f>
        <v>0</v>
      </c>
      <c r="G35" s="131">
        <f>'[3]Continental Express'!$FB$57</f>
        <v>0</v>
      </c>
      <c r="H35" s="130">
        <f>'[3]Go Jet_UA'!$AJ$57</f>
        <v>0</v>
      </c>
      <c r="I35" s="130">
        <f>'[3]Go Jet'!$FB$57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Jet'!BK$58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" si="16">SUM(D35:D36)</f>
        <v>0</v>
      </c>
      <c r="E37" s="141">
        <f>SUM(E35:E36)</f>
        <v>0</v>
      </c>
      <c r="F37" s="142">
        <f t="shared" ref="F37:K37" si="17">SUM(F35:F36)</f>
        <v>0</v>
      </c>
      <c r="G37" s="142">
        <f t="shared" si="17"/>
        <v>0</v>
      </c>
      <c r="H37" s="141">
        <f t="shared" si="17"/>
        <v>0</v>
      </c>
      <c r="I37" s="141">
        <f>SUM(I35:I36)</f>
        <v>0</v>
      </c>
      <c r="J37" s="141">
        <f t="shared" si="17"/>
        <v>0</v>
      </c>
      <c r="K37" s="141">
        <f t="shared" si="17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44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45</v>
      </c>
      <c r="B40" s="130">
        <f t="shared" ref="B40:K40" si="18">SUM(B35,B30,B25)</f>
        <v>0</v>
      </c>
      <c r="C40" s="130">
        <f>SUM(C35,C30,C25)</f>
        <v>42</v>
      </c>
      <c r="D40" s="130">
        <f t="shared" ref="D40:D41" si="19">SUM(D35,D30,D25)</f>
        <v>0</v>
      </c>
      <c r="E40" s="130">
        <f t="shared" si="18"/>
        <v>0</v>
      </c>
      <c r="F40" s="130">
        <f t="shared" si="18"/>
        <v>0</v>
      </c>
      <c r="G40" s="130">
        <f t="shared" si="18"/>
        <v>0</v>
      </c>
      <c r="H40" s="130">
        <f>SUM(H35,H30,H25)</f>
        <v>0</v>
      </c>
      <c r="I40" s="130">
        <f t="shared" ref="I40" si="20">SUM(I35,I30,I25)</f>
        <v>57</v>
      </c>
      <c r="J40" s="130">
        <f t="shared" si="18"/>
        <v>0</v>
      </c>
      <c r="K40" s="130">
        <f t="shared" si="18"/>
        <v>0</v>
      </c>
      <c r="L40" s="110">
        <f>SUM(B40:K40)</f>
        <v>99</v>
      </c>
    </row>
    <row r="41" spans="1:12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19"/>
        <v>0</v>
      </c>
      <c r="E41" s="130">
        <f t="shared" ref="E41:K41" si="21">SUM(E36,E31,E26)</f>
        <v>0</v>
      </c>
      <c r="F41" s="130">
        <f t="shared" si="21"/>
        <v>0</v>
      </c>
      <c r="G41" s="130">
        <f t="shared" si="21"/>
        <v>0</v>
      </c>
      <c r="H41" s="130">
        <f>SUM(H36,H31,H26)</f>
        <v>0</v>
      </c>
      <c r="I41" s="130">
        <f t="shared" ref="I41" si="22">SUM(I36,I31,I26)</f>
        <v>0</v>
      </c>
      <c r="J41" s="130">
        <f t="shared" si="21"/>
        <v>0</v>
      </c>
      <c r="K41" s="130">
        <f t="shared" si="21"/>
        <v>0</v>
      </c>
      <c r="L41" s="110">
        <f>SUM(B41:K41)</f>
        <v>0</v>
      </c>
    </row>
    <row r="42" spans="1:12" ht="15" thickBot="1" x14ac:dyDescent="0.25">
      <c r="A42" s="74" t="s">
        <v>46</v>
      </c>
      <c r="B42" s="136">
        <f>SUM(B40:B41)</f>
        <v>0</v>
      </c>
      <c r="C42" s="136">
        <f>SUM(C40:C41)</f>
        <v>42</v>
      </c>
      <c r="D42" s="136">
        <f t="shared" ref="D42" si="23">SUM(D40:D41)</f>
        <v>0</v>
      </c>
      <c r="E42" s="136">
        <f t="shared" ref="E42:K42" si="24">SUM(E40:E41)</f>
        <v>0</v>
      </c>
      <c r="F42" s="136">
        <f t="shared" si="24"/>
        <v>0</v>
      </c>
      <c r="G42" s="136">
        <f t="shared" si="24"/>
        <v>0</v>
      </c>
      <c r="H42" s="136">
        <f t="shared" si="24"/>
        <v>0</v>
      </c>
      <c r="I42" s="136">
        <f t="shared" ref="I42" si="25">SUM(I40:I41)</f>
        <v>57</v>
      </c>
      <c r="J42" s="136">
        <f t="shared" si="24"/>
        <v>0</v>
      </c>
      <c r="K42" s="136">
        <f t="shared" si="24"/>
        <v>0</v>
      </c>
      <c r="L42" s="137">
        <f>SUM(B42:K42)</f>
        <v>99</v>
      </c>
    </row>
    <row r="43" spans="1:12" ht="4.5" customHeight="1" x14ac:dyDescent="0.2"/>
    <row r="44" spans="1:12" hidden="1" x14ac:dyDescent="0.2">
      <c r="A44" s="323" t="s">
        <v>127</v>
      </c>
      <c r="E44" s="322">
        <f>[3]Compass!BG$70+[3]Compass!BG$73</f>
        <v>27782</v>
      </c>
      <c r="F44" s="308"/>
      <c r="I44" s="322">
        <f>'[3]Go Jet'!BK$70+'[3]Go Jet'!BK$73</f>
        <v>0</v>
      </c>
      <c r="L44" s="310">
        <f>SUM(E44:E44)</f>
        <v>27782</v>
      </c>
    </row>
    <row r="45" spans="1:12" hidden="1" x14ac:dyDescent="0.2">
      <c r="A45" s="323" t="s">
        <v>128</v>
      </c>
      <c r="E45" s="322">
        <f>[3]Compass!BG$71+[3]Compass!BG$74</f>
        <v>47176</v>
      </c>
      <c r="F45" s="326"/>
      <c r="I45" s="322">
        <f>'[3]Go Jet'!BK$71+'[3]Go Jet'!BK$74</f>
        <v>0</v>
      </c>
      <c r="L45" s="310">
        <f>SUM(E45:E45)</f>
        <v>47176</v>
      </c>
    </row>
    <row r="46" spans="1:12" x14ac:dyDescent="0.2">
      <c r="A46" s="381" t="s">
        <v>124</v>
      </c>
      <c r="C46" s="322">
        <f>'[3]Shuttle America_Delta'!$FB$70+'[3]Shuttle America_Delta'!$FB$73</f>
        <v>154</v>
      </c>
      <c r="E46" s="322">
        <f>[3]Compass!$FB$70+[3]Compass!$FB$73</f>
        <v>17867</v>
      </c>
      <c r="F46" s="322">
        <f>'[3]Atlantic Southeast'!$FB$70+'[3]Atlantic Southeast'!$FB$73</f>
        <v>10258</v>
      </c>
      <c r="I46" s="322">
        <f>'[3]Go Jet'!$FB$70+'[3]Go Jet'!$FB$73</f>
        <v>8142</v>
      </c>
      <c r="L46" s="394">
        <f>SUM(B46:K46)</f>
        <v>36421</v>
      </c>
    </row>
    <row r="47" spans="1:12" x14ac:dyDescent="0.2">
      <c r="A47" s="395" t="s">
        <v>125</v>
      </c>
      <c r="C47" s="322">
        <f>'[3]Shuttle America_Delta'!$FB$71+'[3]Shuttle America_Delta'!$FB$74</f>
        <v>120</v>
      </c>
      <c r="E47" s="322">
        <f>[3]Compass!$FB$71+[3]Compass!$FB$74</f>
        <v>21143</v>
      </c>
      <c r="F47" s="322">
        <f>'[3]Atlantic Southeast'!$FB$71+'[3]Atlantic Southeast'!$FB$74</f>
        <v>14520</v>
      </c>
      <c r="I47" s="322">
        <f>'[3]Go Jet'!$FB$71+'[3]Go Jet'!$FB$74</f>
        <v>10706</v>
      </c>
      <c r="L47" s="394">
        <f>SUM(B47:K47)</f>
        <v>46489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March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A4" zoomScale="115" zoomScaleNormal="115" workbookViewId="0">
      <selection activeCell="F23" sqref="F2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4">
        <v>42795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24"/>
      <c r="C4" s="184"/>
      <c r="D4" s="184"/>
      <c r="E4" s="184"/>
      <c r="F4" s="184"/>
      <c r="G4" s="254"/>
    </row>
    <row r="5" spans="1:17" x14ac:dyDescent="0.2">
      <c r="A5" s="62" t="s">
        <v>30</v>
      </c>
      <c r="B5" s="424">
        <f>'[3]Charter Misc'!$FB$22</f>
        <v>49</v>
      </c>
      <c r="C5" s="184">
        <f>[3]Ryan!$FB$22</f>
        <v>0</v>
      </c>
      <c r="D5" s="184">
        <f>'[3]Charter Misc'!$FB$32</f>
        <v>0</v>
      </c>
      <c r="E5" s="184">
        <f>[3]Omni!$FB$32</f>
        <v>0</v>
      </c>
      <c r="F5" s="184">
        <f>[3]Xtra!$FB$32+[3]Xtra!$FB$22</f>
        <v>0</v>
      </c>
      <c r="G5" s="343">
        <f>SUM(B5:F5)</f>
        <v>49</v>
      </c>
    </row>
    <row r="6" spans="1:17" x14ac:dyDescent="0.2">
      <c r="A6" s="62" t="s">
        <v>31</v>
      </c>
      <c r="B6" s="425">
        <f>'[3]Charter Misc'!$FB$23</f>
        <v>0</v>
      </c>
      <c r="C6" s="187">
        <f>[3]Ryan!$FB$23</f>
        <v>0</v>
      </c>
      <c r="D6" s="187">
        <f>'[3]Charter Misc'!$FB$33</f>
        <v>0</v>
      </c>
      <c r="E6" s="187">
        <f>[3]Omni!$FB$33</f>
        <v>0</v>
      </c>
      <c r="F6" s="187">
        <f>[3]Xtra!$FB$33+[3]Xtra!$FB$23</f>
        <v>0</v>
      </c>
      <c r="G6" s="342">
        <f>SUM(B6:F6)</f>
        <v>0</v>
      </c>
    </row>
    <row r="7" spans="1:17" ht="15.75" thickBot="1" x14ac:dyDescent="0.3">
      <c r="A7" s="183" t="s">
        <v>7</v>
      </c>
      <c r="B7" s="426">
        <f>SUM(B5:B6)</f>
        <v>49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49</v>
      </c>
    </row>
    <row r="8" spans="1:17" ht="13.5" thickBot="1" x14ac:dyDescent="0.25"/>
    <row r="9" spans="1:17" x14ac:dyDescent="0.2">
      <c r="A9" s="181" t="s">
        <v>9</v>
      </c>
      <c r="B9" s="427"/>
      <c r="C9" s="45"/>
      <c r="D9" s="45"/>
      <c r="E9" s="45"/>
      <c r="F9" s="45"/>
      <c r="G9" s="57"/>
    </row>
    <row r="10" spans="1:17" x14ac:dyDescent="0.2">
      <c r="A10" s="182" t="s">
        <v>80</v>
      </c>
      <c r="B10" s="424">
        <f>'[3]Charter Misc'!$FB$4</f>
        <v>1</v>
      </c>
      <c r="C10" s="184">
        <f>[3]Ryan!$FB$4</f>
        <v>0</v>
      </c>
      <c r="D10" s="184">
        <f>'[3]Charter Misc'!$FB$15</f>
        <v>0</v>
      </c>
      <c r="E10" s="184">
        <f>[3]Omni!$FB$15</f>
        <v>0</v>
      </c>
      <c r="F10" s="184">
        <f>[3]Xtra!$FB$15+[3]Xtra!$FB$4</f>
        <v>0</v>
      </c>
      <c r="G10" s="342">
        <f>SUM(B10:F10)</f>
        <v>1</v>
      </c>
    </row>
    <row r="11" spans="1:17" x14ac:dyDescent="0.2">
      <c r="A11" s="182" t="s">
        <v>81</v>
      </c>
      <c r="B11" s="424">
        <f>'[3]Charter Misc'!$FB$5</f>
        <v>0</v>
      </c>
      <c r="C11" s="184">
        <f>[3]Ryan!$FB$5</f>
        <v>0</v>
      </c>
      <c r="D11" s="184">
        <f>'[3]Charter Misc'!$FB$16</f>
        <v>0</v>
      </c>
      <c r="E11" s="184">
        <f>[3]Omni!$FB$16</f>
        <v>0</v>
      </c>
      <c r="F11" s="184">
        <f>[3]Xtra!$FB$16+[3]Xtra!$FB$5</f>
        <v>0</v>
      </c>
      <c r="G11" s="342">
        <f>SUM(B11:F11)</f>
        <v>0</v>
      </c>
    </row>
    <row r="12" spans="1:17" ht="15.75" thickBot="1" x14ac:dyDescent="0.3">
      <c r="A12" s="277" t="s">
        <v>28</v>
      </c>
      <c r="B12" s="428">
        <f>SUM(B10:B11)</f>
        <v>1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1</v>
      </c>
      <c r="Q12" s="130"/>
    </row>
    <row r="17" spans="1:16" x14ac:dyDescent="0.2">
      <c r="B17" s="524" t="s">
        <v>155</v>
      </c>
      <c r="C17" s="525"/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6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9"/>
      <c r="B19" s="527" t="s">
        <v>121</v>
      </c>
      <c r="C19" s="528"/>
      <c r="D19" s="528"/>
      <c r="E19" s="529"/>
      <c r="G19" s="527" t="s">
        <v>122</v>
      </c>
      <c r="H19" s="530"/>
      <c r="I19" s="530"/>
      <c r="J19" s="531"/>
      <c r="L19" s="532" t="s">
        <v>123</v>
      </c>
      <c r="M19" s="533"/>
      <c r="N19" s="533"/>
      <c r="O19" s="534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200</v>
      </c>
      <c r="E20" s="8" t="s">
        <v>174</v>
      </c>
      <c r="F20" s="243" t="s">
        <v>99</v>
      </c>
      <c r="G20" s="8" t="s">
        <v>103</v>
      </c>
      <c r="H20" s="8" t="s">
        <v>104</v>
      </c>
      <c r="I20" s="466" t="s">
        <v>200</v>
      </c>
      <c r="J20" s="466" t="s">
        <v>174</v>
      </c>
      <c r="K20" s="243" t="s">
        <v>99</v>
      </c>
      <c r="L20" s="242" t="s">
        <v>103</v>
      </c>
      <c r="M20" s="236" t="s">
        <v>104</v>
      </c>
      <c r="N20" s="466" t="s">
        <v>200</v>
      </c>
      <c r="O20" s="466" t="s">
        <v>174</v>
      </c>
      <c r="P20" s="243" t="s">
        <v>99</v>
      </c>
    </row>
    <row r="21" spans="1:16" ht="14.1" customHeight="1" x14ac:dyDescent="0.2">
      <c r="A21" s="246" t="s">
        <v>105</v>
      </c>
      <c r="B21" s="516">
        <f>+[4]Charter!$B$21</f>
        <v>129673</v>
      </c>
      <c r="C21" s="517">
        <f>+[4]Charter!$C$21</f>
        <v>127074</v>
      </c>
      <c r="D21" s="337">
        <f t="shared" ref="D21:D32" si="0">SUM(B21:C21)</f>
        <v>256747</v>
      </c>
      <c r="E21" s="338">
        <f>[5]Charter!$D$21</f>
        <v>268275</v>
      </c>
      <c r="F21" s="341">
        <f t="shared" ref="F21:F32" si="1">(D21-E21)/E21</f>
        <v>-4.2970832168483832E-2</v>
      </c>
      <c r="G21" s="336">
        <f t="shared" ref="G21:H23" si="2">L21-B21</f>
        <v>1206061</v>
      </c>
      <c r="H21" s="337">
        <f t="shared" si="2"/>
        <v>1229618</v>
      </c>
      <c r="I21" s="337">
        <f>SUM(G21:H21)</f>
        <v>2435679</v>
      </c>
      <c r="J21" s="338">
        <f>[5]Charter!$I$21</f>
        <v>2429109</v>
      </c>
      <c r="K21" s="247">
        <f t="shared" ref="K21:K32" si="3">(I21-J21)/J21</f>
        <v>2.7046954253596689E-3</v>
      </c>
      <c r="L21" s="336">
        <f>+[4]Charter!$L$21</f>
        <v>1335734</v>
      </c>
      <c r="M21" s="337">
        <f>+[4]Charter!$M$21</f>
        <v>1356692</v>
      </c>
      <c r="N21" s="337">
        <f t="shared" ref="N21:N32" si="4">SUM(L21:M21)</f>
        <v>2692426</v>
      </c>
      <c r="O21" s="338">
        <f>[5]Charter!$N$21</f>
        <v>2697384</v>
      </c>
      <c r="P21" s="247">
        <f>(N21-O21)/O21</f>
        <v>-1.8380771888615044E-3</v>
      </c>
    </row>
    <row r="22" spans="1:16" ht="14.1" customHeight="1" x14ac:dyDescent="0.2">
      <c r="A22" s="248" t="s">
        <v>106</v>
      </c>
      <c r="B22" s="332">
        <f>+[2]Charter!$B$22</f>
        <v>134960</v>
      </c>
      <c r="C22" s="334">
        <f>+[2]Charter!$C$22</f>
        <v>137503</v>
      </c>
      <c r="D22" s="333">
        <f t="shared" si="0"/>
        <v>272463</v>
      </c>
      <c r="E22" s="340">
        <f>[6]Charter!$D$22</f>
        <v>281871</v>
      </c>
      <c r="F22" s="335">
        <f t="shared" si="1"/>
        <v>-3.3376970316208475E-2</v>
      </c>
      <c r="G22" s="332">
        <f t="shared" si="2"/>
        <v>1162157</v>
      </c>
      <c r="H22" s="334">
        <f t="shared" si="2"/>
        <v>1175802</v>
      </c>
      <c r="I22" s="333">
        <f>SUM(G22:H22)</f>
        <v>2337959</v>
      </c>
      <c r="J22" s="340">
        <f>[6]Charter!$I$22</f>
        <v>2359956</v>
      </c>
      <c r="K22" s="250">
        <f t="shared" si="3"/>
        <v>-9.3209364920362921E-3</v>
      </c>
      <c r="L22" s="332">
        <f>+[2]Charter!$L$22</f>
        <v>1297117</v>
      </c>
      <c r="M22" s="334">
        <f>+[2]Charter!$M$22</f>
        <v>1313305</v>
      </c>
      <c r="N22" s="333">
        <f t="shared" si="4"/>
        <v>2610422</v>
      </c>
      <c r="O22" s="340">
        <f>[6]Charter!$N$22</f>
        <v>2641827</v>
      </c>
      <c r="P22" s="249">
        <f t="shared" ref="P22:P32" si="5">(N22-O22)/O22</f>
        <v>-1.1887606569241664E-2</v>
      </c>
    </row>
    <row r="23" spans="1:16" ht="14.1" customHeight="1" x14ac:dyDescent="0.2">
      <c r="A23" s="248" t="s">
        <v>107</v>
      </c>
      <c r="B23" s="332">
        <f>'Intl Detail'!$O$4+'Intl Detail'!$O$9</f>
        <v>173394</v>
      </c>
      <c r="C23" s="334">
        <f>'Intl Detail'!$O$5+'Intl Detail'!$O$10</f>
        <v>175057</v>
      </c>
      <c r="D23" s="333">
        <f t="shared" ref="D23" si="6">SUM(B23:C23)</f>
        <v>348451</v>
      </c>
      <c r="E23" s="340">
        <f>[1]Charter!$D$23</f>
        <v>340464</v>
      </c>
      <c r="F23" s="249">
        <f t="shared" si="1"/>
        <v>2.3459161614737534E-2</v>
      </c>
      <c r="G23" s="332">
        <f t="shared" si="2"/>
        <v>1526700</v>
      </c>
      <c r="H23" s="334">
        <f t="shared" si="2"/>
        <v>1556530</v>
      </c>
      <c r="I23" s="333">
        <f>SUM(G23:H23)</f>
        <v>3083230</v>
      </c>
      <c r="J23" s="340">
        <f>[1]Charter!$I$23</f>
        <v>2975759</v>
      </c>
      <c r="K23" s="250">
        <f t="shared" si="3"/>
        <v>3.611549187955073E-2</v>
      </c>
      <c r="L23" s="332">
        <f>'Monthly Summary'!$B$11</f>
        <v>1700094</v>
      </c>
      <c r="M23" s="334">
        <f>'Monthly Summary'!$C$11</f>
        <v>1731587</v>
      </c>
      <c r="N23" s="333">
        <f t="shared" ref="N23" si="7">SUM(L23:M23)</f>
        <v>3431681</v>
      </c>
      <c r="O23" s="340">
        <f>[1]Charter!$N$23</f>
        <v>3316223</v>
      </c>
      <c r="P23" s="249">
        <f t="shared" si="5"/>
        <v>3.4816114597842181E-2</v>
      </c>
    </row>
    <row r="24" spans="1:16" ht="14.1" customHeight="1" x14ac:dyDescent="0.2">
      <c r="A24" s="248" t="s">
        <v>108</v>
      </c>
      <c r="B24" s="332"/>
      <c r="C24" s="334"/>
      <c r="D24" s="333">
        <f t="shared" si="0"/>
        <v>0</v>
      </c>
      <c r="E24" s="339"/>
      <c r="F24" s="249" t="e">
        <f t="shared" si="1"/>
        <v>#DIV/0!</v>
      </c>
      <c r="G24" s="332"/>
      <c r="H24" s="334"/>
      <c r="I24" s="333">
        <f>SUM(G24:H24)</f>
        <v>0</v>
      </c>
      <c r="J24" s="339"/>
      <c r="K24" s="250" t="e">
        <f t="shared" si="3"/>
        <v>#DIV/0!</v>
      </c>
      <c r="L24" s="332"/>
      <c r="M24" s="334"/>
      <c r="N24" s="333">
        <f t="shared" si="4"/>
        <v>0</v>
      </c>
      <c r="O24" s="339"/>
      <c r="P24" s="249" t="e">
        <f t="shared" si="5"/>
        <v>#DIV/0!</v>
      </c>
    </row>
    <row r="25" spans="1:16" ht="14.1" customHeight="1" x14ac:dyDescent="0.2">
      <c r="A25" s="235" t="s">
        <v>76</v>
      </c>
      <c r="B25" s="332"/>
      <c r="C25" s="334"/>
      <c r="D25" s="333">
        <f t="shared" si="0"/>
        <v>0</v>
      </c>
      <c r="E25" s="339"/>
      <c r="F25" s="238" t="e">
        <f t="shared" si="1"/>
        <v>#DIV/0!</v>
      </c>
      <c r="G25" s="332"/>
      <c r="H25" s="334"/>
      <c r="I25" s="333">
        <f t="shared" ref="I25:I32" si="8">SUM(G25:H25)</f>
        <v>0</v>
      </c>
      <c r="J25" s="339"/>
      <c r="K25" s="244" t="e">
        <f t="shared" si="3"/>
        <v>#DIV/0!</v>
      </c>
      <c r="L25" s="332"/>
      <c r="M25" s="334"/>
      <c r="N25" s="333">
        <f t="shared" si="4"/>
        <v>0</v>
      </c>
      <c r="O25" s="339"/>
      <c r="P25" s="238" t="e">
        <f t="shared" si="5"/>
        <v>#DIV/0!</v>
      </c>
    </row>
    <row r="26" spans="1:16" ht="14.1" customHeight="1" x14ac:dyDescent="0.2">
      <c r="A26" s="248" t="s">
        <v>109</v>
      </c>
      <c r="B26" s="332"/>
      <c r="C26" s="334"/>
      <c r="D26" s="333">
        <f t="shared" si="0"/>
        <v>0</v>
      </c>
      <c r="E26" s="339"/>
      <c r="F26" s="249" t="e">
        <f t="shared" si="1"/>
        <v>#DIV/0!</v>
      </c>
      <c r="G26" s="332"/>
      <c r="H26" s="334"/>
      <c r="I26" s="333">
        <f t="shared" si="8"/>
        <v>0</v>
      </c>
      <c r="J26" s="339"/>
      <c r="K26" s="250" t="e">
        <f t="shared" si="3"/>
        <v>#DIV/0!</v>
      </c>
      <c r="L26" s="332"/>
      <c r="M26" s="334"/>
      <c r="N26" s="333">
        <f t="shared" si="4"/>
        <v>0</v>
      </c>
      <c r="O26" s="339"/>
      <c r="P26" s="249" t="e">
        <f t="shared" si="5"/>
        <v>#DIV/0!</v>
      </c>
    </row>
    <row r="27" spans="1:16" ht="14.1" customHeight="1" x14ac:dyDescent="0.2">
      <c r="A27" s="235" t="s">
        <v>110</v>
      </c>
      <c r="B27" s="332"/>
      <c r="C27" s="334"/>
      <c r="D27" s="333">
        <f t="shared" si="0"/>
        <v>0</v>
      </c>
      <c r="E27" s="339"/>
      <c r="F27" s="238" t="e">
        <f t="shared" si="1"/>
        <v>#DIV/0!</v>
      </c>
      <c r="G27" s="332"/>
      <c r="H27" s="334"/>
      <c r="I27" s="333">
        <f t="shared" si="8"/>
        <v>0</v>
      </c>
      <c r="J27" s="339"/>
      <c r="K27" s="244" t="e">
        <f t="shared" si="3"/>
        <v>#DIV/0!</v>
      </c>
      <c r="L27" s="332"/>
      <c r="M27" s="334"/>
      <c r="N27" s="333">
        <f t="shared" si="4"/>
        <v>0</v>
      </c>
      <c r="O27" s="339"/>
      <c r="P27" s="238" t="e">
        <f t="shared" si="5"/>
        <v>#DIV/0!</v>
      </c>
    </row>
    <row r="28" spans="1:16" ht="14.1" customHeight="1" x14ac:dyDescent="0.2">
      <c r="A28" s="248" t="s">
        <v>111</v>
      </c>
      <c r="B28" s="332"/>
      <c r="C28" s="334"/>
      <c r="D28" s="333">
        <f t="shared" si="0"/>
        <v>0</v>
      </c>
      <c r="E28" s="339"/>
      <c r="F28" s="249" t="e">
        <f t="shared" si="1"/>
        <v>#DIV/0!</v>
      </c>
      <c r="G28" s="332"/>
      <c r="H28" s="334"/>
      <c r="I28" s="333">
        <f t="shared" si="8"/>
        <v>0</v>
      </c>
      <c r="J28" s="339"/>
      <c r="K28" s="250" t="e">
        <f t="shared" si="3"/>
        <v>#DIV/0!</v>
      </c>
      <c r="L28" s="332"/>
      <c r="M28" s="334"/>
      <c r="N28" s="333">
        <f t="shared" si="4"/>
        <v>0</v>
      </c>
      <c r="O28" s="339"/>
      <c r="P28" s="249" t="e">
        <f t="shared" si="5"/>
        <v>#DIV/0!</v>
      </c>
    </row>
    <row r="29" spans="1:16" ht="14.1" customHeight="1" x14ac:dyDescent="0.2">
      <c r="A29" s="235" t="s">
        <v>112</v>
      </c>
      <c r="B29" s="332"/>
      <c r="C29" s="334"/>
      <c r="D29" s="333">
        <f t="shared" si="0"/>
        <v>0</v>
      </c>
      <c r="E29" s="339"/>
      <c r="F29" s="238" t="e">
        <f t="shared" si="1"/>
        <v>#DIV/0!</v>
      </c>
      <c r="G29" s="332"/>
      <c r="H29" s="334"/>
      <c r="I29" s="333">
        <f t="shared" si="8"/>
        <v>0</v>
      </c>
      <c r="J29" s="339"/>
      <c r="K29" s="244" t="e">
        <f t="shared" si="3"/>
        <v>#DIV/0!</v>
      </c>
      <c r="L29" s="332"/>
      <c r="M29" s="334"/>
      <c r="N29" s="333">
        <f t="shared" si="4"/>
        <v>0</v>
      </c>
      <c r="O29" s="339"/>
      <c r="P29" s="238" t="e">
        <f t="shared" si="5"/>
        <v>#DIV/0!</v>
      </c>
    </row>
    <row r="30" spans="1:16" ht="14.1" customHeight="1" x14ac:dyDescent="0.2">
      <c r="A30" s="248" t="s">
        <v>113</v>
      </c>
      <c r="B30" s="332"/>
      <c r="C30" s="334"/>
      <c r="D30" s="333">
        <f>SUM(B30:C30)</f>
        <v>0</v>
      </c>
      <c r="E30" s="339"/>
      <c r="F30" s="249" t="e">
        <f t="shared" si="1"/>
        <v>#DIV/0!</v>
      </c>
      <c r="G30" s="332"/>
      <c r="H30" s="334"/>
      <c r="I30" s="333">
        <f>SUM(G30:H30)</f>
        <v>0</v>
      </c>
      <c r="J30" s="339"/>
      <c r="K30" s="250" t="e">
        <f t="shared" si="3"/>
        <v>#DIV/0!</v>
      </c>
      <c r="L30" s="332"/>
      <c r="M30" s="334"/>
      <c r="N30" s="333">
        <f>SUM(L30:M30)</f>
        <v>0</v>
      </c>
      <c r="O30" s="339"/>
      <c r="P30" s="249" t="e">
        <f t="shared" si="5"/>
        <v>#DIV/0!</v>
      </c>
    </row>
    <row r="31" spans="1:16" ht="14.1" customHeight="1" x14ac:dyDescent="0.2">
      <c r="A31" s="235" t="s">
        <v>114</v>
      </c>
      <c r="B31" s="332"/>
      <c r="C31" s="334"/>
      <c r="D31" s="333">
        <f>SUM(B31:C31)</f>
        <v>0</v>
      </c>
      <c r="E31" s="339"/>
      <c r="F31" s="238" t="e">
        <f t="shared" si="1"/>
        <v>#DIV/0!</v>
      </c>
      <c r="G31" s="332"/>
      <c r="H31" s="334"/>
      <c r="I31" s="333">
        <f t="shared" si="8"/>
        <v>0</v>
      </c>
      <c r="J31" s="339"/>
      <c r="K31" s="244" t="e">
        <f t="shared" si="3"/>
        <v>#DIV/0!</v>
      </c>
      <c r="L31" s="332"/>
      <c r="M31" s="334"/>
      <c r="N31" s="333">
        <f>SUM(L31:M31)</f>
        <v>0</v>
      </c>
      <c r="O31" s="339"/>
      <c r="P31" s="238" t="e">
        <f t="shared" si="5"/>
        <v>#DIV/0!</v>
      </c>
    </row>
    <row r="32" spans="1:16" ht="14.1" customHeight="1" x14ac:dyDescent="0.2">
      <c r="A32" s="251" t="s">
        <v>115</v>
      </c>
      <c r="B32" s="332"/>
      <c r="C32" s="334"/>
      <c r="D32" s="161">
        <f t="shared" si="0"/>
        <v>0</v>
      </c>
      <c r="E32" s="339"/>
      <c r="F32" s="252" t="e">
        <f t="shared" si="1"/>
        <v>#DIV/0!</v>
      </c>
      <c r="G32" s="253"/>
      <c r="H32" s="161"/>
      <c r="I32" s="161">
        <f t="shared" si="8"/>
        <v>0</v>
      </c>
      <c r="J32" s="339"/>
      <c r="K32" s="252" t="e">
        <f t="shared" si="3"/>
        <v>#DIV/0!</v>
      </c>
      <c r="L32" s="332"/>
      <c r="M32" s="334"/>
      <c r="N32" s="161">
        <f t="shared" si="4"/>
        <v>0</v>
      </c>
      <c r="O32" s="339"/>
      <c r="P32" s="252" t="e">
        <f t="shared" si="5"/>
        <v>#DIV/0!</v>
      </c>
    </row>
    <row r="33" spans="1:16" ht="13.5" thickBot="1" x14ac:dyDescent="0.25">
      <c r="A33" s="245" t="s">
        <v>77</v>
      </c>
      <c r="B33" s="255">
        <f>SUM(B21:B32)</f>
        <v>438027</v>
      </c>
      <c r="C33" s="256">
        <f>SUM(C21:C32)</f>
        <v>439634</v>
      </c>
      <c r="D33" s="256">
        <f>SUM(D21:D32)</f>
        <v>877661</v>
      </c>
      <c r="E33" s="257">
        <f>SUM(E21:E32)</f>
        <v>890610</v>
      </c>
      <c r="F33" s="240">
        <f>(D33-E33)/E33</f>
        <v>-1.4539472945509257E-2</v>
      </c>
      <c r="G33" s="258">
        <f>SUM(G21:G32)</f>
        <v>3894918</v>
      </c>
      <c r="H33" s="256">
        <f>SUM(H21:H32)</f>
        <v>3961950</v>
      </c>
      <c r="I33" s="256">
        <f>SUM(I21:I32)</f>
        <v>7856868</v>
      </c>
      <c r="J33" s="259">
        <f>SUM(J21:J32)</f>
        <v>7764824</v>
      </c>
      <c r="K33" s="241">
        <f>(I33-J33)/J33</f>
        <v>1.1853971191104911E-2</v>
      </c>
      <c r="L33" s="258">
        <f>SUM(L21:L32)</f>
        <v>4332945</v>
      </c>
      <c r="M33" s="256">
        <f>SUM(M21:M32)</f>
        <v>4401584</v>
      </c>
      <c r="N33" s="256">
        <f>SUM(N21:N32)</f>
        <v>8734529</v>
      </c>
      <c r="O33" s="257">
        <f>SUM(O21:O32)</f>
        <v>8655434</v>
      </c>
      <c r="P33" s="239">
        <f>(N33-O33)/O33</f>
        <v>9.1381899509602876E-3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March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3" sqref="B3:N38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8"/>
      <c r="C1" s="538"/>
      <c r="D1" s="538"/>
      <c r="E1" s="464"/>
      <c r="F1" s="539" t="s">
        <v>94</v>
      </c>
      <c r="G1" s="540"/>
      <c r="H1" s="540"/>
      <c r="I1" s="540"/>
      <c r="J1" s="540"/>
      <c r="K1" s="540"/>
      <c r="L1" s="541"/>
    </row>
    <row r="2" spans="1:20" s="191" customFormat="1" ht="30.75" customHeight="1" thickBot="1" x14ac:dyDescent="0.25">
      <c r="A2" s="384">
        <v>42795</v>
      </c>
      <c r="B2" s="451" t="s">
        <v>195</v>
      </c>
      <c r="C2" s="8" t="s">
        <v>82</v>
      </c>
      <c r="D2" s="8" t="s">
        <v>83</v>
      </c>
      <c r="E2" s="199"/>
      <c r="F2" s="180" t="s">
        <v>84</v>
      </c>
      <c r="G2" s="180" t="s">
        <v>196</v>
      </c>
      <c r="H2" s="180" t="s">
        <v>167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221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[3]DHL!$FB$4</f>
        <v>22</v>
      </c>
      <c r="C4" s="161">
        <f>[3]FedEx!$FB$4+[3]FedEx!$FB$15</f>
        <v>99</v>
      </c>
      <c r="D4" s="161">
        <f>[3]UPS!$FB$4+[3]UPS!$FB$15</f>
        <v>120</v>
      </c>
      <c r="E4" s="192"/>
      <c r="F4" s="118">
        <f>[3]ATI_BAX!$FB$4</f>
        <v>0</v>
      </c>
      <c r="G4" s="161">
        <f>[3]IFL!$FB$4+[3]IFL!$FB$15</f>
        <v>36</v>
      </c>
      <c r="H4" s="118">
        <f>'[3]Suburban Air Freight'!$FB$15</f>
        <v>23</v>
      </c>
      <c r="I4" s="118">
        <f>[3]Bemidji!$FB$4</f>
        <v>283</v>
      </c>
      <c r="J4" s="118">
        <f>'[3]CSA Air'!$FB$4</f>
        <v>24</v>
      </c>
      <c r="K4" s="118">
        <f>'[3]Mountain Cargo'!$FB$4</f>
        <v>23</v>
      </c>
      <c r="L4" s="118">
        <f>'[3]Misc Cargo'!$FB$4</f>
        <v>23</v>
      </c>
      <c r="M4" s="204">
        <f>SUM(B4:L4)</f>
        <v>653</v>
      </c>
    </row>
    <row r="5" spans="1:20" x14ac:dyDescent="0.2">
      <c r="A5" s="53" t="s">
        <v>54</v>
      </c>
      <c r="B5" s="198">
        <f>[3]DHL!$FB$5</f>
        <v>22</v>
      </c>
      <c r="C5" s="198">
        <f>[3]FedEx!$FB$5</f>
        <v>99</v>
      </c>
      <c r="D5" s="198">
        <f>[3]UPS!$FB$5+[3]UPS!$FB$16</f>
        <v>120</v>
      </c>
      <c r="E5" s="192"/>
      <c r="F5" s="120">
        <f>[3]ATI_BAX!$FB$5</f>
        <v>0</v>
      </c>
      <c r="G5" s="198">
        <f>[3]IFL!$FB$5</f>
        <v>36</v>
      </c>
      <c r="H5" s="120">
        <f>'[3]Suburban Air Freight'!$FB$16</f>
        <v>23</v>
      </c>
      <c r="I5" s="120">
        <f>[3]Bemidji!$FB$5</f>
        <v>283</v>
      </c>
      <c r="J5" s="120">
        <f>'[3]CSA Air'!$FB$5</f>
        <v>24</v>
      </c>
      <c r="K5" s="120">
        <f>'[3]Mountain Cargo'!$FB$5</f>
        <v>23</v>
      </c>
      <c r="L5" s="120">
        <f>'[3]Misc Cargo'!$FB$5</f>
        <v>23</v>
      </c>
      <c r="M5" s="208">
        <f>SUM(B5:L5)</f>
        <v>653</v>
      </c>
    </row>
    <row r="6" spans="1:20" s="189" customFormat="1" x14ac:dyDescent="0.2">
      <c r="A6" s="205" t="s">
        <v>55</v>
      </c>
      <c r="B6" s="206">
        <f>SUM(B4:B5)</f>
        <v>44</v>
      </c>
      <c r="C6" s="206">
        <f>SUM(C4:C5)</f>
        <v>198</v>
      </c>
      <c r="D6" s="206">
        <f>SUM(D4:D5)</f>
        <v>240</v>
      </c>
      <c r="E6" s="193"/>
      <c r="F6" s="188">
        <f t="shared" ref="F6:L6" si="0">SUM(F4:F5)</f>
        <v>0</v>
      </c>
      <c r="G6" s="206">
        <f>SUM(G4:G5)</f>
        <v>72</v>
      </c>
      <c r="H6" s="188">
        <f t="shared" si="0"/>
        <v>46</v>
      </c>
      <c r="I6" s="188">
        <f t="shared" si="0"/>
        <v>566</v>
      </c>
      <c r="J6" s="188">
        <f t="shared" si="0"/>
        <v>48</v>
      </c>
      <c r="K6" s="188">
        <f t="shared" si="0"/>
        <v>46</v>
      </c>
      <c r="L6" s="188">
        <f t="shared" si="0"/>
        <v>46</v>
      </c>
      <c r="M6" s="207">
        <f>SUM(B6:L6)</f>
        <v>1306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Cargo'!$FB$8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Cargo'!$FB$9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44</v>
      </c>
      <c r="C12" s="210">
        <f>C6+C10</f>
        <v>198</v>
      </c>
      <c r="D12" s="210">
        <f>D6+D10</f>
        <v>240</v>
      </c>
      <c r="E12" s="211"/>
      <c r="F12" s="212">
        <f t="shared" ref="F12:L12" si="2">F6+F10</f>
        <v>0</v>
      </c>
      <c r="G12" s="210">
        <f>G6+G10</f>
        <v>72</v>
      </c>
      <c r="H12" s="212">
        <f t="shared" si="2"/>
        <v>46</v>
      </c>
      <c r="I12" s="212">
        <f t="shared" si="2"/>
        <v>566</v>
      </c>
      <c r="J12" s="212">
        <f t="shared" si="2"/>
        <v>48</v>
      </c>
      <c r="K12" s="212">
        <f t="shared" si="2"/>
        <v>46</v>
      </c>
      <c r="L12" s="212">
        <f t="shared" si="2"/>
        <v>46</v>
      </c>
      <c r="M12" s="213">
        <f>SUM(B12:L12)</f>
        <v>1306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[3]DHL!$FB$47</f>
        <v>807029</v>
      </c>
      <c r="C16" s="161">
        <f>[3]FedEx!$FB$47</f>
        <v>9419141</v>
      </c>
      <c r="D16" s="161">
        <f>[3]UPS!$FB$47</f>
        <v>5742027</v>
      </c>
      <c r="E16" s="192"/>
      <c r="F16" s="118">
        <f>[3]ATI_BAX!$FB$47</f>
        <v>0</v>
      </c>
      <c r="G16" s="161">
        <f>[3]IFL!$FB$47</f>
        <v>47085</v>
      </c>
      <c r="H16" s="118">
        <f>'[3]Suburban Air Freight'!$FB$47</f>
        <v>24989</v>
      </c>
      <c r="I16" s="535" t="s">
        <v>88</v>
      </c>
      <c r="J16" s="118">
        <f>'[3]CSA Air'!$FB$47</f>
        <v>34294</v>
      </c>
      <c r="K16" s="118">
        <f>'[3]Mountain Cargo'!$FB$47</f>
        <v>48251</v>
      </c>
      <c r="L16" s="118">
        <f>'[3]Misc Cargo'!$FB$47</f>
        <v>56077</v>
      </c>
      <c r="M16" s="204">
        <f>SUM(B16:H16)+SUM(J16:L16)</f>
        <v>16178893</v>
      </c>
    </row>
    <row r="17" spans="1:14" x14ac:dyDescent="0.2">
      <c r="A17" s="53" t="s">
        <v>38</v>
      </c>
      <c r="B17" s="161">
        <f>[3]DHL!$FB$48</f>
        <v>0</v>
      </c>
      <c r="C17" s="161">
        <f>[3]FedEx!$FB$48</f>
        <v>0</v>
      </c>
      <c r="D17" s="161">
        <f>[3]UPS!$FB$48</f>
        <v>899</v>
      </c>
      <c r="E17" s="192"/>
      <c r="F17" s="118">
        <f>[3]ATI_BAX!$FB$48</f>
        <v>0</v>
      </c>
      <c r="G17" s="161">
        <f>[3]IFL!$FB$48</f>
        <v>0</v>
      </c>
      <c r="H17" s="118">
        <f>'[3]Suburban Air Freight'!$FB$48</f>
        <v>0</v>
      </c>
      <c r="I17" s="536"/>
      <c r="J17" s="118">
        <f>'[3]CSA Air'!$FB$48</f>
        <v>0</v>
      </c>
      <c r="K17" s="118">
        <f>'[3]Mountain Cargo'!$FB$48</f>
        <v>0</v>
      </c>
      <c r="L17" s="118">
        <f>'[3]Misc Cargo'!$FB$48</f>
        <v>0</v>
      </c>
      <c r="M17" s="204">
        <f>SUM(B17:H17)+SUM(J17:L17)</f>
        <v>899</v>
      </c>
    </row>
    <row r="18" spans="1:14" ht="18" customHeight="1" x14ac:dyDescent="0.2">
      <c r="A18" s="219" t="s">
        <v>39</v>
      </c>
      <c r="B18" s="302">
        <f>SUM(B16:B17)</f>
        <v>807029</v>
      </c>
      <c r="C18" s="302">
        <f>SUM(C16:C17)</f>
        <v>9419141</v>
      </c>
      <c r="D18" s="302">
        <f>SUM(D16:D17)</f>
        <v>5742926</v>
      </c>
      <c r="E18" s="197"/>
      <c r="F18" s="303">
        <f>SUM(F16:F17)</f>
        <v>0</v>
      </c>
      <c r="G18" s="302">
        <f>SUM(G16:G17)</f>
        <v>47085</v>
      </c>
      <c r="H18" s="303">
        <f>SUM(H16:H17)</f>
        <v>24989</v>
      </c>
      <c r="I18" s="536"/>
      <c r="J18" s="303">
        <f>SUM(J16:J17)</f>
        <v>34294</v>
      </c>
      <c r="K18" s="303">
        <f>SUM(K16:K17)</f>
        <v>48251</v>
      </c>
      <c r="L18" s="303">
        <f>SUM(L16:L17)</f>
        <v>56077</v>
      </c>
      <c r="M18" s="220">
        <f>SUM(B18:H18)+SUM(J18:L18)</f>
        <v>16179792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6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6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[3]DHL!$FB$52</f>
        <v>539325</v>
      </c>
      <c r="C21" s="161">
        <f>[3]FedEx!$FB$52</f>
        <v>8916664</v>
      </c>
      <c r="D21" s="161">
        <f>[3]UPS!$FB$52</f>
        <v>5201531</v>
      </c>
      <c r="E21" s="192"/>
      <c r="F21" s="118">
        <f>[3]ATI_BAX!$FB$52</f>
        <v>0</v>
      </c>
      <c r="G21" s="161">
        <f>[3]IFL!$FB$52</f>
        <v>48468</v>
      </c>
      <c r="H21" s="118">
        <f>'[3]Suburban Air Freight'!$FB$52</f>
        <v>81267</v>
      </c>
      <c r="I21" s="536"/>
      <c r="J21" s="118">
        <f>'[3]CSA Air'!$FB$52</f>
        <v>35951</v>
      </c>
      <c r="K21" s="118">
        <f>'[3]Mountain Cargo'!$FB$52</f>
        <v>159790</v>
      </c>
      <c r="L21" s="118">
        <f>'[3]Misc Cargo'!$FB$52</f>
        <v>49543</v>
      </c>
      <c r="M21" s="204">
        <f>SUM(B21:H21)+SUM(J21:L21)</f>
        <v>15032539</v>
      </c>
    </row>
    <row r="22" spans="1:14" x14ac:dyDescent="0.2">
      <c r="A22" s="53" t="s">
        <v>60</v>
      </c>
      <c r="B22" s="161">
        <f>[3]DHL!$FB$53</f>
        <v>0</v>
      </c>
      <c r="C22" s="161">
        <f>[3]FedEx!$FB$53</f>
        <v>0</v>
      </c>
      <c r="D22" s="161">
        <f>[3]UPS!$FB$53</f>
        <v>639145</v>
      </c>
      <c r="E22" s="192"/>
      <c r="F22" s="118">
        <f>[3]ATI_BAX!$FB$53</f>
        <v>0</v>
      </c>
      <c r="G22" s="161">
        <f>[3]IFL!$FB$53</f>
        <v>0</v>
      </c>
      <c r="H22" s="118">
        <f>'[3]Suburban Air Freight'!$FB$53</f>
        <v>0</v>
      </c>
      <c r="I22" s="536"/>
      <c r="J22" s="118">
        <f>'[3]CSA Air'!$FB$53</f>
        <v>0</v>
      </c>
      <c r="K22" s="118">
        <f>'[3]Mountain Cargo'!$FB$53</f>
        <v>0</v>
      </c>
      <c r="L22" s="118">
        <f>'[3]Misc Cargo'!$FB$53</f>
        <v>0</v>
      </c>
      <c r="M22" s="204">
        <f>SUM(B22:H22)+SUM(J22:L22)</f>
        <v>639145</v>
      </c>
    </row>
    <row r="23" spans="1:14" ht="18" customHeight="1" x14ac:dyDescent="0.2">
      <c r="A23" s="219" t="s">
        <v>41</v>
      </c>
      <c r="B23" s="302">
        <f>SUM(B21:B22)</f>
        <v>539325</v>
      </c>
      <c r="C23" s="302">
        <f>SUM(C21:C22)</f>
        <v>8916664</v>
      </c>
      <c r="D23" s="302">
        <f>SUM(D21:D22)</f>
        <v>5840676</v>
      </c>
      <c r="E23" s="197"/>
      <c r="F23" s="303">
        <f>SUM(F21:F22)</f>
        <v>0</v>
      </c>
      <c r="G23" s="302">
        <f>SUM(G21:G22)</f>
        <v>48468</v>
      </c>
      <c r="H23" s="303">
        <f>SUM(H21:H22)</f>
        <v>81267</v>
      </c>
      <c r="I23" s="536"/>
      <c r="J23" s="303">
        <f>SUM(J21:J22)</f>
        <v>35951</v>
      </c>
      <c r="K23" s="303">
        <f>SUM(K21:K22)</f>
        <v>159790</v>
      </c>
      <c r="L23" s="303">
        <f>SUM(L21:L22)</f>
        <v>49543</v>
      </c>
      <c r="M23" s="220">
        <f>SUM(B23:H23)+SUM(J23:L23)</f>
        <v>15671684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6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6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[3]DHL!$FB$57</f>
        <v>0</v>
      </c>
      <c r="C26" s="161">
        <f>[3]FedEx!$FB$57</f>
        <v>0</v>
      </c>
      <c r="D26" s="161">
        <f>[3]UPS!$FB$57</f>
        <v>0</v>
      </c>
      <c r="E26" s="192"/>
      <c r="F26" s="118">
        <f>[3]ATI_BAX!$FB$57</f>
        <v>0</v>
      </c>
      <c r="G26" s="161">
        <f>[3]IFL!$FB$57</f>
        <v>0</v>
      </c>
      <c r="H26" s="118">
        <f>'[3]Suburban Air Freight'!$FB$57</f>
        <v>0</v>
      </c>
      <c r="I26" s="536"/>
      <c r="J26" s="118">
        <f>'[3]CSA Air'!$FB$57</f>
        <v>0</v>
      </c>
      <c r="K26" s="118">
        <f>'[3]Mountain Cargo'!$FB$57</f>
        <v>0</v>
      </c>
      <c r="L26" s="118">
        <f>'[3]Misc Cargo'!$FB$57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[3]DHL!$FB$58</f>
        <v>0</v>
      </c>
      <c r="C27" s="161">
        <f>[3]FedEx!$FB$58</f>
        <v>0</v>
      </c>
      <c r="D27" s="161">
        <f>[3]UPS!$FB$58</f>
        <v>0</v>
      </c>
      <c r="E27" s="192"/>
      <c r="F27" s="118">
        <f>[3]ATI_BAX!$FB$58</f>
        <v>0</v>
      </c>
      <c r="G27" s="161">
        <f>[3]IFL!$FB$58</f>
        <v>0</v>
      </c>
      <c r="H27" s="118">
        <f>'[3]Suburban Air Freight'!$FB$58</f>
        <v>0</v>
      </c>
      <c r="I27" s="536"/>
      <c r="J27" s="118">
        <f>'[3]CSA Air'!$FB$58</f>
        <v>0</v>
      </c>
      <c r="K27" s="118">
        <f>'[3]Mountain Cargo'!$FB$58</f>
        <v>0</v>
      </c>
      <c r="L27" s="118">
        <f>'[3]Misc Cargo'!$FB$58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6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6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6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1346354</v>
      </c>
      <c r="C31" s="161">
        <f t="shared" si="3"/>
        <v>18335805</v>
      </c>
      <c r="D31" s="161">
        <f t="shared" si="3"/>
        <v>10943558</v>
      </c>
      <c r="E31" s="192"/>
      <c r="F31" s="118">
        <f t="shared" ref="F31:H33" si="4">F26+F21+F16</f>
        <v>0</v>
      </c>
      <c r="G31" s="161">
        <f t="shared" si="4"/>
        <v>95553</v>
      </c>
      <c r="H31" s="118">
        <f t="shared" si="4"/>
        <v>106256</v>
      </c>
      <c r="I31" s="536"/>
      <c r="J31" s="118">
        <f t="shared" ref="J31:L33" si="5">J26+J21+J16</f>
        <v>70245</v>
      </c>
      <c r="K31" s="118">
        <f t="shared" si="5"/>
        <v>208041</v>
      </c>
      <c r="L31" s="118">
        <f>L26+L21+L16</f>
        <v>105620</v>
      </c>
      <c r="M31" s="204">
        <f>SUM(B31:H31)+SUM(J31:L31)</f>
        <v>31211432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640044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7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640044</v>
      </c>
    </row>
    <row r="33" spans="1:13" ht="18" customHeight="1" thickBot="1" x14ac:dyDescent="0.25">
      <c r="A33" s="209" t="s">
        <v>46</v>
      </c>
      <c r="B33" s="210">
        <f t="shared" si="3"/>
        <v>1346354</v>
      </c>
      <c r="C33" s="210">
        <f t="shared" si="3"/>
        <v>18335805</v>
      </c>
      <c r="D33" s="210">
        <f t="shared" si="3"/>
        <v>11583602</v>
      </c>
      <c r="E33" s="223"/>
      <c r="F33" s="212">
        <f t="shared" si="4"/>
        <v>0</v>
      </c>
      <c r="G33" s="210">
        <f t="shared" si="4"/>
        <v>95553</v>
      </c>
      <c r="H33" s="212">
        <f t="shared" si="4"/>
        <v>106256</v>
      </c>
      <c r="I33" s="304">
        <f>I28+I23+I18</f>
        <v>0</v>
      </c>
      <c r="J33" s="212">
        <f t="shared" si="5"/>
        <v>70245</v>
      </c>
      <c r="K33" s="212">
        <f t="shared" si="5"/>
        <v>208041</v>
      </c>
      <c r="L33" s="212">
        <f t="shared" si="5"/>
        <v>105620</v>
      </c>
      <c r="M33" s="213">
        <f>SUM(B33:H33)+SUM(J33:L33)</f>
        <v>31851476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March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28" sqref="I2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4">
        <v>42795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201</v>
      </c>
      <c r="G2" s="78" t="s">
        <v>175</v>
      </c>
      <c r="H2" s="79" t="s">
        <v>66</v>
      </c>
      <c r="I2" s="80" t="s">
        <v>198</v>
      </c>
      <c r="J2" s="80" t="s">
        <v>173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5178272</v>
      </c>
      <c r="C5" s="118">
        <f>'Regional Major'!M25</f>
        <v>1602</v>
      </c>
      <c r="D5" s="118">
        <f>Cargo!M16</f>
        <v>16178893</v>
      </c>
      <c r="E5" s="118">
        <f>SUM(B5:D5)</f>
        <v>21358767</v>
      </c>
      <c r="F5" s="118">
        <f>E5*0.00045359237</f>
        <v>9688.1737438077889</v>
      </c>
      <c r="G5" s="146">
        <f>'[1]Cargo Summary'!F5</f>
        <v>7837.2079778038196</v>
      </c>
      <c r="H5" s="98">
        <f>(F5-G5)/G5</f>
        <v>0.23617668068095035</v>
      </c>
      <c r="I5" s="146">
        <f>+F5+'[2]Cargo Summary'!I5</f>
        <v>25448.205712845302</v>
      </c>
      <c r="J5" s="146">
        <f>'[1]Cargo Summary'!I5</f>
        <v>19290.60537550685</v>
      </c>
      <c r="K5" s="85">
        <f>(I5-J5)/J5</f>
        <v>0.31920202696991123</v>
      </c>
      <c r="M5" s="35"/>
    </row>
    <row r="6" spans="1:18" x14ac:dyDescent="0.2">
      <c r="A6" s="62" t="s">
        <v>16</v>
      </c>
      <c r="B6" s="169">
        <f>'Major Airline Stats'!J29</f>
        <v>1606387</v>
      </c>
      <c r="C6" s="118">
        <f>'Regional Major'!M26</f>
        <v>4451</v>
      </c>
      <c r="D6" s="118">
        <f>Cargo!M17</f>
        <v>899</v>
      </c>
      <c r="E6" s="118">
        <f>SUM(B6:D6)</f>
        <v>1611737</v>
      </c>
      <c r="F6" s="118">
        <f>E6*0.00045359237</f>
        <v>731.07160564668993</v>
      </c>
      <c r="G6" s="146">
        <f>'[1]Cargo Summary'!F6</f>
        <v>313.24161294366399</v>
      </c>
      <c r="H6" s="37">
        <f>(F6-G6)/G6</f>
        <v>1.3338904393209468</v>
      </c>
      <c r="I6" s="146">
        <f>+F6+'[2]Cargo Summary'!I6</f>
        <v>2237.7036101820399</v>
      </c>
      <c r="J6" s="146">
        <f>'[1]Cargo Summary'!I6</f>
        <v>1463.8394408262441</v>
      </c>
      <c r="K6" s="85">
        <f>(I6-J6)/J6</f>
        <v>0.52865372237750263</v>
      </c>
      <c r="M6" s="35"/>
    </row>
    <row r="7" spans="1:18" ht="18" customHeight="1" thickBot="1" x14ac:dyDescent="0.25">
      <c r="A7" s="73" t="s">
        <v>72</v>
      </c>
      <c r="B7" s="171">
        <f>SUM(B5:B6)</f>
        <v>6784659</v>
      </c>
      <c r="C7" s="133">
        <f t="shared" ref="C7:J7" si="0">SUM(C5:C6)</f>
        <v>6053</v>
      </c>
      <c r="D7" s="133">
        <f t="shared" si="0"/>
        <v>16179792</v>
      </c>
      <c r="E7" s="133">
        <f t="shared" si="0"/>
        <v>22970504</v>
      </c>
      <c r="F7" s="133">
        <f t="shared" si="0"/>
        <v>10419.245349454479</v>
      </c>
      <c r="G7" s="133">
        <f t="shared" si="0"/>
        <v>8150.4495907474839</v>
      </c>
      <c r="H7" s="44">
        <f>(F7-G7)/G7</f>
        <v>0.27836449185362327</v>
      </c>
      <c r="I7" s="133">
        <f t="shared" si="0"/>
        <v>27685.909323027343</v>
      </c>
      <c r="J7" s="133">
        <f t="shared" si="0"/>
        <v>20754.444816333093</v>
      </c>
      <c r="K7" s="318">
        <f>(I7-J7)/J7</f>
        <v>0.33397494214055806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3062412</v>
      </c>
      <c r="C10" s="118">
        <f>'Regional Major'!M30</f>
        <v>168</v>
      </c>
      <c r="D10" s="118">
        <f>Cargo!M21</f>
        <v>15032539</v>
      </c>
      <c r="E10" s="118">
        <f>SUM(B10:D10)</f>
        <v>18095119</v>
      </c>
      <c r="F10" s="118">
        <f>E10*0.00045359237</f>
        <v>8207.8079126420289</v>
      </c>
      <c r="G10" s="146">
        <f>'[1]Cargo Summary'!F10</f>
        <v>8092.6575928167194</v>
      </c>
      <c r="H10" s="37">
        <f>(F10-G10)/G10</f>
        <v>1.4228987017505875E-2</v>
      </c>
      <c r="I10" s="146">
        <f>+F10+'[2]Cargo Summary'!I10</f>
        <v>22415.2058997559</v>
      </c>
      <c r="J10" s="146">
        <f>'[1]Cargo Summary'!I10</f>
        <v>22523.936526768597</v>
      </c>
      <c r="K10" s="85">
        <f>(I10-J10)/J10</f>
        <v>-4.8273367705274932E-3</v>
      </c>
      <c r="M10" s="35"/>
    </row>
    <row r="11" spans="1:18" x14ac:dyDescent="0.2">
      <c r="A11" s="62" t="s">
        <v>16</v>
      </c>
      <c r="B11" s="169">
        <f>'Major Airline Stats'!J34</f>
        <v>2189167</v>
      </c>
      <c r="C11" s="118">
        <f>'Regional Major'!M31</f>
        <v>0</v>
      </c>
      <c r="D11" s="118">
        <f>Cargo!M22</f>
        <v>639145</v>
      </c>
      <c r="E11" s="118">
        <f>SUM(B11:D11)</f>
        <v>2828312</v>
      </c>
      <c r="F11" s="118">
        <f>E11*0.00045359237</f>
        <v>1282.90074317944</v>
      </c>
      <c r="G11" s="146">
        <f>'[1]Cargo Summary'!F11</f>
        <v>655.79160155200998</v>
      </c>
      <c r="H11" s="35">
        <f>(F11-G11)/G11</f>
        <v>0.95626284347542811</v>
      </c>
      <c r="I11" s="146">
        <f>+F11+'[2]Cargo Summary'!I11</f>
        <v>2987.0713176650497</v>
      </c>
      <c r="J11" s="146">
        <f>'[1]Cargo Summary'!I11</f>
        <v>1597.3817764088799</v>
      </c>
      <c r="K11" s="85">
        <f>(I11-J11)/J11</f>
        <v>0.86997958896236505</v>
      </c>
      <c r="M11" s="35"/>
    </row>
    <row r="12" spans="1:18" ht="18" customHeight="1" thickBot="1" x14ac:dyDescent="0.25">
      <c r="A12" s="73" t="s">
        <v>73</v>
      </c>
      <c r="B12" s="171">
        <f>SUM(B10:B11)</f>
        <v>5251579</v>
      </c>
      <c r="C12" s="133">
        <f t="shared" ref="C12:J12" si="1">SUM(C10:C11)</f>
        <v>168</v>
      </c>
      <c r="D12" s="133">
        <f t="shared" si="1"/>
        <v>15671684</v>
      </c>
      <c r="E12" s="133">
        <f t="shared" si="1"/>
        <v>20923431</v>
      </c>
      <c r="F12" s="133">
        <f t="shared" si="1"/>
        <v>9490.7086558214687</v>
      </c>
      <c r="G12" s="133">
        <f t="shared" si="1"/>
        <v>8748.4491943687299</v>
      </c>
      <c r="H12" s="44">
        <f>(F12-G12)/G12</f>
        <v>8.4844690180120405E-2</v>
      </c>
      <c r="I12" s="133">
        <f t="shared" si="1"/>
        <v>25402.277217420949</v>
      </c>
      <c r="J12" s="133">
        <f t="shared" si="1"/>
        <v>24121.318303177475</v>
      </c>
      <c r="K12" s="318">
        <f>(I12-J12)/J12</f>
        <v>5.3104846847227868E-2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9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8240684</v>
      </c>
      <c r="C20" s="118">
        <f t="shared" si="3"/>
        <v>1770</v>
      </c>
      <c r="D20" s="118">
        <f t="shared" si="3"/>
        <v>31211432</v>
      </c>
      <c r="E20" s="118">
        <f>SUM(B20:D20)</f>
        <v>39453886</v>
      </c>
      <c r="F20" s="118">
        <f>E20*0.00045359237</f>
        <v>17895.981656449818</v>
      </c>
      <c r="G20" s="146">
        <f>'[1]Cargo Summary'!F20</f>
        <v>15929.865570620539</v>
      </c>
      <c r="H20" s="37">
        <f>(F20-G20)/G20</f>
        <v>0.12342326914894924</v>
      </c>
      <c r="I20" s="146">
        <f>+F20+'[2]Cargo Summary'!I20</f>
        <v>47863.411612601194</v>
      </c>
      <c r="J20" s="146">
        <f>+J5+J10+J15</f>
        <v>41814.54190227545</v>
      </c>
      <c r="K20" s="85">
        <f>(I20-J20)/J20</f>
        <v>0.14465947575038668</v>
      </c>
      <c r="M20" s="35"/>
    </row>
    <row r="21" spans="1:13" x14ac:dyDescent="0.2">
      <c r="A21" s="62" t="s">
        <v>16</v>
      </c>
      <c r="B21" s="169">
        <f t="shared" si="3"/>
        <v>3795554</v>
      </c>
      <c r="C21" s="120">
        <f t="shared" si="3"/>
        <v>4451</v>
      </c>
      <c r="D21" s="120">
        <f t="shared" si="3"/>
        <v>640044</v>
      </c>
      <c r="E21" s="118">
        <f>SUM(B21:D21)</f>
        <v>4440049</v>
      </c>
      <c r="F21" s="118">
        <f>E21*0.00045359237</f>
        <v>2013.97234882613</v>
      </c>
      <c r="G21" s="146">
        <f>'[1]Cargo Summary'!F21</f>
        <v>969.03321449567409</v>
      </c>
      <c r="H21" s="37">
        <f>(F21-G21)/G21</f>
        <v>1.0783315976163794</v>
      </c>
      <c r="I21" s="146">
        <f>+F21+'[2]Cargo Summary'!I21</f>
        <v>5224.7749278470901</v>
      </c>
      <c r="J21" s="146">
        <f>+J6+J11+J16</f>
        <v>3061.2212172351237</v>
      </c>
      <c r="K21" s="85">
        <f>(I21-J21)/J21</f>
        <v>0.70676163435391148</v>
      </c>
      <c r="M21" s="35"/>
    </row>
    <row r="22" spans="1:13" ht="18" customHeight="1" thickBot="1" x14ac:dyDescent="0.25">
      <c r="A22" s="88" t="s">
        <v>62</v>
      </c>
      <c r="B22" s="172">
        <f>SUM(B20:B21)</f>
        <v>12036238</v>
      </c>
      <c r="C22" s="173">
        <f t="shared" ref="C22:J22" si="4">SUM(C20:C21)</f>
        <v>6221</v>
      </c>
      <c r="D22" s="173">
        <f t="shared" si="4"/>
        <v>31851476</v>
      </c>
      <c r="E22" s="173">
        <f t="shared" si="4"/>
        <v>43893935</v>
      </c>
      <c r="F22" s="173">
        <f t="shared" si="4"/>
        <v>19909.954005275948</v>
      </c>
      <c r="G22" s="173">
        <f t="shared" si="4"/>
        <v>16898.898785116213</v>
      </c>
      <c r="H22" s="324">
        <f>(F22-G22)/G22</f>
        <v>0.17818055829837481</v>
      </c>
      <c r="I22" s="173">
        <f t="shared" si="4"/>
        <v>53088.186540448281</v>
      </c>
      <c r="J22" s="173">
        <f t="shared" si="4"/>
        <v>44875.763119510571</v>
      </c>
      <c r="K22" s="325">
        <f>(I22-J22)/J22</f>
        <v>0.18300353799147331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R5" sqref="R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8" t="s">
        <v>219</v>
      </c>
      <c r="B2" s="549"/>
      <c r="C2" s="476" t="s">
        <v>202</v>
      </c>
      <c r="D2" s="478" t="s">
        <v>176</v>
      </c>
      <c r="E2" s="479" t="s">
        <v>98</v>
      </c>
      <c r="F2" s="480" t="s">
        <v>203</v>
      </c>
      <c r="G2" s="478" t="s">
        <v>177</v>
      </c>
      <c r="H2" s="477" t="s">
        <v>99</v>
      </c>
      <c r="I2" s="479" t="s">
        <v>140</v>
      </c>
      <c r="J2" s="548" t="s">
        <v>212</v>
      </c>
      <c r="K2" s="549"/>
      <c r="L2" s="476" t="s">
        <v>204</v>
      </c>
      <c r="M2" s="478" t="s">
        <v>178</v>
      </c>
      <c r="N2" s="481" t="s">
        <v>99</v>
      </c>
      <c r="O2" s="482" t="s">
        <v>205</v>
      </c>
      <c r="P2" s="482" t="s">
        <v>179</v>
      </c>
      <c r="Q2" s="515" t="s">
        <v>99</v>
      </c>
      <c r="R2" s="479" t="s">
        <v>218</v>
      </c>
    </row>
    <row r="3" spans="1:19" s="224" customFormat="1" ht="13.5" customHeight="1" thickBot="1" x14ac:dyDescent="0.25">
      <c r="A3" s="550">
        <v>42795</v>
      </c>
      <c r="B3" s="551"/>
      <c r="C3" s="552" t="s">
        <v>9</v>
      </c>
      <c r="D3" s="553"/>
      <c r="E3" s="553"/>
      <c r="F3" s="553"/>
      <c r="G3" s="553"/>
      <c r="H3" s="554"/>
      <c r="I3" s="483"/>
      <c r="J3" s="550">
        <v>42795</v>
      </c>
      <c r="K3" s="551"/>
      <c r="L3" s="542" t="s">
        <v>213</v>
      </c>
      <c r="M3" s="543"/>
      <c r="N3" s="543"/>
      <c r="O3" s="543"/>
      <c r="P3" s="543"/>
      <c r="Q3" s="543"/>
      <c r="R3" s="544"/>
    </row>
    <row r="4" spans="1:19" x14ac:dyDescent="0.2">
      <c r="A4" s="346"/>
      <c r="B4" s="347"/>
      <c r="C4" s="348"/>
      <c r="D4" s="349"/>
      <c r="E4" s="350"/>
      <c r="F4" s="484"/>
      <c r="G4" s="418"/>
      <c r="H4" s="501"/>
      <c r="I4" s="350"/>
      <c r="J4" s="351"/>
      <c r="K4" s="347"/>
      <c r="L4" s="510"/>
      <c r="M4" s="5"/>
      <c r="N4" s="85"/>
      <c r="O4" s="53"/>
      <c r="P4" s="11"/>
      <c r="Q4" s="11"/>
      <c r="R4" s="55"/>
    </row>
    <row r="5" spans="1:19" ht="14.1" customHeight="1" x14ac:dyDescent="0.2">
      <c r="A5" s="353" t="s">
        <v>214</v>
      </c>
      <c r="B5" s="55"/>
      <c r="C5" s="354">
        <f>+[3]DHL!$FB$12</f>
        <v>44</v>
      </c>
      <c r="D5" s="356">
        <f>+[3]DHL!$EN$12</f>
        <v>46</v>
      </c>
      <c r="E5" s="357">
        <f>(C5-D5)/D5</f>
        <v>-4.3478260869565216E-2</v>
      </c>
      <c r="F5" s="354">
        <f>SUM([3]DHL!$EZ$12:$FB$12)</f>
        <v>128</v>
      </c>
      <c r="G5" s="356">
        <f>+SUM([3]DHL!$EL$12:$EN$12)</f>
        <v>130</v>
      </c>
      <c r="H5" s="355">
        <f>(F5-G5)/G5</f>
        <v>-1.5384615384615385E-2</v>
      </c>
      <c r="I5" s="357">
        <f>+F5/$F$24</f>
        <v>3.7680306152487492E-2</v>
      </c>
      <c r="J5" s="353" t="s">
        <v>214</v>
      </c>
      <c r="K5" s="55"/>
      <c r="L5" s="354">
        <f>+[3]DHL!$FB$64</f>
        <v>1346354</v>
      </c>
      <c r="M5" s="356">
        <f>+[3]DHL!$EN$64</f>
        <v>1166815</v>
      </c>
      <c r="N5" s="357">
        <f>(L5-M5)/M5</f>
        <v>0.15387100782900459</v>
      </c>
      <c r="O5" s="354">
        <f>SUM([3]DHL!$EZ$64:$FB$64)</f>
        <v>3507409</v>
      </c>
      <c r="P5" s="356">
        <f>+SUM([3]DHL!$EL$64:$EN$64)</f>
        <v>3205589</v>
      </c>
      <c r="Q5" s="355">
        <f>(O5-P5)/P5</f>
        <v>9.4154303624076577E-2</v>
      </c>
      <c r="R5" s="357">
        <f>O5/$O$24</f>
        <v>4.1617999338651179E-2</v>
      </c>
      <c r="S5" s="20"/>
    </row>
    <row r="6" spans="1:19" ht="14.1" customHeight="1" x14ac:dyDescent="0.2">
      <c r="A6" s="353"/>
      <c r="B6" s="368"/>
      <c r="C6" s="354"/>
      <c r="D6" s="356"/>
      <c r="E6" s="357"/>
      <c r="F6" s="354"/>
      <c r="G6" s="356"/>
      <c r="H6" s="355"/>
      <c r="I6" s="357"/>
      <c r="J6" s="353"/>
      <c r="K6" s="55"/>
      <c r="L6" s="358"/>
      <c r="M6" s="9"/>
      <c r="N6" s="86"/>
      <c r="O6" s="354"/>
      <c r="P6" s="356"/>
      <c r="Q6" s="39"/>
      <c r="R6" s="86"/>
      <c r="S6" s="20"/>
    </row>
    <row r="7" spans="1:19" ht="14.1" customHeight="1" x14ac:dyDescent="0.2">
      <c r="A7" s="353" t="s">
        <v>215</v>
      </c>
      <c r="B7" s="368"/>
      <c r="C7" s="354">
        <f>+[3]FedEx!$FB$12</f>
        <v>198</v>
      </c>
      <c r="D7" s="356">
        <f>+[3]FedEx!$EN$12</f>
        <v>186</v>
      </c>
      <c r="E7" s="357">
        <f>(C7-D7)/D7</f>
        <v>6.4516129032258063E-2</v>
      </c>
      <c r="F7" s="354">
        <f>SUM([3]FedEx!$EZ$12:$FB$12)</f>
        <v>542</v>
      </c>
      <c r="G7" s="356">
        <f>+SUM([3]FedEx!$EL$12:$EN$12)</f>
        <v>512</v>
      </c>
      <c r="H7" s="355">
        <f t="shared" ref="H7" si="0">(F7-G7)/G7</f>
        <v>5.859375E-2</v>
      </c>
      <c r="I7" s="357">
        <f>+F7/$F$24</f>
        <v>0.15955254636443922</v>
      </c>
      <c r="J7" s="353" t="s">
        <v>215</v>
      </c>
      <c r="K7" s="55"/>
      <c r="L7" s="354">
        <f>+[3]FedEx!$FB$64</f>
        <v>18335805</v>
      </c>
      <c r="M7" s="356">
        <f>+[3]FedEx!$EN$64</f>
        <v>17008175</v>
      </c>
      <c r="N7" s="357">
        <f>(L7-M7)/M7</f>
        <v>7.8058345472103857E-2</v>
      </c>
      <c r="O7" s="354">
        <f>SUM([3]FedEx!$EZ$64:$FB$64)</f>
        <v>49893249</v>
      </c>
      <c r="P7" s="356">
        <f>+SUM([3]FedEx!$EL$64:$EN$64)</f>
        <v>44207781</v>
      </c>
      <c r="Q7" s="355">
        <f t="shared" ref="Q7" si="1">(O7-P7)/P7</f>
        <v>0.12860785751720946</v>
      </c>
      <c r="R7" s="357">
        <f>O7/$O$24</f>
        <v>0.5920202644987107</v>
      </c>
      <c r="S7" s="20"/>
    </row>
    <row r="8" spans="1:19" ht="14.1" customHeight="1" x14ac:dyDescent="0.2">
      <c r="A8" s="353"/>
      <c r="B8" s="368"/>
      <c r="C8" s="354"/>
      <c r="D8" s="356"/>
      <c r="E8" s="357"/>
      <c r="F8" s="354"/>
      <c r="G8" s="356"/>
      <c r="H8" s="355"/>
      <c r="I8" s="357"/>
      <c r="J8" s="353"/>
      <c r="K8" s="55"/>
      <c r="L8" s="358"/>
      <c r="M8" s="9"/>
      <c r="N8" s="86"/>
      <c r="O8" s="354"/>
      <c r="P8" s="356"/>
      <c r="Q8" s="39"/>
      <c r="R8" s="86"/>
      <c r="S8" s="20"/>
    </row>
    <row r="9" spans="1:19" ht="14.1" customHeight="1" x14ac:dyDescent="0.2">
      <c r="A9" s="353" t="s">
        <v>83</v>
      </c>
      <c r="B9" s="368"/>
      <c r="C9" s="354">
        <f>+[3]UPS!$FB$12</f>
        <v>204</v>
      </c>
      <c r="D9" s="356">
        <f>+[3]UPS!$EN$12</f>
        <v>180</v>
      </c>
      <c r="E9" s="357">
        <f>(C9-D9)/D9</f>
        <v>0.13333333333333333</v>
      </c>
      <c r="F9" s="354">
        <f>SUM([3]UPS!$EZ$12:$FB$12)</f>
        <v>552</v>
      </c>
      <c r="G9" s="356">
        <f>+SUM([3]UPS!$EL$12:$EN$12)</f>
        <v>504</v>
      </c>
      <c r="H9" s="355">
        <f>(F9-G9)/G9</f>
        <v>9.5238095238095233E-2</v>
      </c>
      <c r="I9" s="357">
        <f>+F9/$F$24</f>
        <v>0.1624963202826023</v>
      </c>
      <c r="J9" s="353" t="s">
        <v>83</v>
      </c>
      <c r="K9" s="55"/>
      <c r="L9" s="354">
        <f>+[3]UPS!$FB$64</f>
        <v>11583602</v>
      </c>
      <c r="M9" s="356">
        <f>+[3]UPS!$EN$64</f>
        <v>10239742</v>
      </c>
      <c r="N9" s="357">
        <f>(L9-M9)/M9</f>
        <v>0.13123963474860989</v>
      </c>
      <c r="O9" s="354">
        <f>SUM([3]UPS!$EZ$64:$FB$64)</f>
        <v>29393699</v>
      </c>
      <c r="P9" s="356">
        <f>+SUM([3]UPS!$EL$64:$EN$64)</f>
        <v>23248899</v>
      </c>
      <c r="Q9" s="355">
        <f>(O9-P9)/P9</f>
        <v>0.26430498923841511</v>
      </c>
      <c r="R9" s="357">
        <f>O9/$O$24</f>
        <v>0.3487779570453608</v>
      </c>
      <c r="S9" s="20"/>
    </row>
    <row r="10" spans="1:19" ht="14.1" customHeight="1" x14ac:dyDescent="0.2">
      <c r="A10" s="353"/>
      <c r="B10" s="368"/>
      <c r="C10" s="354"/>
      <c r="D10" s="356"/>
      <c r="E10" s="357"/>
      <c r="F10" s="354"/>
      <c r="G10" s="356"/>
      <c r="H10" s="355"/>
      <c r="I10" s="357"/>
      <c r="J10" s="353"/>
      <c r="K10" s="55"/>
      <c r="L10" s="358"/>
      <c r="M10" s="9"/>
      <c r="N10" s="86"/>
      <c r="O10" s="354"/>
      <c r="P10" s="356"/>
      <c r="Q10" s="39"/>
      <c r="R10" s="86"/>
      <c r="S10" s="20"/>
    </row>
    <row r="11" spans="1:19" ht="14.1" customHeight="1" x14ac:dyDescent="0.2">
      <c r="A11" s="353" t="s">
        <v>196</v>
      </c>
      <c r="B11" s="368"/>
      <c r="C11" s="354">
        <f>+[3]IFL!$FB$12</f>
        <v>72</v>
      </c>
      <c r="D11" s="356">
        <f>+[3]IFL!$EN$12</f>
        <v>72</v>
      </c>
      <c r="E11" s="357">
        <f>(C11-D11)/D11</f>
        <v>0</v>
      </c>
      <c r="F11" s="354">
        <f>SUM([3]IFL!$EZ$12:$FB$12)</f>
        <v>198</v>
      </c>
      <c r="G11" s="356">
        <f>+SUM([3]IFL!$EL$12:$EN$12)</f>
        <v>192</v>
      </c>
      <c r="H11" s="355">
        <f>(F11-G11)/G11</f>
        <v>3.125E-2</v>
      </c>
      <c r="I11" s="357">
        <f>+F11/$F$24</f>
        <v>5.8286723579629086E-2</v>
      </c>
      <c r="J11" s="353" t="s">
        <v>196</v>
      </c>
      <c r="K11" s="55"/>
      <c r="L11" s="354">
        <f>+[3]IFL!$FB$64</f>
        <v>95553</v>
      </c>
      <c r="M11" s="356">
        <f>+[3]IFL!$EN$64</f>
        <v>53492</v>
      </c>
      <c r="N11" s="357">
        <f>(L11-M11)/M11</f>
        <v>0.78630449412996339</v>
      </c>
      <c r="O11" s="354">
        <f>SUM([3]IFL!$EZ$64:$FB$64)</f>
        <v>258093</v>
      </c>
      <c r="P11" s="356">
        <f>+SUM([3]IFL!$EL$64:$EN$64)</f>
        <v>196895</v>
      </c>
      <c r="Q11" s="355">
        <f>(O11-P11)/P11</f>
        <v>0.31081540922826889</v>
      </c>
      <c r="R11" s="357">
        <f>O11/$O$24</f>
        <v>3.0624641447035399E-3</v>
      </c>
      <c r="S11" s="20"/>
    </row>
    <row r="12" spans="1:19" ht="14.1" customHeight="1" x14ac:dyDescent="0.2">
      <c r="A12" s="353"/>
      <c r="B12" s="368"/>
      <c r="C12" s="354"/>
      <c r="D12" s="359"/>
      <c r="E12" s="357"/>
      <c r="F12" s="485"/>
      <c r="G12" s="359"/>
      <c r="H12" s="355"/>
      <c r="I12" s="357"/>
      <c r="J12" s="353"/>
      <c r="K12" s="55"/>
      <c r="L12" s="360"/>
      <c r="M12" s="146"/>
      <c r="N12" s="86"/>
      <c r="O12" s="360"/>
      <c r="P12" s="146"/>
      <c r="Q12" s="39"/>
      <c r="R12" s="86"/>
      <c r="S12" s="20"/>
    </row>
    <row r="13" spans="1:19" ht="14.1" customHeight="1" x14ac:dyDescent="0.2">
      <c r="A13" s="353" t="s">
        <v>167</v>
      </c>
      <c r="B13" s="366"/>
      <c r="C13" s="354">
        <f>+'[3]Suburban Air Freight'!$FB$12</f>
        <v>0</v>
      </c>
      <c r="D13" s="356">
        <f>+'[3]Suburban Air Freight'!$EN$12</f>
        <v>0</v>
      </c>
      <c r="E13" s="357" t="e">
        <f>(C13-D13)/D13</f>
        <v>#DIV/0!</v>
      </c>
      <c r="F13" s="354">
        <f>SUM('[3]Suburban Air Freight'!$EZ$12:$FB$12)</f>
        <v>0</v>
      </c>
      <c r="G13" s="356">
        <f>+SUM('[3]Suburban Air Freight'!$EL$12:$EN$12)</f>
        <v>0</v>
      </c>
      <c r="H13" s="355" t="e">
        <f t="shared" ref="H13" si="2">(F13-G13)/G13</f>
        <v>#DIV/0!</v>
      </c>
      <c r="I13" s="357">
        <f>+F13/$F$24</f>
        <v>0</v>
      </c>
      <c r="J13" s="353" t="s">
        <v>167</v>
      </c>
      <c r="K13" s="361"/>
      <c r="L13" s="354">
        <f>+'[3]Suburban Air Freight'!$FB$64</f>
        <v>106256</v>
      </c>
      <c r="M13" s="356">
        <f>+'[3]Suburban Air Freight'!$EN$64</f>
        <v>83641</v>
      </c>
      <c r="N13" s="357">
        <f>(L13-M13)/M13</f>
        <v>0.27038175057687019</v>
      </c>
      <c r="O13" s="354">
        <f>SUM('[3]Suburban Air Freight'!$EZ$64:$FB$64)</f>
        <v>281459</v>
      </c>
      <c r="P13" s="356">
        <f>+SUM('[3]Suburban Air Freight'!$EL$64:$EN$64)</f>
        <v>244158</v>
      </c>
      <c r="Q13" s="355">
        <f t="shared" ref="Q13" si="3">(O13-P13)/P13</f>
        <v>0.1527740233783042</v>
      </c>
      <c r="R13" s="357">
        <f>O13/$O$24</f>
        <v>3.3397189993688852E-3</v>
      </c>
      <c r="S13" s="20"/>
    </row>
    <row r="14" spans="1:19" ht="14.1" customHeight="1" x14ac:dyDescent="0.2">
      <c r="A14" s="53"/>
      <c r="B14" s="363"/>
      <c r="C14" s="354"/>
      <c r="D14" s="9"/>
      <c r="E14" s="86"/>
      <c r="F14" s="358"/>
      <c r="G14" s="9"/>
      <c r="H14" s="39"/>
      <c r="I14" s="86"/>
      <c r="J14" s="53"/>
      <c r="K14" s="363"/>
      <c r="L14" s="358"/>
      <c r="M14" s="9"/>
      <c r="N14" s="86"/>
      <c r="O14" s="358"/>
      <c r="P14" s="9"/>
      <c r="Q14" s="39"/>
      <c r="R14" s="86"/>
      <c r="S14" s="20"/>
    </row>
    <row r="15" spans="1:19" ht="14.1" customHeight="1" x14ac:dyDescent="0.2">
      <c r="A15" s="353" t="s">
        <v>85</v>
      </c>
      <c r="B15" s="363"/>
      <c r="C15" s="354">
        <f>+[3]Bemidji!$FB$12</f>
        <v>566</v>
      </c>
      <c r="D15" s="356">
        <f>+[3]Bemidji!$EN$12</f>
        <v>486</v>
      </c>
      <c r="E15" s="357">
        <f>(C15-D15)/D15</f>
        <v>0.16460905349794239</v>
      </c>
      <c r="F15" s="354">
        <f>SUM([3]Bemidji!$EZ$12:$FB$12)</f>
        <v>1598</v>
      </c>
      <c r="G15" s="356">
        <f>+SUM([3]Bemidji!$EL$12:$EN$12)</f>
        <v>1380</v>
      </c>
      <c r="H15" s="355">
        <f t="shared" ref="H15" si="4">(F15-G15)/G15</f>
        <v>0.15797101449275364</v>
      </c>
      <c r="I15" s="357">
        <f>+F15/$F$24</f>
        <v>0.47041507212246098</v>
      </c>
      <c r="J15" s="353" t="s">
        <v>85</v>
      </c>
      <c r="K15" s="363"/>
      <c r="L15" s="545" t="s">
        <v>220</v>
      </c>
      <c r="M15" s="546"/>
      <c r="N15" s="546"/>
      <c r="O15" s="546"/>
      <c r="P15" s="546"/>
      <c r="Q15" s="546"/>
      <c r="R15" s="547"/>
      <c r="S15" s="20"/>
    </row>
    <row r="16" spans="1:19" ht="14.1" customHeight="1" x14ac:dyDescent="0.2">
      <c r="A16" s="53"/>
      <c r="B16" s="363"/>
      <c r="C16" s="354"/>
      <c r="D16" s="9"/>
      <c r="E16" s="86"/>
      <c r="F16" s="358"/>
      <c r="G16" s="9"/>
      <c r="H16" s="39"/>
      <c r="I16" s="86"/>
      <c r="J16" s="53"/>
      <c r="K16" s="363"/>
      <c r="L16" s="358"/>
      <c r="M16" s="9"/>
      <c r="N16" s="86"/>
      <c r="O16" s="358"/>
      <c r="P16" s="9"/>
      <c r="Q16" s="39"/>
      <c r="R16" s="86"/>
      <c r="S16" s="20"/>
    </row>
    <row r="17" spans="1:19" ht="14.1" customHeight="1" x14ac:dyDescent="0.2">
      <c r="A17" s="353" t="s">
        <v>86</v>
      </c>
      <c r="B17" s="363"/>
      <c r="C17" s="354">
        <f>+'[3]CSA Air'!$FB$12</f>
        <v>48</v>
      </c>
      <c r="D17" s="356">
        <f>+'[3]CSA Air'!$EN$12</f>
        <v>48</v>
      </c>
      <c r="E17" s="357">
        <f>(C17-D17)/D17</f>
        <v>0</v>
      </c>
      <c r="F17" s="354">
        <f>SUM('[3]CSA Air'!$EZ$12:$FB$12)</f>
        <v>130</v>
      </c>
      <c r="G17" s="356">
        <f>+SUM('[3]CSA Air'!$EL$12:$EN$12)</f>
        <v>130</v>
      </c>
      <c r="H17" s="355">
        <f t="shared" ref="H17" si="5">(F17-G17)/G17</f>
        <v>0</v>
      </c>
      <c r="I17" s="357">
        <f>+F17/$F$24</f>
        <v>3.8269060936120106E-2</v>
      </c>
      <c r="J17" s="353" t="s">
        <v>86</v>
      </c>
      <c r="K17" s="363"/>
      <c r="L17" s="354">
        <f>+'[3]CSA Air'!$FB$64</f>
        <v>70245</v>
      </c>
      <c r="M17" s="356">
        <f>+'[3]CSA Air'!$EN$64</f>
        <v>67121</v>
      </c>
      <c r="N17" s="357">
        <f>(L17-M17)/M17</f>
        <v>4.6542810744774364E-2</v>
      </c>
      <c r="O17" s="354">
        <f>SUM('[3]CSA Air'!$EZ$64:$FB$64)</f>
        <v>191018</v>
      </c>
      <c r="P17" s="356">
        <f>+SUM('[3]CSA Air'!$EL$64:$EN$64)</f>
        <v>179608</v>
      </c>
      <c r="Q17" s="355">
        <f t="shared" ref="Q17" si="6">(O17-P17)/P17</f>
        <v>6.3527237094116076E-2</v>
      </c>
      <c r="R17" s="357">
        <f>O17/$O$24</f>
        <v>2.2665697093411322E-3</v>
      </c>
      <c r="S17" s="20"/>
    </row>
    <row r="18" spans="1:19" ht="14.1" customHeight="1" x14ac:dyDescent="0.2">
      <c r="A18" s="53"/>
      <c r="B18" s="363"/>
      <c r="C18" s="354"/>
      <c r="D18" s="9"/>
      <c r="E18" s="86"/>
      <c r="F18" s="358"/>
      <c r="G18" s="9"/>
      <c r="H18" s="39"/>
      <c r="I18" s="86"/>
      <c r="J18" s="53"/>
      <c r="K18" s="363"/>
      <c r="L18" s="358"/>
      <c r="M18" s="9"/>
      <c r="N18" s="86"/>
      <c r="O18" s="358"/>
      <c r="P18" s="9"/>
      <c r="Q18" s="39"/>
      <c r="R18" s="86"/>
      <c r="S18" s="20"/>
    </row>
    <row r="19" spans="1:19" ht="14.1" customHeight="1" x14ac:dyDescent="0.2">
      <c r="A19" s="353" t="s">
        <v>87</v>
      </c>
      <c r="B19" s="366"/>
      <c r="C19" s="354">
        <f>+'[3]Mountain Cargo'!$FB$12</f>
        <v>46</v>
      </c>
      <c r="D19" s="356">
        <f>+'[3]Mountain Cargo'!$EN$12</f>
        <v>46</v>
      </c>
      <c r="E19" s="357">
        <f>(C19-D19)/D19</f>
        <v>0</v>
      </c>
      <c r="F19" s="354">
        <f>SUM('[3]Mountain Cargo'!$EZ$12:$FB$12)</f>
        <v>120</v>
      </c>
      <c r="G19" s="356">
        <f>+SUM('[3]Mountain Cargo'!$EL$12:$EN$12)</f>
        <v>126</v>
      </c>
      <c r="H19" s="355">
        <f>(F19-G19)/G19</f>
        <v>-4.7619047619047616E-2</v>
      </c>
      <c r="I19" s="357">
        <f>+F19/$F$24</f>
        <v>3.5325287017957022E-2</v>
      </c>
      <c r="J19" s="353" t="s">
        <v>87</v>
      </c>
      <c r="K19" s="366"/>
      <c r="L19" s="354">
        <f>+'[3]Mountain Cargo'!$FB$64</f>
        <v>208041</v>
      </c>
      <c r="M19" s="356">
        <f>+'[3]Mountain Cargo'!$EN$64</f>
        <v>167837</v>
      </c>
      <c r="N19" s="357">
        <f>(L19-M19)/M19</f>
        <v>0.23954193652174433</v>
      </c>
      <c r="O19" s="354">
        <f>SUM('[3]Mountain Cargo'!$EZ$64:$FB$64)</f>
        <v>510223</v>
      </c>
      <c r="P19" s="356">
        <f>+SUM('[3]Mountain Cargo'!$EL$64:$EN$64)</f>
        <v>460458</v>
      </c>
      <c r="Q19" s="355">
        <f t="shared" ref="Q19" si="7">(O19-P19)/P19</f>
        <v>0.10807717533412385</v>
      </c>
      <c r="R19" s="357">
        <f>O19/$O$24</f>
        <v>6.0541728884668479E-3</v>
      </c>
      <c r="S19" s="421"/>
    </row>
    <row r="20" spans="1:19" ht="14.1" customHeight="1" x14ac:dyDescent="0.2">
      <c r="A20" s="53"/>
      <c r="B20" s="437"/>
      <c r="C20" s="354"/>
      <c r="D20" s="9"/>
      <c r="E20" s="86"/>
      <c r="F20" s="358"/>
      <c r="G20" s="9"/>
      <c r="H20" s="39"/>
      <c r="I20" s="86"/>
      <c r="J20" s="53"/>
      <c r="K20" s="437"/>
      <c r="L20" s="358"/>
      <c r="M20" s="9"/>
      <c r="N20" s="86"/>
      <c r="O20" s="358"/>
      <c r="P20" s="9"/>
      <c r="Q20" s="39"/>
      <c r="R20" s="86"/>
      <c r="S20" s="328"/>
    </row>
    <row r="21" spans="1:19" s="7" customFormat="1" ht="14.1" customHeight="1" x14ac:dyDescent="0.2">
      <c r="A21" s="353" t="s">
        <v>130</v>
      </c>
      <c r="B21" s="368"/>
      <c r="C21" s="354">
        <f>+'[3]Misc Cargo'!$FB$12</f>
        <v>46</v>
      </c>
      <c r="D21" s="356">
        <f>+'[3]Misc Cargo'!$EN$12</f>
        <v>46</v>
      </c>
      <c r="E21" s="357">
        <f>(C21-D21)/D21</f>
        <v>0</v>
      </c>
      <c r="F21" s="354">
        <f>SUM('[3]Misc Cargo'!$EZ$12:$FB$12)</f>
        <v>129</v>
      </c>
      <c r="G21" s="356">
        <f>+SUM('[3]Misc Cargo'!$EL$12:$EN$12)</f>
        <v>128</v>
      </c>
      <c r="H21" s="355">
        <f>(F21-G21)/G21</f>
        <v>7.8125E-3</v>
      </c>
      <c r="I21" s="357">
        <f>+F21/$F$24</f>
        <v>3.7974683544303799E-2</v>
      </c>
      <c r="J21" s="353" t="s">
        <v>130</v>
      </c>
      <c r="K21" s="368"/>
      <c r="L21" s="354">
        <f>+'[3]Misc Cargo'!$FB$64</f>
        <v>105620</v>
      </c>
      <c r="M21" s="356">
        <f>+'[3]Misc Cargo'!$EN$64</f>
        <v>78072</v>
      </c>
      <c r="N21" s="357">
        <f>(L21-M21)/M21</f>
        <v>0.35285377600163953</v>
      </c>
      <c r="O21" s="354">
        <f>SUM('[3]Misc Cargo'!$EZ$64:$FB$64)</f>
        <v>241102</v>
      </c>
      <c r="P21" s="356">
        <f>+SUM('[3]Misc Cargo'!$EL$64:$EN$64)</f>
        <v>207875</v>
      </c>
      <c r="Q21" s="355">
        <f>(O21-P21)/P21</f>
        <v>0.15984125075165365</v>
      </c>
      <c r="R21" s="357">
        <f>O21/$O$24</f>
        <v>2.8608533753969032E-3</v>
      </c>
      <c r="S21" s="486"/>
    </row>
    <row r="22" spans="1:19" s="7" customFormat="1" ht="14.1" customHeight="1" thickBot="1" x14ac:dyDescent="0.25">
      <c r="A22" s="487"/>
      <c r="B22" s="488"/>
      <c r="C22" s="489"/>
      <c r="D22" s="491"/>
      <c r="E22" s="492"/>
      <c r="F22" s="489"/>
      <c r="G22" s="491"/>
      <c r="H22" s="490"/>
      <c r="I22" s="492"/>
      <c r="J22" s="353"/>
      <c r="K22" s="368"/>
      <c r="L22" s="370"/>
      <c r="M22" s="374"/>
      <c r="N22" s="373"/>
      <c r="O22" s="370"/>
      <c r="P22" s="374"/>
      <c r="Q22" s="371"/>
      <c r="R22" s="488"/>
      <c r="S22" s="486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93" customFormat="1" ht="15.75" thickBot="1" x14ac:dyDescent="0.3">
      <c r="B24" s="494" t="s">
        <v>216</v>
      </c>
      <c r="C24" s="495">
        <f>+SUM(C5:C21)</f>
        <v>1224</v>
      </c>
      <c r="D24" s="496">
        <f>SUM(D5:D22)</f>
        <v>1110</v>
      </c>
      <c r="E24" s="497">
        <f>(C24-D24)/D24</f>
        <v>0.10270270270270271</v>
      </c>
      <c r="F24" s="495">
        <f>+SUM(F5:F21)</f>
        <v>3397</v>
      </c>
      <c r="G24" s="495">
        <f>+SUM(G5:G21)</f>
        <v>3102</v>
      </c>
      <c r="H24" s="498">
        <f>(F24-G24)/G24</f>
        <v>9.5099935525467444E-2</v>
      </c>
      <c r="I24" s="514"/>
      <c r="K24" s="494" t="s">
        <v>216</v>
      </c>
      <c r="L24" s="495">
        <f>+SUM(L5:L21)</f>
        <v>31851476</v>
      </c>
      <c r="M24" s="499">
        <f>SUM(M5:M22)</f>
        <v>28864895</v>
      </c>
      <c r="N24" s="500">
        <f>(L24-M24)/M24</f>
        <v>0.10346758579929011</v>
      </c>
      <c r="O24" s="495">
        <f>+SUM(O5:O21)</f>
        <v>84276252</v>
      </c>
      <c r="P24" s="495">
        <f>+SUM(P5:P21)</f>
        <v>71951263</v>
      </c>
      <c r="Q24" s="498">
        <f t="shared" ref="Q24" si="8">(O24-P24)/P24</f>
        <v>0.17129635375545804</v>
      </c>
      <c r="R24" s="514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March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2017-03-27T17:12:09Z</cp:lastPrinted>
  <dcterms:created xsi:type="dcterms:W3CDTF">2007-09-24T12:26:24Z</dcterms:created>
  <dcterms:modified xsi:type="dcterms:W3CDTF">2019-05-19T07:38:23Z</dcterms:modified>
</cp:coreProperties>
</file>