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Stats'!$A$1:$H$52</definedName>
    <definedName name="_xlnm.Print_Area" localSheetId="0">'Monthly Summary'!$A$1:$I$41</definedName>
    <definedName name="_xlnm.Print_Area" localSheetId="9">'Ops+Rev Pax Activity'!$A$1:$R$54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G49" i="3" l="1"/>
  <c r="G48" i="3"/>
  <c r="H27" i="8" l="1"/>
  <c r="H26" i="8"/>
  <c r="H22" i="8"/>
  <c r="H21" i="8"/>
  <c r="H17" i="8"/>
  <c r="H16" i="8"/>
  <c r="H5" i="8"/>
  <c r="H4" i="8"/>
  <c r="H10" i="8"/>
  <c r="H18" i="8" l="1"/>
  <c r="H6" i="8"/>
  <c r="H12" i="8" s="1"/>
  <c r="H31" i="8"/>
  <c r="H28" i="8"/>
  <c r="H23" i="8"/>
  <c r="H32" i="8"/>
  <c r="D37" i="1"/>
  <c r="D36" i="1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Q47" i="9"/>
  <c r="Q48" i="9"/>
  <c r="Q49" i="9"/>
  <c r="Q50" i="9"/>
  <c r="Q38" i="9"/>
  <c r="Q39" i="9"/>
  <c r="Q40" i="9"/>
  <c r="Q41" i="9"/>
  <c r="Q42" i="9"/>
  <c r="Q43" i="9"/>
  <c r="Q44" i="9"/>
  <c r="Q35" i="9"/>
  <c r="Q30" i="9"/>
  <c r="Q31" i="9"/>
  <c r="P30" i="9"/>
  <c r="P31" i="9"/>
  <c r="Q27" i="9"/>
  <c r="P27" i="9"/>
  <c r="Q23" i="9"/>
  <c r="Q15" i="9"/>
  <c r="Q16" i="9"/>
  <c r="Q17" i="9"/>
  <c r="Q18" i="9"/>
  <c r="Q19" i="9"/>
  <c r="Q20" i="9"/>
  <c r="P20" i="9"/>
  <c r="Q21" i="9"/>
  <c r="Q11" i="9"/>
  <c r="Q12" i="9"/>
  <c r="Q8" i="9"/>
  <c r="Q4" i="9"/>
  <c r="Q25" i="9"/>
  <c r="Q33" i="9"/>
  <c r="Q6" i="9"/>
  <c r="P47" i="9"/>
  <c r="P48" i="9"/>
  <c r="P49" i="9"/>
  <c r="P50" i="9"/>
  <c r="P38" i="9"/>
  <c r="P39" i="9"/>
  <c r="P40" i="9"/>
  <c r="P41" i="9"/>
  <c r="P42" i="9"/>
  <c r="P43" i="9"/>
  <c r="P44" i="9"/>
  <c r="P35" i="9"/>
  <c r="P23" i="9"/>
  <c r="P15" i="9"/>
  <c r="P16" i="9"/>
  <c r="R16" i="9" s="1"/>
  <c r="P17" i="9"/>
  <c r="R17" i="9" s="1"/>
  <c r="P18" i="9"/>
  <c r="R18" i="9" s="1"/>
  <c r="P19" i="9"/>
  <c r="P21" i="9"/>
  <c r="P11" i="9"/>
  <c r="P12" i="9"/>
  <c r="P8" i="9"/>
  <c r="P4" i="9"/>
  <c r="P25" i="9"/>
  <c r="P33" i="9"/>
  <c r="P6" i="9"/>
  <c r="N47" i="9"/>
  <c r="N48" i="9"/>
  <c r="N49" i="9"/>
  <c r="N50" i="9"/>
  <c r="L50" i="9"/>
  <c r="N38" i="9"/>
  <c r="N39" i="9"/>
  <c r="N40" i="9"/>
  <c r="N41" i="9"/>
  <c r="N42" i="9"/>
  <c r="N43" i="9"/>
  <c r="N44" i="9"/>
  <c r="L44" i="9"/>
  <c r="N35" i="9"/>
  <c r="N30" i="9"/>
  <c r="N31" i="9"/>
  <c r="N27" i="9"/>
  <c r="N23" i="9"/>
  <c r="N15" i="9"/>
  <c r="N16" i="9"/>
  <c r="N21" i="9"/>
  <c r="N19" i="9"/>
  <c r="N17" i="9"/>
  <c r="N4" i="9"/>
  <c r="N20" i="9"/>
  <c r="N12" i="9"/>
  <c r="N18" i="9"/>
  <c r="L20" i="9"/>
  <c r="N11" i="9"/>
  <c r="L11" i="9"/>
  <c r="L12" i="9"/>
  <c r="N8" i="9"/>
  <c r="N25" i="9"/>
  <c r="N33" i="9"/>
  <c r="L33" i="9"/>
  <c r="N6" i="9"/>
  <c r="L47" i="9"/>
  <c r="O47" i="9" s="1"/>
  <c r="L48" i="9"/>
  <c r="O48" i="9" s="1"/>
  <c r="L49" i="9"/>
  <c r="L38" i="9"/>
  <c r="L39" i="9"/>
  <c r="L40" i="9"/>
  <c r="L41" i="9"/>
  <c r="L42" i="9"/>
  <c r="L43" i="9"/>
  <c r="L35" i="9"/>
  <c r="O35" i="9" s="1"/>
  <c r="L30" i="9"/>
  <c r="L31" i="9"/>
  <c r="O31" i="9" s="1"/>
  <c r="L27" i="9"/>
  <c r="O27" i="9" s="1"/>
  <c r="L23" i="9"/>
  <c r="L15" i="9"/>
  <c r="L16" i="9"/>
  <c r="L17" i="9"/>
  <c r="L18" i="9"/>
  <c r="L19" i="9"/>
  <c r="L21" i="9"/>
  <c r="L8" i="9"/>
  <c r="L4" i="9"/>
  <c r="L25" i="9"/>
  <c r="L6" i="9"/>
  <c r="O6" i="9" s="1"/>
  <c r="H47" i="9"/>
  <c r="H48" i="9"/>
  <c r="H49" i="9"/>
  <c r="H50" i="9"/>
  <c r="H38" i="9"/>
  <c r="H39" i="9"/>
  <c r="H40" i="9"/>
  <c r="H41" i="9"/>
  <c r="H42" i="9"/>
  <c r="H43" i="9"/>
  <c r="H44" i="9"/>
  <c r="G44" i="9"/>
  <c r="H35" i="9"/>
  <c r="G35" i="9"/>
  <c r="H30" i="9"/>
  <c r="H31" i="9"/>
  <c r="H27" i="9"/>
  <c r="H23" i="9"/>
  <c r="H15" i="9"/>
  <c r="H16" i="9"/>
  <c r="G16" i="9"/>
  <c r="H17" i="9"/>
  <c r="H21" i="9"/>
  <c r="H19" i="9"/>
  <c r="H4" i="9"/>
  <c r="H20" i="9"/>
  <c r="H12" i="9"/>
  <c r="H18" i="9"/>
  <c r="H11" i="9"/>
  <c r="H8" i="9"/>
  <c r="H25" i="9"/>
  <c r="H33" i="9"/>
  <c r="H6" i="9"/>
  <c r="G47" i="9"/>
  <c r="G48" i="9"/>
  <c r="G49" i="9"/>
  <c r="G50" i="9"/>
  <c r="G38" i="9"/>
  <c r="G39" i="9"/>
  <c r="G40" i="9"/>
  <c r="G41" i="9"/>
  <c r="G42" i="9"/>
  <c r="G43" i="9"/>
  <c r="G30" i="9"/>
  <c r="G31" i="9"/>
  <c r="G27" i="9"/>
  <c r="G23" i="9"/>
  <c r="G15" i="9"/>
  <c r="G17" i="9"/>
  <c r="G18" i="9"/>
  <c r="G19" i="9"/>
  <c r="G20" i="9"/>
  <c r="G21" i="9"/>
  <c r="G11" i="9"/>
  <c r="G12" i="9"/>
  <c r="G8" i="9"/>
  <c r="G4" i="9"/>
  <c r="I4" i="9" s="1"/>
  <c r="G25" i="9"/>
  <c r="G33" i="9"/>
  <c r="G6" i="9"/>
  <c r="C47" i="9"/>
  <c r="C48" i="9"/>
  <c r="C49" i="9"/>
  <c r="C50" i="9"/>
  <c r="C38" i="9"/>
  <c r="C39" i="9"/>
  <c r="F39" i="9" s="1"/>
  <c r="C40" i="9"/>
  <c r="C41" i="9"/>
  <c r="C42" i="9"/>
  <c r="E42" i="9"/>
  <c r="C43" i="9"/>
  <c r="C44" i="9"/>
  <c r="E44" i="9"/>
  <c r="C35" i="9"/>
  <c r="C30" i="9"/>
  <c r="C31" i="9"/>
  <c r="C27" i="9"/>
  <c r="E27" i="9"/>
  <c r="C23" i="9"/>
  <c r="C15" i="9"/>
  <c r="C16" i="9"/>
  <c r="C17" i="9"/>
  <c r="C18" i="9"/>
  <c r="C19" i="9"/>
  <c r="C20" i="9"/>
  <c r="C21" i="9"/>
  <c r="E21" i="9"/>
  <c r="C11" i="9"/>
  <c r="C12" i="9"/>
  <c r="C8" i="9"/>
  <c r="C4" i="9"/>
  <c r="C25" i="9"/>
  <c r="C33" i="9"/>
  <c r="E33" i="9"/>
  <c r="C6" i="9"/>
  <c r="E47" i="9"/>
  <c r="E48" i="9"/>
  <c r="E49" i="9"/>
  <c r="E50" i="9"/>
  <c r="E38" i="9"/>
  <c r="E39" i="9"/>
  <c r="E40" i="9"/>
  <c r="E41" i="9"/>
  <c r="E43" i="9"/>
  <c r="E35" i="9"/>
  <c r="E30" i="9"/>
  <c r="E31" i="9"/>
  <c r="E23" i="9"/>
  <c r="E15" i="9"/>
  <c r="E16" i="9"/>
  <c r="E17" i="9"/>
  <c r="E18" i="9"/>
  <c r="E19" i="9"/>
  <c r="E20" i="9"/>
  <c r="E11" i="9"/>
  <c r="E12" i="9"/>
  <c r="E8" i="9"/>
  <c r="E4" i="9"/>
  <c r="E25" i="9"/>
  <c r="E6" i="9"/>
  <c r="O25" i="7"/>
  <c r="B9" i="2"/>
  <c r="C9" i="2"/>
  <c r="C10" i="2"/>
  <c r="D9" i="2"/>
  <c r="E9" i="2"/>
  <c r="F9" i="2"/>
  <c r="F10" i="2"/>
  <c r="B10" i="3"/>
  <c r="C10" i="3"/>
  <c r="C11" i="3"/>
  <c r="D10" i="3"/>
  <c r="D11" i="3"/>
  <c r="E10" i="3"/>
  <c r="E11" i="3"/>
  <c r="F10" i="3"/>
  <c r="F11" i="3"/>
  <c r="B11" i="3"/>
  <c r="G10" i="3"/>
  <c r="G11" i="3"/>
  <c r="H10" i="3"/>
  <c r="H11" i="3"/>
  <c r="B10" i="4"/>
  <c r="C10" i="4"/>
  <c r="D10" i="4"/>
  <c r="D11" i="4"/>
  <c r="E10" i="4"/>
  <c r="E11" i="4"/>
  <c r="F10" i="4"/>
  <c r="F11" i="4"/>
  <c r="G10" i="4"/>
  <c r="H10" i="4"/>
  <c r="I10" i="4"/>
  <c r="J10" i="4"/>
  <c r="B10" i="15"/>
  <c r="B11" i="15"/>
  <c r="C10" i="15"/>
  <c r="C11" i="15"/>
  <c r="D10" i="15"/>
  <c r="D11" i="15"/>
  <c r="E10" i="15"/>
  <c r="F10" i="15"/>
  <c r="F11" i="15"/>
  <c r="G10" i="15"/>
  <c r="G11" i="15"/>
  <c r="H10" i="15"/>
  <c r="I10" i="15"/>
  <c r="J10" i="15"/>
  <c r="K10" i="15"/>
  <c r="B4" i="2"/>
  <c r="B5" i="2"/>
  <c r="C4" i="2"/>
  <c r="D4" i="2"/>
  <c r="D5" i="2"/>
  <c r="E4" i="2"/>
  <c r="F4" i="2"/>
  <c r="F5" i="2"/>
  <c r="B5" i="3"/>
  <c r="C5" i="3"/>
  <c r="D5" i="3"/>
  <c r="E5" i="3"/>
  <c r="F5" i="3"/>
  <c r="F6" i="3"/>
  <c r="G5" i="3"/>
  <c r="G6" i="3"/>
  <c r="H5" i="3"/>
  <c r="B5" i="4"/>
  <c r="C5" i="4"/>
  <c r="D5" i="4"/>
  <c r="D6" i="4"/>
  <c r="E5" i="4"/>
  <c r="E6" i="4"/>
  <c r="F5" i="4"/>
  <c r="F6" i="4"/>
  <c r="G5" i="4"/>
  <c r="H5" i="4"/>
  <c r="I5" i="4"/>
  <c r="J5" i="4"/>
  <c r="J6" i="4"/>
  <c r="B5" i="15"/>
  <c r="C5" i="15"/>
  <c r="C6" i="15"/>
  <c r="D5" i="15"/>
  <c r="D6" i="15"/>
  <c r="E5" i="15"/>
  <c r="F5" i="15"/>
  <c r="F6" i="15"/>
  <c r="G5" i="15"/>
  <c r="H5" i="15"/>
  <c r="I5" i="15"/>
  <c r="J5" i="15"/>
  <c r="K5" i="15"/>
  <c r="B5" i="7"/>
  <c r="C5" i="7"/>
  <c r="C6" i="7"/>
  <c r="D5" i="7"/>
  <c r="E5" i="7"/>
  <c r="E6" i="7"/>
  <c r="F5" i="7"/>
  <c r="F6" i="7"/>
  <c r="B10" i="2"/>
  <c r="D10" i="2"/>
  <c r="E10" i="2"/>
  <c r="B11" i="4"/>
  <c r="C11" i="4"/>
  <c r="G11" i="4"/>
  <c r="H11" i="4"/>
  <c r="I11" i="4"/>
  <c r="J11" i="4"/>
  <c r="E11" i="15"/>
  <c r="H11" i="15"/>
  <c r="I11" i="15"/>
  <c r="J11" i="15"/>
  <c r="K11" i="15"/>
  <c r="C5" i="2"/>
  <c r="E5" i="2"/>
  <c r="B6" i="3"/>
  <c r="C6" i="3"/>
  <c r="D6" i="3"/>
  <c r="E6" i="3"/>
  <c r="H6" i="3"/>
  <c r="B6" i="4"/>
  <c r="C6" i="4"/>
  <c r="G6" i="4"/>
  <c r="H6" i="4"/>
  <c r="I6" i="4"/>
  <c r="B6" i="15"/>
  <c r="E6" i="15"/>
  <c r="G6" i="15"/>
  <c r="H6" i="15"/>
  <c r="I6" i="15"/>
  <c r="J6" i="15"/>
  <c r="K6" i="15"/>
  <c r="B6" i="7"/>
  <c r="D6" i="7"/>
  <c r="J25" i="7"/>
  <c r="B4" i="16"/>
  <c r="C4" i="16"/>
  <c r="C5" i="16"/>
  <c r="D4" i="16"/>
  <c r="D5" i="16"/>
  <c r="E4" i="16"/>
  <c r="F4" i="16"/>
  <c r="G4" i="16"/>
  <c r="H4" i="16"/>
  <c r="H5" i="16"/>
  <c r="I4" i="16"/>
  <c r="J4" i="16"/>
  <c r="J5" i="16"/>
  <c r="K4" i="16"/>
  <c r="L4" i="16"/>
  <c r="L5" i="16"/>
  <c r="B9" i="16"/>
  <c r="C9" i="16"/>
  <c r="D9" i="16"/>
  <c r="E9" i="16"/>
  <c r="F9" i="16"/>
  <c r="G9" i="16"/>
  <c r="G11" i="16" s="1"/>
  <c r="H9" i="16"/>
  <c r="I9" i="16"/>
  <c r="I10" i="16"/>
  <c r="J9" i="16"/>
  <c r="K9" i="16"/>
  <c r="K10" i="16"/>
  <c r="L9" i="16"/>
  <c r="B5" i="16"/>
  <c r="E5" i="16"/>
  <c r="F5" i="16"/>
  <c r="G5" i="16"/>
  <c r="I5" i="16"/>
  <c r="K5" i="16"/>
  <c r="B10" i="16"/>
  <c r="C10" i="16"/>
  <c r="D10" i="16"/>
  <c r="E10" i="16"/>
  <c r="F10" i="16"/>
  <c r="G10" i="16"/>
  <c r="H10" i="16"/>
  <c r="J10" i="16"/>
  <c r="L10" i="16"/>
  <c r="E25" i="7"/>
  <c r="B37" i="1"/>
  <c r="B36" i="1"/>
  <c r="C51" i="2"/>
  <c r="F49" i="3"/>
  <c r="I49" i="3" s="1"/>
  <c r="G51" i="2" s="1"/>
  <c r="B45" i="4"/>
  <c r="F45" i="4"/>
  <c r="H45" i="4"/>
  <c r="C47" i="15"/>
  <c r="E47" i="15"/>
  <c r="F47" i="15"/>
  <c r="B17" i="8"/>
  <c r="B27" i="8"/>
  <c r="B22" i="8"/>
  <c r="C17" i="8"/>
  <c r="D17" i="8"/>
  <c r="E17" i="8"/>
  <c r="G17" i="8"/>
  <c r="J17" i="8"/>
  <c r="K17" i="8"/>
  <c r="K16" i="8"/>
  <c r="L17" i="8"/>
  <c r="B29" i="2"/>
  <c r="B34" i="2"/>
  <c r="B39" i="2"/>
  <c r="C29" i="2"/>
  <c r="D29" i="2"/>
  <c r="E29" i="2"/>
  <c r="F29" i="2"/>
  <c r="B29" i="3"/>
  <c r="C29" i="3"/>
  <c r="D29" i="3"/>
  <c r="E29" i="3"/>
  <c r="F29" i="3"/>
  <c r="G29" i="3"/>
  <c r="H29" i="3"/>
  <c r="H28" i="3"/>
  <c r="B26" i="4"/>
  <c r="C26" i="4"/>
  <c r="D26" i="4"/>
  <c r="D36" i="4"/>
  <c r="D31" i="4"/>
  <c r="E26" i="4"/>
  <c r="E36" i="4"/>
  <c r="E31" i="4"/>
  <c r="F26" i="4"/>
  <c r="G26" i="4"/>
  <c r="H26" i="4"/>
  <c r="I26" i="4"/>
  <c r="J26" i="4"/>
  <c r="B26" i="15"/>
  <c r="C26" i="15"/>
  <c r="D26" i="15"/>
  <c r="E26" i="15"/>
  <c r="F26" i="15"/>
  <c r="F36" i="15"/>
  <c r="F31" i="15"/>
  <c r="G26" i="15"/>
  <c r="H26" i="15"/>
  <c r="I26" i="15"/>
  <c r="J26" i="15"/>
  <c r="K26" i="15"/>
  <c r="C22" i="8"/>
  <c r="D22" i="8"/>
  <c r="E22" i="8"/>
  <c r="G22" i="8"/>
  <c r="J22" i="8"/>
  <c r="K22" i="8"/>
  <c r="L22" i="8"/>
  <c r="L21" i="8"/>
  <c r="L27" i="8"/>
  <c r="C34" i="2"/>
  <c r="D34" i="2"/>
  <c r="D33" i="2"/>
  <c r="E34" i="2"/>
  <c r="F34" i="2"/>
  <c r="B34" i="3"/>
  <c r="C34" i="3"/>
  <c r="D34" i="3"/>
  <c r="D39" i="3"/>
  <c r="E34" i="3"/>
  <c r="E33" i="3"/>
  <c r="F34" i="3"/>
  <c r="G34" i="3"/>
  <c r="H34" i="3"/>
  <c r="B31" i="4"/>
  <c r="C31" i="4"/>
  <c r="F31" i="4"/>
  <c r="G31" i="4"/>
  <c r="G36" i="4"/>
  <c r="H31" i="4"/>
  <c r="I31" i="4"/>
  <c r="J31" i="4"/>
  <c r="B31" i="15"/>
  <c r="C31" i="15"/>
  <c r="D31" i="15"/>
  <c r="E31" i="15"/>
  <c r="G31" i="15"/>
  <c r="G36" i="15"/>
  <c r="H31" i="15"/>
  <c r="I31" i="15"/>
  <c r="I30" i="15"/>
  <c r="I32" i="15" s="1"/>
  <c r="J31" i="15"/>
  <c r="K31" i="15"/>
  <c r="B16" i="8"/>
  <c r="C16" i="8"/>
  <c r="D16" i="8"/>
  <c r="E16" i="8"/>
  <c r="G16" i="8"/>
  <c r="J16" i="8"/>
  <c r="L16" i="8"/>
  <c r="L26" i="8"/>
  <c r="B28" i="2"/>
  <c r="C28" i="2"/>
  <c r="C33" i="2"/>
  <c r="C38" i="2"/>
  <c r="C39" i="2"/>
  <c r="D28" i="2"/>
  <c r="E28" i="2"/>
  <c r="F28" i="2"/>
  <c r="B28" i="3"/>
  <c r="C28" i="3"/>
  <c r="D28" i="3"/>
  <c r="D33" i="3"/>
  <c r="D38" i="3"/>
  <c r="E28" i="3"/>
  <c r="F28" i="3"/>
  <c r="G28" i="3"/>
  <c r="B25" i="4"/>
  <c r="C25" i="4"/>
  <c r="D25" i="4"/>
  <c r="E25" i="4"/>
  <c r="E35" i="4"/>
  <c r="E30" i="4"/>
  <c r="F25" i="4"/>
  <c r="G25" i="4"/>
  <c r="H25" i="4"/>
  <c r="I25" i="4"/>
  <c r="J25" i="4"/>
  <c r="B25" i="15"/>
  <c r="C25" i="15"/>
  <c r="D25" i="15"/>
  <c r="E25" i="15"/>
  <c r="F25" i="15"/>
  <c r="G25" i="15"/>
  <c r="H25" i="15"/>
  <c r="I25" i="15"/>
  <c r="J25" i="15"/>
  <c r="K25" i="15"/>
  <c r="B21" i="8"/>
  <c r="C21" i="8"/>
  <c r="C26" i="8"/>
  <c r="D21" i="8"/>
  <c r="E21" i="8"/>
  <c r="E23" i="8" s="1"/>
  <c r="G21" i="8"/>
  <c r="J21" i="8"/>
  <c r="K21" i="8"/>
  <c r="B33" i="2"/>
  <c r="E33" i="2"/>
  <c r="F33" i="2"/>
  <c r="B33" i="3"/>
  <c r="C33" i="3"/>
  <c r="C35" i="3" s="1"/>
  <c r="F33" i="3"/>
  <c r="G33" i="3"/>
  <c r="H33" i="3"/>
  <c r="B30" i="4"/>
  <c r="C30" i="4"/>
  <c r="D30" i="4"/>
  <c r="F30" i="4"/>
  <c r="G30" i="4"/>
  <c r="H30" i="4"/>
  <c r="I30" i="4"/>
  <c r="J30" i="4"/>
  <c r="B30" i="15"/>
  <c r="C30" i="15"/>
  <c r="D30" i="15"/>
  <c r="D35" i="15"/>
  <c r="E30" i="15"/>
  <c r="F30" i="15"/>
  <c r="G30" i="15"/>
  <c r="H30" i="15"/>
  <c r="J30" i="15"/>
  <c r="K30" i="15"/>
  <c r="B38" i="2"/>
  <c r="D38" i="2"/>
  <c r="D39" i="2"/>
  <c r="E38" i="2"/>
  <c r="F38" i="2"/>
  <c r="F39" i="2"/>
  <c r="B38" i="3"/>
  <c r="C38" i="3"/>
  <c r="C39" i="3"/>
  <c r="E38" i="3"/>
  <c r="F38" i="3"/>
  <c r="F39" i="3"/>
  <c r="G38" i="3"/>
  <c r="G39" i="3"/>
  <c r="B35" i="4"/>
  <c r="B40" i="4" s="1"/>
  <c r="C35" i="4"/>
  <c r="D35" i="4"/>
  <c r="F35" i="4"/>
  <c r="G35" i="4"/>
  <c r="H35" i="4"/>
  <c r="H36" i="4"/>
  <c r="I35" i="4"/>
  <c r="J35" i="4"/>
  <c r="B35" i="15"/>
  <c r="C35" i="15"/>
  <c r="E35" i="15"/>
  <c r="F35" i="15"/>
  <c r="G35" i="15"/>
  <c r="H35" i="15"/>
  <c r="I35" i="15"/>
  <c r="J35" i="15"/>
  <c r="K35" i="15"/>
  <c r="B26" i="8"/>
  <c r="C27" i="8"/>
  <c r="D26" i="8"/>
  <c r="D27" i="8"/>
  <c r="E26" i="8"/>
  <c r="E27" i="8"/>
  <c r="G26" i="8"/>
  <c r="J26" i="8"/>
  <c r="K26" i="8"/>
  <c r="G27" i="8"/>
  <c r="E39" i="2"/>
  <c r="B39" i="3"/>
  <c r="E39" i="3"/>
  <c r="B36" i="4"/>
  <c r="C36" i="4"/>
  <c r="F36" i="4"/>
  <c r="I36" i="4"/>
  <c r="J36" i="4"/>
  <c r="B36" i="15"/>
  <c r="C36" i="15"/>
  <c r="D36" i="15"/>
  <c r="E36" i="15"/>
  <c r="H36" i="15"/>
  <c r="I36" i="15"/>
  <c r="J36" i="15"/>
  <c r="K36" i="15"/>
  <c r="J27" i="8"/>
  <c r="K27" i="8"/>
  <c r="B21" i="1"/>
  <c r="C21" i="1"/>
  <c r="E21" i="1"/>
  <c r="H21" i="1" s="1"/>
  <c r="B20" i="1"/>
  <c r="C20" i="1"/>
  <c r="H20" i="1"/>
  <c r="B4" i="8"/>
  <c r="C4" i="8"/>
  <c r="D4" i="8"/>
  <c r="E4" i="8"/>
  <c r="E5" i="8"/>
  <c r="G4" i="8"/>
  <c r="I4" i="8"/>
  <c r="J4" i="8"/>
  <c r="K4" i="8"/>
  <c r="L4" i="8"/>
  <c r="B5" i="8"/>
  <c r="C5" i="8"/>
  <c r="D5" i="8"/>
  <c r="G5" i="8"/>
  <c r="G6" i="8" s="1"/>
  <c r="G12" i="8" s="1"/>
  <c r="I5" i="8"/>
  <c r="J5" i="8"/>
  <c r="K5" i="8"/>
  <c r="L5" i="8"/>
  <c r="B10" i="7"/>
  <c r="C10" i="7"/>
  <c r="D10" i="7"/>
  <c r="E10" i="7"/>
  <c r="F10" i="7"/>
  <c r="F11" i="7"/>
  <c r="B11" i="7"/>
  <c r="C11" i="7"/>
  <c r="D11" i="7"/>
  <c r="E11" i="7"/>
  <c r="B15" i="4"/>
  <c r="B16" i="4"/>
  <c r="C15" i="4"/>
  <c r="D15" i="4"/>
  <c r="E15" i="4"/>
  <c r="F15" i="4"/>
  <c r="G15" i="4"/>
  <c r="G16" i="4"/>
  <c r="H15" i="4"/>
  <c r="I15" i="4"/>
  <c r="J15" i="4"/>
  <c r="B15" i="15"/>
  <c r="C15" i="15"/>
  <c r="D15" i="15"/>
  <c r="E15" i="15"/>
  <c r="F15" i="15"/>
  <c r="G15" i="15"/>
  <c r="H15" i="15"/>
  <c r="I15" i="15"/>
  <c r="J15" i="15"/>
  <c r="J16" i="15"/>
  <c r="K15" i="15"/>
  <c r="B18" i="4"/>
  <c r="B19" i="4"/>
  <c r="C18" i="4"/>
  <c r="D18" i="4"/>
  <c r="D19" i="4"/>
  <c r="D16" i="4"/>
  <c r="E18" i="4"/>
  <c r="F18" i="4"/>
  <c r="G18" i="4"/>
  <c r="H18" i="4"/>
  <c r="I18" i="4"/>
  <c r="I19" i="4"/>
  <c r="I16" i="4"/>
  <c r="J18" i="4"/>
  <c r="J19" i="4"/>
  <c r="B18" i="15"/>
  <c r="C18" i="15"/>
  <c r="D18" i="15"/>
  <c r="E18" i="15"/>
  <c r="E19" i="15"/>
  <c r="F18" i="15"/>
  <c r="F19" i="15"/>
  <c r="G18" i="15"/>
  <c r="G19" i="15"/>
  <c r="H18" i="15"/>
  <c r="H19" i="15"/>
  <c r="H16" i="15"/>
  <c r="I18" i="15"/>
  <c r="I19" i="15"/>
  <c r="J18" i="15"/>
  <c r="K18" i="15"/>
  <c r="C16" i="4"/>
  <c r="E16" i="4"/>
  <c r="F16" i="4"/>
  <c r="H16" i="4"/>
  <c r="J16" i="4"/>
  <c r="B16" i="15"/>
  <c r="C16" i="15"/>
  <c r="D16" i="15"/>
  <c r="E16" i="15"/>
  <c r="F16" i="15"/>
  <c r="G16" i="15"/>
  <c r="I16" i="15"/>
  <c r="K16" i="15"/>
  <c r="C19" i="4"/>
  <c r="E19" i="4"/>
  <c r="F19" i="4"/>
  <c r="G19" i="4"/>
  <c r="H19" i="4"/>
  <c r="B19" i="15"/>
  <c r="C19" i="15"/>
  <c r="D19" i="15"/>
  <c r="J19" i="15"/>
  <c r="K19" i="15"/>
  <c r="B15" i="2"/>
  <c r="C15" i="2"/>
  <c r="D15" i="2"/>
  <c r="E15" i="2"/>
  <c r="F15" i="2"/>
  <c r="B16" i="3"/>
  <c r="C16" i="3"/>
  <c r="D16" i="3"/>
  <c r="E16" i="3"/>
  <c r="F16" i="3"/>
  <c r="F17" i="3"/>
  <c r="G16" i="3"/>
  <c r="H16" i="3"/>
  <c r="B19" i="2"/>
  <c r="C19" i="2"/>
  <c r="D19" i="2"/>
  <c r="E19" i="2"/>
  <c r="E20" i="2"/>
  <c r="E16" i="2"/>
  <c r="F19" i="2"/>
  <c r="B20" i="3"/>
  <c r="B21" i="3"/>
  <c r="C20" i="3"/>
  <c r="D20" i="3"/>
  <c r="E20" i="3"/>
  <c r="F20" i="3"/>
  <c r="F21" i="3"/>
  <c r="G20" i="3"/>
  <c r="H20" i="3"/>
  <c r="B16" i="2"/>
  <c r="C16" i="2"/>
  <c r="D16" i="2"/>
  <c r="F16" i="2"/>
  <c r="F20" i="2"/>
  <c r="B17" i="3"/>
  <c r="C17" i="3"/>
  <c r="D17" i="3"/>
  <c r="E17" i="3"/>
  <c r="G17" i="3"/>
  <c r="H17" i="3"/>
  <c r="B20" i="2"/>
  <c r="C20" i="2"/>
  <c r="D20" i="2"/>
  <c r="C21" i="3"/>
  <c r="D21" i="3"/>
  <c r="E21" i="3"/>
  <c r="G21" i="3"/>
  <c r="H21" i="3"/>
  <c r="H28" i="1"/>
  <c r="E28" i="1"/>
  <c r="H27" i="1"/>
  <c r="E27" i="1"/>
  <c r="E20" i="1"/>
  <c r="H19" i="1"/>
  <c r="E19" i="1"/>
  <c r="H18" i="1"/>
  <c r="E18" i="1"/>
  <c r="H17" i="1"/>
  <c r="H16" i="1"/>
  <c r="E17" i="1"/>
  <c r="E16" i="1"/>
  <c r="H10" i="1"/>
  <c r="E10" i="1"/>
  <c r="H7" i="1"/>
  <c r="E7" i="1"/>
  <c r="E5" i="1"/>
  <c r="E6" i="1"/>
  <c r="H6" i="1"/>
  <c r="H5" i="1"/>
  <c r="L35" i="16"/>
  <c r="K35" i="16"/>
  <c r="J35" i="16"/>
  <c r="J34" i="16"/>
  <c r="I35" i="16"/>
  <c r="H35" i="16"/>
  <c r="G35" i="16"/>
  <c r="F35" i="16"/>
  <c r="E35" i="16"/>
  <c r="D35" i="16"/>
  <c r="C35" i="16"/>
  <c r="B35" i="16"/>
  <c r="L34" i="16"/>
  <c r="K34" i="16"/>
  <c r="K37" i="16" s="1"/>
  <c r="I34" i="16"/>
  <c r="H34" i="16"/>
  <c r="G34" i="16"/>
  <c r="F34" i="16"/>
  <c r="E34" i="16"/>
  <c r="D34" i="16"/>
  <c r="C34" i="16"/>
  <c r="B34" i="16"/>
  <c r="L28" i="16"/>
  <c r="L27" i="16"/>
  <c r="K28" i="16"/>
  <c r="K27" i="16"/>
  <c r="J28" i="16"/>
  <c r="I28" i="16"/>
  <c r="H28" i="16"/>
  <c r="H27" i="16"/>
  <c r="G28" i="16"/>
  <c r="F28" i="16"/>
  <c r="E28" i="16"/>
  <c r="D28" i="16"/>
  <c r="C28" i="16"/>
  <c r="B28" i="16"/>
  <c r="J27" i="16"/>
  <c r="I27" i="16"/>
  <c r="G27" i="16"/>
  <c r="G30" i="16" s="1"/>
  <c r="F27" i="16"/>
  <c r="F30" i="16" s="1"/>
  <c r="E27" i="16"/>
  <c r="D27" i="16"/>
  <c r="C27" i="16"/>
  <c r="B27" i="16"/>
  <c r="L22" i="16"/>
  <c r="L21" i="16"/>
  <c r="K22" i="16"/>
  <c r="J22" i="16"/>
  <c r="I22" i="16"/>
  <c r="H22" i="16"/>
  <c r="G22" i="16"/>
  <c r="F22" i="16"/>
  <c r="F21" i="16"/>
  <c r="E22" i="16"/>
  <c r="D22" i="16"/>
  <c r="C22" i="16"/>
  <c r="B22" i="16"/>
  <c r="B21" i="16"/>
  <c r="K21" i="16"/>
  <c r="K23" i="16" s="1"/>
  <c r="J21" i="16"/>
  <c r="J23" i="16" s="1"/>
  <c r="I21" i="16"/>
  <c r="H21" i="16"/>
  <c r="H23" i="16" s="1"/>
  <c r="G21" i="16"/>
  <c r="G23" i="16" s="1"/>
  <c r="E21" i="16"/>
  <c r="D21" i="16"/>
  <c r="C21" i="16"/>
  <c r="L17" i="16"/>
  <c r="L16" i="16"/>
  <c r="K17" i="16"/>
  <c r="K16" i="16"/>
  <c r="J17" i="16"/>
  <c r="J16" i="16"/>
  <c r="I17" i="16"/>
  <c r="I16" i="16"/>
  <c r="H17" i="16"/>
  <c r="G17" i="16"/>
  <c r="F17" i="16"/>
  <c r="E17" i="16"/>
  <c r="D17" i="16"/>
  <c r="D16" i="16"/>
  <c r="C17" i="16"/>
  <c r="B17" i="16"/>
  <c r="B16" i="16"/>
  <c r="H16" i="16"/>
  <c r="G16" i="16"/>
  <c r="F16" i="16"/>
  <c r="E16" i="16"/>
  <c r="C16" i="16"/>
  <c r="L9" i="8"/>
  <c r="B9" i="8"/>
  <c r="L8" i="8"/>
  <c r="B8" i="8"/>
  <c r="F46" i="15"/>
  <c r="C46" i="15"/>
  <c r="E46" i="15"/>
  <c r="H44" i="4"/>
  <c r="F44" i="4"/>
  <c r="B44" i="4"/>
  <c r="F48" i="3"/>
  <c r="I48" i="3" s="1"/>
  <c r="G50" i="2" s="1"/>
  <c r="C50" i="2"/>
  <c r="H39" i="3"/>
  <c r="H38" i="3"/>
  <c r="C48" i="2"/>
  <c r="H48" i="2" s="1"/>
  <c r="C47" i="2"/>
  <c r="H47" i="2" s="1"/>
  <c r="O24" i="7"/>
  <c r="J24" i="7"/>
  <c r="J23" i="7"/>
  <c r="E23" i="7"/>
  <c r="E22" i="7"/>
  <c r="E24" i="7"/>
  <c r="O23" i="7"/>
  <c r="O22" i="7"/>
  <c r="J22" i="7"/>
  <c r="J21" i="7"/>
  <c r="O21" i="7"/>
  <c r="E21" i="7"/>
  <c r="N30" i="7"/>
  <c r="P30" i="7"/>
  <c r="N31" i="7"/>
  <c r="P31" i="7"/>
  <c r="D30" i="7"/>
  <c r="F30" i="7"/>
  <c r="D31" i="7"/>
  <c r="N29" i="7"/>
  <c r="P29" i="7"/>
  <c r="D29" i="7"/>
  <c r="F29" i="7"/>
  <c r="N27" i="7"/>
  <c r="P27" i="7"/>
  <c r="N28" i="7"/>
  <c r="D27" i="7"/>
  <c r="F27" i="7"/>
  <c r="D28" i="7"/>
  <c r="F28" i="7"/>
  <c r="N32" i="7"/>
  <c r="P32" i="7"/>
  <c r="I32" i="7"/>
  <c r="K32" i="7"/>
  <c r="D32" i="7"/>
  <c r="F32" i="7"/>
  <c r="I31" i="7"/>
  <c r="K31" i="7"/>
  <c r="F31" i="7"/>
  <c r="I30" i="7"/>
  <c r="K30" i="7"/>
  <c r="I29" i="7"/>
  <c r="K29" i="7"/>
  <c r="P28" i="7"/>
  <c r="I28" i="7"/>
  <c r="K28" i="7"/>
  <c r="I27" i="7"/>
  <c r="K27" i="7"/>
  <c r="N26" i="7"/>
  <c r="P26" i="7"/>
  <c r="I26" i="7"/>
  <c r="K26" i="7"/>
  <c r="D26" i="7"/>
  <c r="F26" i="7"/>
  <c r="E45" i="15"/>
  <c r="L45" i="15" s="1"/>
  <c r="E44" i="15"/>
  <c r="L44" i="15" s="1"/>
  <c r="M20" i="16"/>
  <c r="M8" i="16"/>
  <c r="H42" i="2"/>
  <c r="H37" i="2"/>
  <c r="H36" i="2"/>
  <c r="H32" i="2"/>
  <c r="H8" i="2"/>
  <c r="L34" i="4"/>
  <c r="L33" i="4"/>
  <c r="L14" i="4"/>
  <c r="C10" i="8"/>
  <c r="D10" i="8"/>
  <c r="E10" i="8"/>
  <c r="G10" i="8"/>
  <c r="I10" i="8"/>
  <c r="J10" i="8"/>
  <c r="K10" i="8"/>
  <c r="I33" i="8"/>
  <c r="B12" i="15" l="1"/>
  <c r="B21" i="2"/>
  <c r="B41" i="15"/>
  <c r="E6" i="16"/>
  <c r="I25" i="9"/>
  <c r="H33" i="8"/>
  <c r="B27" i="4"/>
  <c r="O25" i="9"/>
  <c r="F17" i="2"/>
  <c r="D40" i="4"/>
  <c r="H18" i="3"/>
  <c r="B41" i="4"/>
  <c r="I40" i="15"/>
  <c r="L23" i="16"/>
  <c r="E17" i="4"/>
  <c r="J37" i="15"/>
  <c r="E44" i="3"/>
  <c r="B28" i="8"/>
  <c r="H37" i="15"/>
  <c r="F40" i="15"/>
  <c r="F30" i="2"/>
  <c r="C27" i="15"/>
  <c r="K18" i="8"/>
  <c r="G6" i="7"/>
  <c r="C7" i="1" s="1"/>
  <c r="G12" i="15"/>
  <c r="H12" i="4"/>
  <c r="E14" i="9"/>
  <c r="I50" i="9"/>
  <c r="O21" i="9"/>
  <c r="O42" i="9"/>
  <c r="O20" i="9"/>
  <c r="O50" i="9"/>
  <c r="R6" i="9"/>
  <c r="R8" i="9"/>
  <c r="K20" i="15"/>
  <c r="E6" i="8"/>
  <c r="E12" i="8" s="1"/>
  <c r="J37" i="4"/>
  <c r="E40" i="15"/>
  <c r="I17" i="9"/>
  <c r="R20" i="9"/>
  <c r="B10" i="8"/>
  <c r="E23" i="16"/>
  <c r="B30" i="16"/>
  <c r="J30" i="16"/>
  <c r="B17" i="2"/>
  <c r="E21" i="2"/>
  <c r="E20" i="15"/>
  <c r="F20" i="4"/>
  <c r="B44" i="3"/>
  <c r="J28" i="8"/>
  <c r="K40" i="15"/>
  <c r="C37" i="4"/>
  <c r="F43" i="3"/>
  <c r="O33" i="9"/>
  <c r="O12" i="9"/>
  <c r="L11" i="15"/>
  <c r="K11" i="4" s="1"/>
  <c r="L11" i="4" s="1"/>
  <c r="K23" i="8"/>
  <c r="K32" i="15"/>
  <c r="J31" i="8"/>
  <c r="H44" i="3"/>
  <c r="K30" i="16"/>
  <c r="F22" i="3"/>
  <c r="C21" i="2"/>
  <c r="F18" i="3"/>
  <c r="G40" i="15"/>
  <c r="I32" i="4"/>
  <c r="H51" i="2"/>
  <c r="B11" i="16"/>
  <c r="K7" i="15"/>
  <c r="G7" i="15"/>
  <c r="C12" i="4"/>
  <c r="F6" i="2"/>
  <c r="I12" i="4"/>
  <c r="K17" i="15"/>
  <c r="I27" i="15"/>
  <c r="D27" i="4"/>
  <c r="D30" i="3"/>
  <c r="D35" i="3"/>
  <c r="E35" i="2"/>
  <c r="B30" i="2"/>
  <c r="C7" i="3"/>
  <c r="D12" i="15"/>
  <c r="E12" i="4"/>
  <c r="I15" i="9"/>
  <c r="O41" i="9"/>
  <c r="O43" i="9"/>
  <c r="O39" i="9"/>
  <c r="R43" i="9"/>
  <c r="R39" i="9"/>
  <c r="R48" i="9"/>
  <c r="R31" i="9"/>
  <c r="R50" i="9"/>
  <c r="E12" i="7"/>
  <c r="K37" i="15"/>
  <c r="I40" i="4"/>
  <c r="I38" i="3"/>
  <c r="G38" i="2" s="1"/>
  <c r="H38" i="2" s="1"/>
  <c r="B15" i="5" s="1"/>
  <c r="D40" i="2"/>
  <c r="H40" i="15"/>
  <c r="H35" i="3"/>
  <c r="J12" i="4"/>
  <c r="F12" i="4"/>
  <c r="D12" i="4"/>
  <c r="B12" i="3"/>
  <c r="B11" i="2"/>
  <c r="F8" i="9"/>
  <c r="F27" i="9"/>
  <c r="I27" i="9"/>
  <c r="I47" i="9"/>
  <c r="O11" i="9"/>
  <c r="R4" i="9"/>
  <c r="E30" i="16"/>
  <c r="G22" i="3"/>
  <c r="C22" i="3"/>
  <c r="E17" i="2"/>
  <c r="H20" i="4"/>
  <c r="F17" i="15"/>
  <c r="B17" i="15"/>
  <c r="F20" i="15"/>
  <c r="B20" i="4"/>
  <c r="G17" i="4"/>
  <c r="L36" i="15"/>
  <c r="K36" i="4" s="1"/>
  <c r="L36" i="4" s="1"/>
  <c r="C16" i="5" s="1"/>
  <c r="L30" i="15"/>
  <c r="K30" i="4" s="1"/>
  <c r="L30" i="4" s="1"/>
  <c r="C10" i="5" s="1"/>
  <c r="K27" i="15"/>
  <c r="G27" i="15"/>
  <c r="F35" i="3"/>
  <c r="L37" i="9"/>
  <c r="C18" i="16"/>
  <c r="M22" i="16"/>
  <c r="I33" i="9"/>
  <c r="D17" i="4"/>
  <c r="F37" i="4"/>
  <c r="F40" i="4"/>
  <c r="H27" i="15"/>
  <c r="C27" i="4"/>
  <c r="C30" i="3"/>
  <c r="D30" i="2"/>
  <c r="M5" i="16"/>
  <c r="C12" i="3"/>
  <c r="J7" i="4"/>
  <c r="I5" i="3"/>
  <c r="G4" i="2" s="1"/>
  <c r="H4" i="2" s="1"/>
  <c r="B5" i="1" s="1"/>
  <c r="B6" i="2"/>
  <c r="L10" i="15"/>
  <c r="K10" i="4" s="1"/>
  <c r="L10" i="4" s="1"/>
  <c r="F4" i="9"/>
  <c r="E29" i="9"/>
  <c r="F21" i="9"/>
  <c r="C37" i="9"/>
  <c r="I18" i="9"/>
  <c r="I12" i="9"/>
  <c r="I49" i="9"/>
  <c r="R12" i="9"/>
  <c r="P14" i="9"/>
  <c r="Q10" i="9"/>
  <c r="Q14" i="9"/>
  <c r="B20" i="15"/>
  <c r="C12" i="7"/>
  <c r="C40" i="2"/>
  <c r="E35" i="3"/>
  <c r="C11" i="16"/>
  <c r="H7" i="3"/>
  <c r="B7" i="7"/>
  <c r="H7" i="15"/>
  <c r="E46" i="9"/>
  <c r="F16" i="9"/>
  <c r="F42" i="9"/>
  <c r="I31" i="9"/>
  <c r="I41" i="9"/>
  <c r="I39" i="9"/>
  <c r="O4" i="9"/>
  <c r="O40" i="9"/>
  <c r="O38" i="9"/>
  <c r="R42" i="9"/>
  <c r="R47" i="9"/>
  <c r="R40" i="9"/>
  <c r="K6" i="8"/>
  <c r="K12" i="8" s="1"/>
  <c r="E40" i="2"/>
  <c r="G32" i="4"/>
  <c r="G23" i="8"/>
  <c r="E27" i="15"/>
  <c r="J27" i="4"/>
  <c r="D31" i="8"/>
  <c r="J32" i="15"/>
  <c r="G37" i="15"/>
  <c r="C32" i="15"/>
  <c r="H32" i="4"/>
  <c r="C41" i="4"/>
  <c r="D44" i="3"/>
  <c r="F35" i="2"/>
  <c r="F37" i="15"/>
  <c r="E37" i="4"/>
  <c r="D41" i="4"/>
  <c r="I11" i="16"/>
  <c r="G6" i="16"/>
  <c r="E6" i="2"/>
  <c r="I12" i="15"/>
  <c r="I17" i="3"/>
  <c r="G16" i="2" s="1"/>
  <c r="H16" i="2" s="1"/>
  <c r="L31" i="15"/>
  <c r="K31" i="4" s="1"/>
  <c r="D43" i="2"/>
  <c r="I20" i="15"/>
  <c r="L11" i="16"/>
  <c r="I21" i="9"/>
  <c r="R25" i="9"/>
  <c r="R23" i="9"/>
  <c r="D43" i="3"/>
  <c r="C43" i="3"/>
  <c r="H17" i="15"/>
  <c r="J20" i="4"/>
  <c r="J17" i="15"/>
  <c r="C17" i="15"/>
  <c r="B17" i="4"/>
  <c r="D12" i="7"/>
  <c r="C6" i="8"/>
  <c r="C12" i="8" s="1"/>
  <c r="K32" i="8"/>
  <c r="B40" i="3"/>
  <c r="B30" i="3"/>
  <c r="C44" i="2"/>
  <c r="L47" i="15"/>
  <c r="K45" i="4" s="1"/>
  <c r="L45" i="4" s="1"/>
  <c r="B33" i="1" s="1"/>
  <c r="J11" i="16"/>
  <c r="E11" i="16"/>
  <c r="K11" i="16"/>
  <c r="F6" i="16"/>
  <c r="C6" i="16"/>
  <c r="D7" i="7"/>
  <c r="E11" i="2"/>
  <c r="F7" i="7"/>
  <c r="D12" i="3"/>
  <c r="F11" i="2"/>
  <c r="C11" i="2"/>
  <c r="F6" i="9"/>
  <c r="E10" i="9"/>
  <c r="F25" i="9"/>
  <c r="F19" i="9"/>
  <c r="F31" i="9"/>
  <c r="F41" i="9"/>
  <c r="I30" i="9"/>
  <c r="G53" i="9"/>
  <c r="L10" i="9"/>
  <c r="F11" i="16"/>
  <c r="J6" i="16"/>
  <c r="F35" i="9"/>
  <c r="O18" i="9"/>
  <c r="N46" i="9"/>
  <c r="G5" i="7"/>
  <c r="B7" i="1" s="1"/>
  <c r="M8" i="8"/>
  <c r="E40" i="3"/>
  <c r="M21" i="16"/>
  <c r="D23" i="16"/>
  <c r="I30" i="16"/>
  <c r="E37" i="16"/>
  <c r="I37" i="16"/>
  <c r="F17" i="4"/>
  <c r="J20" i="15"/>
  <c r="L19" i="15"/>
  <c r="K19" i="4" s="1"/>
  <c r="L19" i="4" s="1"/>
  <c r="J32" i="8"/>
  <c r="B32" i="4"/>
  <c r="F27" i="15"/>
  <c r="B27" i="15"/>
  <c r="G40" i="4"/>
  <c r="E27" i="4"/>
  <c r="G30" i="3"/>
  <c r="I33" i="3"/>
  <c r="G33" i="2" s="1"/>
  <c r="H33" i="2" s="1"/>
  <c r="B10" i="5" s="1"/>
  <c r="L28" i="8"/>
  <c r="D32" i="15"/>
  <c r="I41" i="4"/>
  <c r="F32" i="4"/>
  <c r="I34" i="3"/>
  <c r="G34" i="2" s="1"/>
  <c r="D44" i="2"/>
  <c r="D45" i="2" s="1"/>
  <c r="L32" i="8"/>
  <c r="J41" i="15"/>
  <c r="F32" i="15"/>
  <c r="E32" i="4"/>
  <c r="E42" i="4" s="1"/>
  <c r="D37" i="4"/>
  <c r="H43" i="3"/>
  <c r="H45" i="3" s="1"/>
  <c r="B6" i="16"/>
  <c r="K12" i="15"/>
  <c r="E12" i="15"/>
  <c r="C7" i="15"/>
  <c r="B12" i="4"/>
  <c r="F30" i="9"/>
  <c r="L53" i="9"/>
  <c r="F48" i="9"/>
  <c r="I8" i="9"/>
  <c r="G37" i="9"/>
  <c r="R38" i="9"/>
  <c r="P37" i="9"/>
  <c r="P29" i="9"/>
  <c r="Q46" i="9"/>
  <c r="R49" i="9"/>
  <c r="E53" i="9"/>
  <c r="L46" i="9"/>
  <c r="O46" i="9" s="1"/>
  <c r="I29" i="3"/>
  <c r="G29" i="2" s="1"/>
  <c r="H29" i="2" s="1"/>
  <c r="B6" i="5" s="1"/>
  <c r="Q53" i="9"/>
  <c r="P53" i="9"/>
  <c r="C29" i="9"/>
  <c r="G46" i="9"/>
  <c r="K41" i="15"/>
  <c r="K42" i="15" s="1"/>
  <c r="G44" i="3"/>
  <c r="H32" i="15"/>
  <c r="D40" i="15"/>
  <c r="D37" i="15"/>
  <c r="B35" i="3"/>
  <c r="B43" i="3"/>
  <c r="E30" i="2"/>
  <c r="E43" i="2"/>
  <c r="C43" i="2"/>
  <c r="C35" i="2"/>
  <c r="L18" i="8"/>
  <c r="F41" i="15"/>
  <c r="H30" i="3"/>
  <c r="F44" i="2"/>
  <c r="M9" i="16"/>
  <c r="I7" i="15"/>
  <c r="G7" i="4"/>
  <c r="F11" i="9"/>
  <c r="F18" i="9"/>
  <c r="F23" i="9"/>
  <c r="F43" i="9"/>
  <c r="R15" i="9"/>
  <c r="L16" i="15"/>
  <c r="K16" i="4" s="1"/>
  <c r="L16" i="4" s="1"/>
  <c r="B35" i="2"/>
  <c r="B43" i="2"/>
  <c r="I20" i="9"/>
  <c r="I35" i="9"/>
  <c r="O17" i="9"/>
  <c r="R11" i="9"/>
  <c r="O49" i="9"/>
  <c r="B46" i="4"/>
  <c r="B47" i="4" s="1"/>
  <c r="I10" i="3"/>
  <c r="G9" i="2" s="1"/>
  <c r="N37" i="9"/>
  <c r="F43" i="2"/>
  <c r="F45" i="2" s="1"/>
  <c r="E41" i="4"/>
  <c r="P46" i="9"/>
  <c r="P10" i="9"/>
  <c r="G27" i="4"/>
  <c r="C49" i="2"/>
  <c r="H49" i="2" s="1"/>
  <c r="G18" i="16"/>
  <c r="M17" i="16"/>
  <c r="M35" i="16"/>
  <c r="C18" i="3"/>
  <c r="C23" i="3" s="1"/>
  <c r="G18" i="3"/>
  <c r="D20" i="1"/>
  <c r="D41" i="15"/>
  <c r="E28" i="8"/>
  <c r="H41" i="4"/>
  <c r="G40" i="3"/>
  <c r="B40" i="2"/>
  <c r="I6" i="3"/>
  <c r="G5" i="2" s="1"/>
  <c r="H5" i="2" s="1"/>
  <c r="C5" i="1" s="1"/>
  <c r="F12" i="15"/>
  <c r="E18" i="16"/>
  <c r="C17" i="2"/>
  <c r="D20" i="15"/>
  <c r="I41" i="15"/>
  <c r="F41" i="4"/>
  <c r="F44" i="3"/>
  <c r="D27" i="15"/>
  <c r="I27" i="4"/>
  <c r="B32" i="15"/>
  <c r="F7" i="4"/>
  <c r="D7" i="4"/>
  <c r="E7" i="3"/>
  <c r="D6" i="2"/>
  <c r="H12" i="3"/>
  <c r="F49" i="9"/>
  <c r="I23" i="9"/>
  <c r="I43" i="9"/>
  <c r="R35" i="9"/>
  <c r="H40" i="3"/>
  <c r="M9" i="8"/>
  <c r="I18" i="16"/>
  <c r="J37" i="16"/>
  <c r="I17" i="4"/>
  <c r="I17" i="15"/>
  <c r="J17" i="4"/>
  <c r="B12" i="7"/>
  <c r="H41" i="15"/>
  <c r="H42" i="15" s="1"/>
  <c r="G28" i="8"/>
  <c r="J27" i="15"/>
  <c r="C40" i="15"/>
  <c r="D40" i="3"/>
  <c r="E41" i="15"/>
  <c r="F27" i="4"/>
  <c r="F42" i="4" s="1"/>
  <c r="L6" i="16"/>
  <c r="B7" i="4"/>
  <c r="H12" i="15"/>
  <c r="C7" i="7"/>
  <c r="C7" i="4"/>
  <c r="D7" i="3"/>
  <c r="C6" i="2"/>
  <c r="J12" i="15"/>
  <c r="F38" i="9"/>
  <c r="I11" i="9"/>
  <c r="I48" i="9"/>
  <c r="H10" i="9"/>
  <c r="R44" i="9"/>
  <c r="Q29" i="9"/>
  <c r="C23" i="16"/>
  <c r="G20" i="15"/>
  <c r="D20" i="4"/>
  <c r="M27" i="8"/>
  <c r="D16" i="5" s="1"/>
  <c r="H11" i="16"/>
  <c r="D11" i="16"/>
  <c r="D6" i="16"/>
  <c r="E7" i="4"/>
  <c r="F33" i="9"/>
  <c r="F12" i="9"/>
  <c r="C10" i="9"/>
  <c r="G29" i="9"/>
  <c r="L10" i="8"/>
  <c r="K18" i="16"/>
  <c r="I23" i="16"/>
  <c r="M26" i="8"/>
  <c r="D15" i="5" s="1"/>
  <c r="I37" i="4"/>
  <c r="J40" i="4"/>
  <c r="J32" i="4"/>
  <c r="C31" i="8"/>
  <c r="L25" i="15"/>
  <c r="K25" i="4" s="1"/>
  <c r="L25" i="4" s="1"/>
  <c r="C5" i="5" s="1"/>
  <c r="E7" i="7"/>
  <c r="G12" i="4"/>
  <c r="G12" i="3"/>
  <c r="E37" i="9"/>
  <c r="I19" i="9"/>
  <c r="H46" i="9"/>
  <c r="O8" i="9"/>
  <c r="N14" i="9"/>
  <c r="N29" i="9"/>
  <c r="R33" i="9"/>
  <c r="F23" i="16"/>
  <c r="H30" i="16"/>
  <c r="H22" i="3"/>
  <c r="H23" i="3" s="1"/>
  <c r="E18" i="3"/>
  <c r="G20" i="4"/>
  <c r="C44" i="3"/>
  <c r="G32" i="15"/>
  <c r="G7" i="3"/>
  <c r="F15" i="9"/>
  <c r="H14" i="9"/>
  <c r="I44" i="9"/>
  <c r="O16" i="9"/>
  <c r="M22" i="8"/>
  <c r="D11" i="5" s="1"/>
  <c r="J7" i="15"/>
  <c r="F40" i="9"/>
  <c r="L46" i="15"/>
  <c r="K44" i="4" s="1"/>
  <c r="L44" i="4" s="1"/>
  <c r="B18" i="16"/>
  <c r="J18" i="16"/>
  <c r="L18" i="16"/>
  <c r="G37" i="16"/>
  <c r="I20" i="4"/>
  <c r="C20" i="4"/>
  <c r="G17" i="15"/>
  <c r="L15" i="15"/>
  <c r="K15" i="4" s="1"/>
  <c r="L15" i="4" s="1"/>
  <c r="H17" i="4"/>
  <c r="G11" i="7"/>
  <c r="C18" i="1" s="1"/>
  <c r="D21" i="1"/>
  <c r="F21" i="1" s="1"/>
  <c r="D28" i="8"/>
  <c r="J40" i="15"/>
  <c r="C40" i="3"/>
  <c r="D32" i="4"/>
  <c r="G35" i="3"/>
  <c r="E31" i="8"/>
  <c r="B31" i="8"/>
  <c r="M21" i="8"/>
  <c r="D10" i="5" s="1"/>
  <c r="E40" i="4"/>
  <c r="G18" i="8"/>
  <c r="B18" i="8"/>
  <c r="M16" i="8"/>
  <c r="D5" i="5" s="1"/>
  <c r="E32" i="15"/>
  <c r="G41" i="4"/>
  <c r="D23" i="8"/>
  <c r="B44" i="2"/>
  <c r="B45" i="2" s="1"/>
  <c r="D18" i="8"/>
  <c r="M17" i="8"/>
  <c r="D6" i="5" s="1"/>
  <c r="K6" i="16"/>
  <c r="I6" i="16"/>
  <c r="E7" i="15"/>
  <c r="L6" i="15"/>
  <c r="K6" i="4" s="1"/>
  <c r="L6" i="4" s="1"/>
  <c r="C6" i="1" s="1"/>
  <c r="I7" i="4"/>
  <c r="I40" i="9"/>
  <c r="I6" i="9"/>
  <c r="O23" i="9"/>
  <c r="K21" i="15"/>
  <c r="H50" i="2"/>
  <c r="F18" i="16"/>
  <c r="B23" i="16"/>
  <c r="M27" i="16"/>
  <c r="D37" i="16"/>
  <c r="H37" i="16"/>
  <c r="B37" i="16"/>
  <c r="L37" i="16"/>
  <c r="E22" i="3"/>
  <c r="I16" i="3"/>
  <c r="G15" i="2" s="1"/>
  <c r="D17" i="2"/>
  <c r="D17" i="15"/>
  <c r="H20" i="15"/>
  <c r="H21" i="15" s="1"/>
  <c r="F12" i="7"/>
  <c r="B6" i="8"/>
  <c r="K28" i="8"/>
  <c r="J41" i="4"/>
  <c r="G32" i="8"/>
  <c r="E32" i="8"/>
  <c r="E37" i="15"/>
  <c r="E18" i="8"/>
  <c r="C23" i="8"/>
  <c r="F30" i="3"/>
  <c r="C30" i="2"/>
  <c r="J18" i="8"/>
  <c r="H6" i="16"/>
  <c r="F7" i="15"/>
  <c r="F12" i="3"/>
  <c r="H53" i="9"/>
  <c r="I53" i="9" s="1"/>
  <c r="I42" i="9"/>
  <c r="O44" i="9"/>
  <c r="J21" i="5"/>
  <c r="G7" i="5"/>
  <c r="J20" i="5"/>
  <c r="G12" i="5"/>
  <c r="J12" i="5"/>
  <c r="D38" i="1"/>
  <c r="O33" i="7"/>
  <c r="H8" i="1"/>
  <c r="H11" i="1" s="1"/>
  <c r="B38" i="1"/>
  <c r="C36" i="1" s="1"/>
  <c r="G17" i="5"/>
  <c r="J17" i="5"/>
  <c r="E8" i="1"/>
  <c r="E11" i="1" s="1"/>
  <c r="J7" i="5"/>
  <c r="E22" i="1"/>
  <c r="E29" i="1"/>
  <c r="E33" i="7"/>
  <c r="H22" i="1"/>
  <c r="J33" i="7"/>
  <c r="H29" i="1"/>
  <c r="I6" i="8"/>
  <c r="I12" i="8" s="1"/>
  <c r="B23" i="8"/>
  <c r="C28" i="8"/>
  <c r="K31" i="8"/>
  <c r="J23" i="8"/>
  <c r="D32" i="8"/>
  <c r="L29" i="9"/>
  <c r="N53" i="9"/>
  <c r="O19" i="9"/>
  <c r="G31" i="8"/>
  <c r="L35" i="15"/>
  <c r="K35" i="4" s="1"/>
  <c r="B37" i="15"/>
  <c r="H37" i="4"/>
  <c r="B7" i="15"/>
  <c r="L5" i="15"/>
  <c r="F20" i="9"/>
  <c r="F17" i="9"/>
  <c r="C14" i="9"/>
  <c r="F50" i="9"/>
  <c r="C53" i="9"/>
  <c r="C46" i="9"/>
  <c r="F47" i="9"/>
  <c r="O15" i="9"/>
  <c r="L14" i="9"/>
  <c r="I39" i="3"/>
  <c r="G39" i="2" s="1"/>
  <c r="E20" i="4"/>
  <c r="B40" i="15"/>
  <c r="H40" i="4"/>
  <c r="C30" i="16"/>
  <c r="M28" i="16"/>
  <c r="C37" i="16"/>
  <c r="M34" i="16"/>
  <c r="I21" i="3"/>
  <c r="G20" i="2" s="1"/>
  <c r="H20" i="2" s="1"/>
  <c r="D22" i="3"/>
  <c r="I20" i="3"/>
  <c r="G19" i="2" s="1"/>
  <c r="L18" i="15"/>
  <c r="K18" i="4" s="1"/>
  <c r="L6" i="8"/>
  <c r="M4" i="8"/>
  <c r="B19" i="1" s="1"/>
  <c r="C32" i="4"/>
  <c r="C40" i="4"/>
  <c r="M10" i="16"/>
  <c r="I16" i="9"/>
  <c r="G14" i="9"/>
  <c r="I38" i="9"/>
  <c r="H37" i="9"/>
  <c r="F40" i="3"/>
  <c r="H9" i="2"/>
  <c r="I28" i="3"/>
  <c r="G28" i="2" s="1"/>
  <c r="D30" i="16"/>
  <c r="C20" i="15"/>
  <c r="B18" i="3"/>
  <c r="O30" i="9"/>
  <c r="D6" i="8"/>
  <c r="D12" i="8" s="1"/>
  <c r="G10" i="9"/>
  <c r="M4" i="16"/>
  <c r="G43" i="3"/>
  <c r="B22" i="3"/>
  <c r="H18" i="16"/>
  <c r="D18" i="16"/>
  <c r="M16" i="16"/>
  <c r="D18" i="3"/>
  <c r="E23" i="2"/>
  <c r="E17" i="15"/>
  <c r="E21" i="15" s="1"/>
  <c r="C17" i="4"/>
  <c r="M5" i="8"/>
  <c r="C19" i="1" s="1"/>
  <c r="J6" i="8"/>
  <c r="J12" i="8" s="1"/>
  <c r="F40" i="2"/>
  <c r="L26" i="15"/>
  <c r="K26" i="4" s="1"/>
  <c r="L26" i="4" s="1"/>
  <c r="C6" i="5" s="1"/>
  <c r="R41" i="9"/>
  <c r="Q37" i="9"/>
  <c r="D21" i="2"/>
  <c r="H27" i="4"/>
  <c r="E30" i="3"/>
  <c r="E43" i="3"/>
  <c r="G41" i="15"/>
  <c r="E44" i="2"/>
  <c r="B32" i="8"/>
  <c r="F7" i="3"/>
  <c r="B7" i="3"/>
  <c r="C12" i="15"/>
  <c r="I11" i="3"/>
  <c r="G10" i="2" s="1"/>
  <c r="H10" i="2" s="1"/>
  <c r="E12" i="3"/>
  <c r="F44" i="9"/>
  <c r="H29" i="9"/>
  <c r="R21" i="9"/>
  <c r="R27" i="9"/>
  <c r="L30" i="16"/>
  <c r="F21" i="2"/>
  <c r="C41" i="15"/>
  <c r="C37" i="15"/>
  <c r="C18" i="8"/>
  <c r="D35" i="2"/>
  <c r="L23" i="8"/>
  <c r="L31" i="8"/>
  <c r="R19" i="9"/>
  <c r="G22" i="5"/>
  <c r="F37" i="16"/>
  <c r="G10" i="7"/>
  <c r="B18" i="1" s="1"/>
  <c r="C32" i="8"/>
  <c r="I37" i="15"/>
  <c r="G37" i="4"/>
  <c r="B37" i="4"/>
  <c r="D7" i="15"/>
  <c r="H7" i="4"/>
  <c r="D11" i="2"/>
  <c r="N10" i="9"/>
  <c r="R30" i="9"/>
  <c r="E45" i="2" l="1"/>
  <c r="C23" i="2"/>
  <c r="B23" i="2"/>
  <c r="M10" i="8"/>
  <c r="F23" i="2"/>
  <c r="C21" i="4"/>
  <c r="L12" i="8"/>
  <c r="I21" i="4"/>
  <c r="J21" i="4"/>
  <c r="O37" i="9"/>
  <c r="K32" i="4"/>
  <c r="L32" i="4" s="1"/>
  <c r="F21" i="15"/>
  <c r="D23" i="2"/>
  <c r="B10" i="1"/>
  <c r="I14" i="9"/>
  <c r="J42" i="4"/>
  <c r="D21" i="4"/>
  <c r="K12" i="4"/>
  <c r="I21" i="15"/>
  <c r="F42" i="15"/>
  <c r="B21" i="4"/>
  <c r="K20" i="4"/>
  <c r="L20" i="4" s="1"/>
  <c r="I10" i="9"/>
  <c r="C21" i="15"/>
  <c r="C42" i="4"/>
  <c r="J42" i="15"/>
  <c r="H21" i="4"/>
  <c r="C17" i="1"/>
  <c r="F21" i="4"/>
  <c r="D7" i="1"/>
  <c r="F7" i="1" s="1"/>
  <c r="D18" i="1"/>
  <c r="O53" i="9"/>
  <c r="G12" i="7"/>
  <c r="G17" i="2"/>
  <c r="F45" i="3"/>
  <c r="B45" i="3"/>
  <c r="F29" i="9"/>
  <c r="G35" i="2"/>
  <c r="I42" i="4"/>
  <c r="E42" i="15"/>
  <c r="E45" i="3"/>
  <c r="H34" i="2"/>
  <c r="B11" i="5" s="1"/>
  <c r="B12" i="5" s="1"/>
  <c r="I37" i="9"/>
  <c r="C25" i="7"/>
  <c r="J33" i="8"/>
  <c r="K33" i="8"/>
  <c r="D21" i="15"/>
  <c r="C45" i="2"/>
  <c r="B21" i="15"/>
  <c r="R14" i="9"/>
  <c r="L31" i="4"/>
  <c r="C11" i="5" s="1"/>
  <c r="C21" i="5" s="1"/>
  <c r="B33" i="8"/>
  <c r="G42" i="4"/>
  <c r="L33" i="8"/>
  <c r="B25" i="7"/>
  <c r="C16" i="1"/>
  <c r="C22" i="1" s="1"/>
  <c r="B12" i="8"/>
  <c r="I42" i="15"/>
  <c r="R46" i="9"/>
  <c r="G21" i="4"/>
  <c r="I29" i="9"/>
  <c r="M28" i="8"/>
  <c r="F23" i="3"/>
  <c r="F10" i="9"/>
  <c r="R10" i="9"/>
  <c r="H35" i="2"/>
  <c r="L12" i="15"/>
  <c r="G42" i="15"/>
  <c r="G44" i="2"/>
  <c r="H44" i="2" s="1"/>
  <c r="D42" i="4"/>
  <c r="G23" i="3"/>
  <c r="R53" i="9"/>
  <c r="D45" i="3"/>
  <c r="G21" i="15"/>
  <c r="I12" i="3"/>
  <c r="G54" i="9"/>
  <c r="D7" i="5"/>
  <c r="I44" i="3"/>
  <c r="D23" i="3"/>
  <c r="R29" i="9"/>
  <c r="J21" i="15"/>
  <c r="H15" i="2"/>
  <c r="G7" i="7"/>
  <c r="M11" i="16"/>
  <c r="L41" i="15"/>
  <c r="C10" i="1"/>
  <c r="D10" i="1" s="1"/>
  <c r="I30" i="3"/>
  <c r="I40" i="3"/>
  <c r="E33" i="8"/>
  <c r="H17" i="2"/>
  <c r="M23" i="16"/>
  <c r="D42" i="15"/>
  <c r="H39" i="2"/>
  <c r="B16" i="5" s="1"/>
  <c r="B17" i="5" s="1"/>
  <c r="C8" i="1"/>
  <c r="B32" i="1" s="1"/>
  <c r="G33" i="8"/>
  <c r="M18" i="16"/>
  <c r="G45" i="3"/>
  <c r="G40" i="2"/>
  <c r="H40" i="2" s="1"/>
  <c r="P54" i="9"/>
  <c r="P52" i="9" s="1"/>
  <c r="H42" i="4"/>
  <c r="E23" i="3"/>
  <c r="L32" i="15"/>
  <c r="I35" i="3"/>
  <c r="K17" i="4"/>
  <c r="K21" i="4" s="1"/>
  <c r="I46" i="9"/>
  <c r="L27" i="15"/>
  <c r="F20" i="1"/>
  <c r="G6" i="2"/>
  <c r="H6" i="2" s="1"/>
  <c r="D5" i="1" s="1"/>
  <c r="D21" i="5"/>
  <c r="D33" i="8"/>
  <c r="C45" i="3"/>
  <c r="L12" i="4"/>
  <c r="B28" i="1"/>
  <c r="L54" i="9"/>
  <c r="M49" i="9" s="1"/>
  <c r="F37" i="9"/>
  <c r="E54" i="9"/>
  <c r="E52" i="9" s="1"/>
  <c r="M32" i="8"/>
  <c r="H54" i="9"/>
  <c r="H52" i="9" s="1"/>
  <c r="I7" i="3"/>
  <c r="C42" i="15"/>
  <c r="M23" i="8"/>
  <c r="M6" i="16"/>
  <c r="M18" i="8"/>
  <c r="M31" i="8"/>
  <c r="J22" i="5"/>
  <c r="C37" i="1"/>
  <c r="E37" i="1"/>
  <c r="E36" i="1"/>
  <c r="D12" i="5"/>
  <c r="C27" i="1"/>
  <c r="F14" i="9"/>
  <c r="K41" i="4"/>
  <c r="L41" i="4" s="1"/>
  <c r="K27" i="4"/>
  <c r="L27" i="4" s="1"/>
  <c r="G11" i="2"/>
  <c r="H11" i="2" s="1"/>
  <c r="M30" i="16"/>
  <c r="L40" i="15"/>
  <c r="B42" i="15"/>
  <c r="O14" i="9"/>
  <c r="D42" i="9"/>
  <c r="F53" i="9"/>
  <c r="L7" i="15"/>
  <c r="K5" i="4"/>
  <c r="L37" i="15"/>
  <c r="C33" i="8"/>
  <c r="I22" i="3"/>
  <c r="B23" i="3"/>
  <c r="F46" i="9"/>
  <c r="C54" i="9"/>
  <c r="D14" i="9" s="1"/>
  <c r="M29" i="9"/>
  <c r="O29" i="9"/>
  <c r="Q54" i="9"/>
  <c r="Q52" i="9" s="1"/>
  <c r="R37" i="9"/>
  <c r="D25" i="7"/>
  <c r="L20" i="15"/>
  <c r="G43" i="2"/>
  <c r="H28" i="2"/>
  <c r="G30" i="2"/>
  <c r="H30" i="2" s="1"/>
  <c r="K37" i="4"/>
  <c r="K40" i="4"/>
  <c r="L40" i="4" s="1"/>
  <c r="E10" i="5"/>
  <c r="L18" i="4"/>
  <c r="B17" i="1" s="1"/>
  <c r="D17" i="1" s="1"/>
  <c r="O10" i="9"/>
  <c r="N54" i="9"/>
  <c r="N52" i="9" s="1"/>
  <c r="B42" i="4"/>
  <c r="F18" i="1"/>
  <c r="M6" i="8"/>
  <c r="C7" i="5"/>
  <c r="I43" i="3"/>
  <c r="I18" i="3"/>
  <c r="L17" i="15"/>
  <c r="D19" i="1"/>
  <c r="H19" i="2"/>
  <c r="G21" i="2"/>
  <c r="M37" i="16"/>
  <c r="E21" i="4"/>
  <c r="E6" i="5"/>
  <c r="F6" i="5" s="1"/>
  <c r="L35" i="4"/>
  <c r="C15" i="5" s="1"/>
  <c r="E15" i="5" s="1"/>
  <c r="D17" i="5"/>
  <c r="D20" i="5"/>
  <c r="C12" i="5" l="1"/>
  <c r="M6" i="9"/>
  <c r="E11" i="5"/>
  <c r="F11" i="5" s="1"/>
  <c r="H11" i="5" s="1"/>
  <c r="M12" i="8"/>
  <c r="I23" i="3"/>
  <c r="L21" i="15"/>
  <c r="B16" i="1"/>
  <c r="D16" i="1" s="1"/>
  <c r="B21" i="5"/>
  <c r="E21" i="5" s="1"/>
  <c r="F21" i="5" s="1"/>
  <c r="H21" i="5" s="1"/>
  <c r="C28" i="1"/>
  <c r="C29" i="1" s="1"/>
  <c r="E16" i="5"/>
  <c r="F16" i="5" s="1"/>
  <c r="H16" i="5" s="1"/>
  <c r="M39" i="9"/>
  <c r="M37" i="9"/>
  <c r="M4" i="9"/>
  <c r="M48" i="9"/>
  <c r="M44" i="9"/>
  <c r="M53" i="9"/>
  <c r="M15" i="9"/>
  <c r="M43" i="9"/>
  <c r="M16" i="9"/>
  <c r="M41" i="9"/>
  <c r="M50" i="9"/>
  <c r="M20" i="9"/>
  <c r="D22" i="5"/>
  <c r="M42" i="9"/>
  <c r="C11" i="1"/>
  <c r="M25" i="7" s="1"/>
  <c r="L52" i="9"/>
  <c r="M52" i="9" s="1"/>
  <c r="M21" i="9"/>
  <c r="M54" i="9"/>
  <c r="M11" i="9"/>
  <c r="I54" i="9"/>
  <c r="K42" i="4"/>
  <c r="L42" i="4" s="1"/>
  <c r="G52" i="9"/>
  <c r="I52" i="9" s="1"/>
  <c r="M33" i="8"/>
  <c r="L21" i="4"/>
  <c r="F5" i="1"/>
  <c r="L17" i="4"/>
  <c r="L42" i="15"/>
  <c r="M30" i="9"/>
  <c r="M10" i="9"/>
  <c r="M27" i="9"/>
  <c r="M47" i="9"/>
  <c r="M23" i="9"/>
  <c r="M8" i="9"/>
  <c r="M40" i="9"/>
  <c r="M38" i="9"/>
  <c r="M12" i="9"/>
  <c r="C33" i="1"/>
  <c r="M14" i="9"/>
  <c r="M46" i="9"/>
  <c r="M31" i="9"/>
  <c r="M17" i="9"/>
  <c r="M35" i="9"/>
  <c r="M19" i="9"/>
  <c r="M18" i="9"/>
  <c r="M33" i="9"/>
  <c r="M25" i="9"/>
  <c r="I45" i="3"/>
  <c r="L37" i="4"/>
  <c r="O54" i="9"/>
  <c r="D46" i="9"/>
  <c r="C32" i="1"/>
  <c r="B22" i="1"/>
  <c r="F17" i="1"/>
  <c r="F15" i="5"/>
  <c r="C17" i="5"/>
  <c r="C20" i="5"/>
  <c r="C22" i="5" s="1"/>
  <c r="K7" i="4"/>
  <c r="L7" i="4" s="1"/>
  <c r="L5" i="4"/>
  <c r="B6" i="1" s="1"/>
  <c r="D53" i="9"/>
  <c r="F10" i="1"/>
  <c r="H6" i="5"/>
  <c r="G23" i="2"/>
  <c r="H23" i="2" s="1"/>
  <c r="H21" i="2"/>
  <c r="R52" i="9"/>
  <c r="B5" i="5"/>
  <c r="B27" i="1"/>
  <c r="B29" i="1" s="1"/>
  <c r="F25" i="7"/>
  <c r="F19" i="1"/>
  <c r="F10" i="5"/>
  <c r="R54" i="9"/>
  <c r="G45" i="2"/>
  <c r="H45" i="2" s="1"/>
  <c r="H43" i="2"/>
  <c r="D23" i="9"/>
  <c r="D39" i="9"/>
  <c r="D27" i="9"/>
  <c r="D18" i="9"/>
  <c r="D15" i="9"/>
  <c r="D30" i="9"/>
  <c r="D4" i="9"/>
  <c r="D43" i="9"/>
  <c r="D35" i="9"/>
  <c r="D33" i="9"/>
  <c r="D16" i="9"/>
  <c r="D21" i="9"/>
  <c r="D37" i="9"/>
  <c r="C52" i="9"/>
  <c r="D54" i="9"/>
  <c r="D40" i="9"/>
  <c r="D41" i="9"/>
  <c r="D6" i="9"/>
  <c r="D31" i="9"/>
  <c r="D19" i="9"/>
  <c r="D48" i="9"/>
  <c r="D29" i="9"/>
  <c r="F54" i="9"/>
  <c r="D8" i="9"/>
  <c r="D11" i="9"/>
  <c r="D49" i="9"/>
  <c r="D38" i="9"/>
  <c r="D12" i="9"/>
  <c r="D44" i="9"/>
  <c r="D25" i="9"/>
  <c r="D20" i="9"/>
  <c r="D50" i="9"/>
  <c r="D17" i="9"/>
  <c r="D47" i="9"/>
  <c r="D10" i="9"/>
  <c r="E12" i="5" l="1"/>
  <c r="O52" i="9"/>
  <c r="D28" i="1"/>
  <c r="F28" i="1" s="1"/>
  <c r="E17" i="5"/>
  <c r="D27" i="1" s="1"/>
  <c r="H25" i="7"/>
  <c r="H10" i="5"/>
  <c r="F12" i="5"/>
  <c r="H12" i="5" s="1"/>
  <c r="D6" i="1"/>
  <c r="B8" i="1"/>
  <c r="B11" i="1" s="1"/>
  <c r="L25" i="7" s="1"/>
  <c r="D52" i="9"/>
  <c r="F52" i="9"/>
  <c r="E5" i="5"/>
  <c r="B7" i="5"/>
  <c r="B20" i="5"/>
  <c r="H15" i="5"/>
  <c r="F17" i="5"/>
  <c r="H17" i="5" s="1"/>
  <c r="F16" i="1"/>
  <c r="D22" i="1"/>
  <c r="F22" i="1" s="1"/>
  <c r="E20" i="5" l="1"/>
  <c r="B22" i="5"/>
  <c r="F27" i="1"/>
  <c r="D29" i="1"/>
  <c r="F29" i="1" s="1"/>
  <c r="E7" i="5"/>
  <c r="F5" i="5"/>
  <c r="F6" i="1"/>
  <c r="D8" i="1"/>
  <c r="G25" i="7"/>
  <c r="N25" i="7"/>
  <c r="I25" i="7" l="1"/>
  <c r="F7" i="5"/>
  <c r="H7" i="5" s="1"/>
  <c r="H5" i="5"/>
  <c r="E22" i="5"/>
  <c r="F20" i="5"/>
  <c r="F8" i="1"/>
  <c r="D11" i="1"/>
  <c r="F11" i="1" s="1"/>
  <c r="P25" i="7"/>
  <c r="H20" i="5" l="1"/>
  <c r="F22" i="5"/>
  <c r="H22" i="5" s="1"/>
  <c r="K25" i="7"/>
  <c r="C23" i="7" l="1"/>
  <c r="B23" i="7"/>
  <c r="D23" i="7" s="1"/>
  <c r="F23" i="7" s="1"/>
  <c r="L23" i="7" l="1"/>
  <c r="G23" i="7" l="1"/>
  <c r="M23" i="7" l="1"/>
  <c r="N23" i="7" s="1"/>
  <c r="P23" i="7" s="1"/>
  <c r="H23" i="7" l="1"/>
  <c r="I23" i="7" s="1"/>
  <c r="K23" i="7" s="1"/>
  <c r="C21" i="7" l="1"/>
  <c r="B21" i="7"/>
  <c r="D21" i="7" s="1"/>
  <c r="M21" i="7" l="1"/>
  <c r="F21" i="7"/>
  <c r="L21" i="7"/>
  <c r="H21" i="7" l="1"/>
  <c r="G21" i="7"/>
  <c r="N21" i="7"/>
  <c r="P21" i="7" l="1"/>
  <c r="I21" i="7"/>
  <c r="K21" i="7" l="1"/>
  <c r="C22" i="7" l="1"/>
  <c r="B22" i="7"/>
  <c r="M22" i="7"/>
  <c r="H22" i="7" l="1"/>
  <c r="D22" i="7"/>
  <c r="L22" i="7"/>
  <c r="G22" i="7" l="1"/>
  <c r="F22" i="7"/>
  <c r="N22" i="7"/>
  <c r="P22" i="7" l="1"/>
  <c r="I22" i="7"/>
  <c r="K22" i="7" l="1"/>
  <c r="G21" i="1" l="1"/>
  <c r="G20" i="1"/>
  <c r="I20" i="1" l="1"/>
  <c r="I21" i="1"/>
  <c r="D33" i="1"/>
  <c r="G18" i="1"/>
  <c r="G7" i="1"/>
  <c r="G5" i="1"/>
  <c r="I5" i="1" l="1"/>
  <c r="C24" i="7"/>
  <c r="C33" i="7" s="1"/>
  <c r="G19" i="1"/>
  <c r="I18" i="1"/>
  <c r="I7" i="1"/>
  <c r="B24" i="7"/>
  <c r="G16" i="1"/>
  <c r="G6" i="1"/>
  <c r="D32" i="1"/>
  <c r="D34" i="1" l="1"/>
  <c r="E33" i="1" s="1"/>
  <c r="M24" i="7"/>
  <c r="M33" i="7" s="1"/>
  <c r="I6" i="1"/>
  <c r="D24" i="7"/>
  <c r="B33" i="7"/>
  <c r="I19" i="1"/>
  <c r="I16" i="1"/>
  <c r="G8" i="1"/>
  <c r="G17" i="1"/>
  <c r="G10" i="1"/>
  <c r="G24" i="7" l="1"/>
  <c r="H24" i="7"/>
  <c r="H33" i="7" s="1"/>
  <c r="I17" i="1"/>
  <c r="G22" i="1"/>
  <c r="I22" i="1" s="1"/>
  <c r="E32" i="1"/>
  <c r="G33" i="7"/>
  <c r="L24" i="7"/>
  <c r="I10" i="1"/>
  <c r="I8" i="1"/>
  <c r="G11" i="1"/>
  <c r="I11" i="1" s="1"/>
  <c r="F24" i="7"/>
  <c r="D33" i="7"/>
  <c r="F33" i="7" s="1"/>
  <c r="I24" i="7" l="1"/>
  <c r="K24" i="7" s="1"/>
  <c r="N24" i="7"/>
  <c r="L33" i="7"/>
  <c r="I16" i="5"/>
  <c r="I33" i="7" l="1"/>
  <c r="K33" i="7" s="1"/>
  <c r="P24" i="7"/>
  <c r="N33" i="7"/>
  <c r="P33" i="7" s="1"/>
  <c r="I11" i="5" l="1"/>
  <c r="G28" i="1"/>
  <c r="I6" i="5"/>
  <c r="I15" i="5"/>
  <c r="I5" i="5"/>
  <c r="G27" i="1"/>
  <c r="I27" i="1" l="1"/>
  <c r="G29" i="1"/>
  <c r="I29" i="1" s="1"/>
  <c r="I28" i="1"/>
  <c r="K5" i="5"/>
  <c r="I7" i="5"/>
  <c r="K7" i="5" s="1"/>
  <c r="K11" i="5"/>
  <c r="K15" i="5"/>
  <c r="I17" i="5"/>
  <c r="K17" i="5" s="1"/>
  <c r="K6" i="5"/>
  <c r="I21" i="5"/>
  <c r="K21" i="5" s="1"/>
  <c r="I10" i="5"/>
  <c r="K10" i="5" l="1"/>
  <c r="I12" i="5"/>
  <c r="K12" i="5" s="1"/>
  <c r="I20" i="5"/>
  <c r="K20" i="5" l="1"/>
  <c r="I22" i="5"/>
  <c r="K22" i="5" s="1"/>
</calcChain>
</file>

<file path=xl/sharedStrings.xml><?xml version="1.0" encoding="utf-8"?>
<sst xmlns="http://schemas.openxmlformats.org/spreadsheetml/2006/main" count="525" uniqueCount="217">
  <si>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</si>
  <si>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</si>
  <si>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</si>
  <si>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</si>
  <si>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</si>
  <si>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</si>
  <si>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</si>
  <si>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</si>
  <si>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</si>
  <si>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</si>
  <si>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</si>
  <si>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</si>
  <si>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</si>
  <si>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</si>
  <si>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</si>
  <si>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</si>
  <si>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</si>
  <si>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</si>
  <si>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</si>
  <si>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</si>
  <si>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</si>
  <si>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</si>
  <si>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</si>
  <si>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</si>
  <si>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</si>
  <si>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</si>
  <si>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</si>
  <si>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</si>
  <si>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</si>
  <si>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</si>
  <si>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</si>
  <si>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</si>
  <si>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</si>
  <si>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</si>
  <si>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</si>
  <si>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</si>
  <si>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</si>
  <si>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</si>
  <si>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</si>
  <si>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</si>
  <si>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</si>
  <si>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</si>
  <si>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</si>
  <si>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</si>
  <si>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</si>
  <si>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</si>
  <si>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</si>
  <si>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</si>
  <si>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</si>
  <si>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</si>
  <si>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</si>
  <si>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</si>
  <si>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</si>
  <si>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</si>
  <si>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</si>
  <si>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</si>
  <si>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</si>
  <si>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</si>
  <si>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</si>
  <si>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</si>
  <si>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</si>
  <si>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</si>
  <si>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</si>
  <si>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</si>
  <si>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</si>
  <si>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</si>
  <si>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</si>
  <si>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</si>
  <si>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</si>
  <si>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</si>
  <si>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</si>
  <si>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</si>
  <si>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</si>
  <si>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</si>
  <si>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</si>
  <si>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</si>
  <si>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</si>
  <si>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</si>
  <si>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</si>
  <si>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</si>
  <si>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</si>
  <si>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</si>
  <si>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</si>
  <si>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</si>
  <si>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</si>
  <si>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</si>
  <si>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</si>
  <si>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</si>
  <si>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</si>
  <si>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</si>
  <si>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</si>
  <si>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</si>
  <si>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</si>
  <si>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</si>
  <si>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</si>
  <si>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</si>
  <si>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</si>
  <si>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</si>
  <si>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</si>
  <si>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</si>
  <si>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</si>
  <si>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</si>
  <si>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</si>
  <si>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</si>
  <si>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</si>
  <si>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</si>
  <si>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</si>
  <si>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</si>
  <si>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</si>
  <si>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</si>
  <si>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</si>
  <si>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</si>
  <si>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</si>
  <si>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</si>
  <si>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</si>
  <si>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</si>
  <si>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</si>
  <si>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</si>
  <si>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</si>
  <si>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</si>
  <si>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</si>
  <si>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</si>
  <si>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</si>
  <si>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</si>
  <si>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</si>
  <si>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</si>
  <si>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</si>
  <si>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</si>
  <si>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</si>
  <si>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</si>
  <si>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</si>
  <si>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</si>
  <si>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</si>
  <si>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</si>
  <si>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</si>
  <si>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</si>
  <si>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</si>
  <si>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</si>
  <si>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</si>
  <si>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</si>
  <si>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</si>
  <si>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</si>
  <si>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</si>
  <si>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</si>
  <si>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</si>
  <si>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</si>
  <si>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</si>
  <si>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</si>
  <si>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</si>
  <si>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</si>
  <si>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</si>
  <si>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</si>
  <si>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</si>
  <si>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</si>
  <si>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</si>
  <si>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</si>
  <si>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</si>
  <si>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</si>
  <si>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</si>
  <si>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</si>
  <si>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</si>
  <si>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</si>
  <si>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</si>
  <si>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</si>
  <si>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</si>
  <si>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</si>
  <si>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</si>
  <si>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</si>
  <si>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</si>
  <si>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</si>
  <si>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</si>
  <si>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</si>
  <si>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</si>
  <si>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</si>
  <si>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</si>
  <si>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</si>
  <si>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</si>
  <si>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</si>
  <si>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</si>
  <si>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</si>
  <si>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</si>
  <si>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</si>
  <si>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</si>
  <si>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</si>
  <si>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</si>
  <si>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</si>
  <si>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</si>
  <si>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</si>
  <si>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</si>
  <si>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</si>
  <si>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</si>
  <si>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</si>
  <si>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</si>
  <si>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</si>
  <si>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</si>
  <si>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</si>
  <si>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</si>
  <si>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</si>
  <si>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</si>
  <si>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</si>
  <si>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</si>
  <si>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</si>
  <si>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</si>
  <si>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</si>
  <si>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</si>
  <si>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</si>
  <si>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</si>
  <si>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</si>
  <si>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</si>
  <si>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</si>
  <si>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</si>
  <si>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</si>
  <si>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</si>
  <si>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</si>
  <si>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</si>
  <si>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May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</si>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</sst>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5" fontId="0" fillId="0" borderId="0" xfId="1" applyNumberFormat="1" applyFont="1"/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75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77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9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41" fontId="0" fillId="0" borderId="81" xfId="0" applyNumberFormat="1" applyBorder="1" applyAlignment="1">
      <alignment horizontal="center"/>
    </xf>
    <xf numFmtId="0" fontId="4" fillId="0" borderId="82" xfId="0" applyFont="1" applyBorder="1" applyAlignment="1">
      <alignment horizontal="center"/>
    </xf>
    <xf numFmtId="10" fontId="4" fillId="3" borderId="83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1" fontId="1" fillId="0" borderId="0" xfId="0" applyNumberFormat="1" applyFont="1" applyBorder="1"/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86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323775</xdr:colOff>
      <xdr:row>7</xdr:row>
      <xdr:rowOff>133365</xdr:rowOff>
    </xdr:from>
    <xdr:to>
      <xdr:col>1</xdr:col>
      <xdr:colOff>324135</xdr:colOff>
      <xdr:row>7</xdr:row>
      <xdr:rowOff>143085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3" name="Ink 32"/>
            <xdr14:cNvContentPartPr/>
          </xdr14:nvContentPartPr>
          <xdr14:nvPr macro=""/>
          <xdr14:xfrm>
            <a:off x="1885875" y="1114440"/>
            <a:ext cx="360" cy="9720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873995" y="1102560"/>
              <a:ext cx="24120" cy="33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>
        <row r="5">
          <cell r="D5">
            <v>1930686</v>
          </cell>
          <cell r="G5">
            <v>9022753</v>
          </cell>
        </row>
        <row r="6">
          <cell r="D6">
            <v>824830</v>
          </cell>
          <cell r="G6">
            <v>3820831</v>
          </cell>
        </row>
        <row r="7">
          <cell r="D7">
            <v>298</v>
          </cell>
          <cell r="G7">
            <v>3957</v>
          </cell>
        </row>
        <row r="10">
          <cell r="D10">
            <v>95373</v>
          </cell>
          <cell r="G10">
            <v>447002</v>
          </cell>
        </row>
        <row r="16">
          <cell r="D16">
            <v>16239</v>
          </cell>
          <cell r="G16">
            <v>77013</v>
          </cell>
        </row>
        <row r="17">
          <cell r="D17">
            <v>17167</v>
          </cell>
          <cell r="G17">
            <v>82337</v>
          </cell>
        </row>
        <row r="18">
          <cell r="D18">
            <v>2</v>
          </cell>
          <cell r="G18">
            <v>42</v>
          </cell>
        </row>
        <row r="19">
          <cell r="D19">
            <v>1058</v>
          </cell>
          <cell r="G19">
            <v>4665</v>
          </cell>
        </row>
        <row r="20">
          <cell r="D20">
            <v>2005</v>
          </cell>
          <cell r="G20">
            <v>8666</v>
          </cell>
        </row>
        <row r="21">
          <cell r="D21">
            <v>119</v>
          </cell>
          <cell r="G21">
            <v>532</v>
          </cell>
        </row>
        <row r="27">
          <cell r="D27">
            <v>16624.019746865299</v>
          </cell>
          <cell r="G27">
            <v>76036.658763587067</v>
          </cell>
        </row>
        <row r="28">
          <cell r="D28">
            <v>755.30205645972001</v>
          </cell>
          <cell r="G28">
            <v>6432.8433626010401</v>
          </cell>
        </row>
        <row r="32">
          <cell r="B32">
            <v>734922</v>
          </cell>
          <cell r="D32">
            <v>3651250</v>
          </cell>
        </row>
        <row r="33">
          <cell r="B33">
            <v>636847</v>
          </cell>
          <cell r="D33">
            <v>2754526</v>
          </cell>
        </row>
      </sheetData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>
        <row r="5">
          <cell r="F5">
            <v>7979.4463803731596</v>
          </cell>
          <cell r="I5">
            <v>38175.630226193462</v>
          </cell>
        </row>
        <row r="6">
          <cell r="F6">
            <v>440.75615952136997</v>
          </cell>
          <cell r="I6">
            <v>2310.2724926812298</v>
          </cell>
        </row>
        <row r="10">
          <cell r="F10">
            <v>8644.573366492139</v>
          </cell>
          <cell r="I10">
            <v>37861.028537393606</v>
          </cell>
        </row>
        <row r="11">
          <cell r="F11">
            <v>314.54589693834998</v>
          </cell>
          <cell r="I11">
            <v>4122.5708699198103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16624.019746865299</v>
          </cell>
        </row>
        <row r="21">
          <cell r="F21">
            <v>755.30205645972001</v>
          </cell>
        </row>
      </sheetData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7668627</v>
          </cell>
        </row>
        <row r="6">
          <cell r="G6">
            <v>3034809</v>
          </cell>
        </row>
        <row r="7">
          <cell r="G7">
            <v>1973</v>
          </cell>
        </row>
        <row r="10">
          <cell r="G10">
            <v>342370</v>
          </cell>
        </row>
        <row r="16">
          <cell r="G16">
            <v>60262</v>
          </cell>
        </row>
        <row r="17">
          <cell r="G17">
            <v>62189</v>
          </cell>
        </row>
        <row r="18">
          <cell r="G18">
            <v>35</v>
          </cell>
        </row>
        <row r="19">
          <cell r="G19">
            <v>3984</v>
          </cell>
        </row>
        <row r="20">
          <cell r="G20">
            <v>7773</v>
          </cell>
        </row>
        <row r="21">
          <cell r="G21">
            <v>445</v>
          </cell>
        </row>
        <row r="27">
          <cell r="G27">
            <v>60148.412107283497</v>
          </cell>
        </row>
        <row r="28">
          <cell r="G28">
            <v>6437.7036048455893</v>
          </cell>
        </row>
        <row r="32">
          <cell r="D32">
            <v>3121665</v>
          </cell>
        </row>
        <row r="33">
          <cell r="D33">
            <v>2212772</v>
          </cell>
        </row>
      </sheetData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>
        <row r="5">
          <cell r="I5">
            <v>28252.32508399455</v>
          </cell>
        </row>
        <row r="6">
          <cell r="I6">
            <v>2485.4829782182396</v>
          </cell>
        </row>
        <row r="10">
          <cell r="I10">
            <v>31896.087023288947</v>
          </cell>
        </row>
        <row r="11">
          <cell r="I11">
            <v>3952.2206266273502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  <sheetName val="Sheet2"/>
    </sheetNames>
    <sheetDataSet>
      <sheetData sheetId="0"/>
      <sheetData sheetId="1">
        <row r="70">
          <cell r="AJ70">
            <v>293925</v>
          </cell>
        </row>
      </sheetData>
      <sheetData sheetId="2">
        <row r="4">
          <cell r="DV4">
            <v>0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</row>
      </sheetData>
      <sheetData sheetId="3">
        <row r="4">
          <cell r="DJ4">
            <v>112</v>
          </cell>
          <cell r="DN4">
            <v>114</v>
          </cell>
        </row>
        <row r="5">
          <cell r="DN5">
            <v>114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</row>
        <row r="22">
          <cell r="DN22">
            <v>11866</v>
          </cell>
        </row>
        <row r="23">
          <cell r="DN23">
            <v>11029</v>
          </cell>
        </row>
        <row r="27">
          <cell r="DN27">
            <v>180</v>
          </cell>
        </row>
        <row r="28">
          <cell r="DN28">
            <v>171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</row>
      </sheetData>
      <sheetData sheetId="4">
        <row r="4">
          <cell r="DJ4">
            <v>62</v>
          </cell>
          <cell r="DN4">
            <v>62</v>
          </cell>
        </row>
        <row r="5">
          <cell r="DN5">
            <v>62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</row>
        <row r="22">
          <cell r="DN22">
            <v>7879</v>
          </cell>
        </row>
        <row r="23">
          <cell r="DN23">
            <v>8462</v>
          </cell>
        </row>
        <row r="27">
          <cell r="DN27">
            <v>406</v>
          </cell>
        </row>
        <row r="28">
          <cell r="DN28">
            <v>396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</row>
        <row r="47">
          <cell r="DN47">
            <v>48818</v>
          </cell>
        </row>
        <row r="52">
          <cell r="DN52">
            <v>9311</v>
          </cell>
        </row>
      </sheetData>
      <sheetData sheetId="5"/>
      <sheetData sheetId="6">
        <row r="4">
          <cell r="DJ4">
            <v>284</v>
          </cell>
          <cell r="DN4">
            <v>209</v>
          </cell>
        </row>
        <row r="5">
          <cell r="DN5">
            <v>209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</row>
        <row r="22">
          <cell r="DN22">
            <v>26576</v>
          </cell>
        </row>
        <row r="23">
          <cell r="DN23">
            <v>25121</v>
          </cell>
        </row>
        <row r="27">
          <cell r="DN27">
            <v>1123</v>
          </cell>
        </row>
        <row r="28">
          <cell r="DN28">
            <v>1155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</row>
        <row r="47">
          <cell r="DN47">
            <v>44628</v>
          </cell>
        </row>
        <row r="52">
          <cell r="DN52">
            <v>34081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</row>
      </sheetData>
      <sheetData sheetId="8">
        <row r="4">
          <cell r="DV4">
            <v>0</v>
          </cell>
        </row>
      </sheetData>
      <sheetData sheetId="9">
        <row r="4">
          <cell r="DJ4">
            <v>4126</v>
          </cell>
          <cell r="DN4">
            <v>4773</v>
          </cell>
        </row>
        <row r="5">
          <cell r="DN5">
            <v>4758</v>
          </cell>
        </row>
        <row r="8">
          <cell r="DN8">
            <v>1</v>
          </cell>
        </row>
        <row r="9">
          <cell r="DN9">
            <v>9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</row>
        <row r="22">
          <cell r="DN22">
            <v>671952</v>
          </cell>
        </row>
        <row r="23">
          <cell r="DN23">
            <v>659624</v>
          </cell>
        </row>
        <row r="27">
          <cell r="DN27">
            <v>24074</v>
          </cell>
        </row>
        <row r="28">
          <cell r="DN28">
            <v>23556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</row>
        <row r="47">
          <cell r="DN47">
            <v>3735226</v>
          </cell>
        </row>
        <row r="48">
          <cell r="DN48">
            <v>936205</v>
          </cell>
        </row>
        <row r="52">
          <cell r="DN52">
            <v>4038967</v>
          </cell>
        </row>
        <row r="53">
          <cell r="DN53">
            <v>57668</v>
          </cell>
        </row>
        <row r="70">
          <cell r="DN70">
            <v>277702</v>
          </cell>
        </row>
        <row r="71">
          <cell r="DN71">
            <v>381922</v>
          </cell>
        </row>
        <row r="73">
          <cell r="DN73">
            <v>20285</v>
          </cell>
        </row>
        <row r="74">
          <cell r="DN74">
            <v>27897</v>
          </cell>
        </row>
      </sheetData>
      <sheetData sheetId="10">
        <row r="4">
          <cell r="DJ4">
            <v>96</v>
          </cell>
          <cell r="DN4">
            <v>120</v>
          </cell>
        </row>
        <row r="5">
          <cell r="DN5">
            <v>119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</row>
        <row r="22">
          <cell r="DN22">
            <v>16464</v>
          </cell>
        </row>
        <row r="23">
          <cell r="DN23">
            <v>16334</v>
          </cell>
        </row>
        <row r="27">
          <cell r="DN27">
            <v>295</v>
          </cell>
        </row>
        <row r="28">
          <cell r="DN28">
            <v>304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</row>
      </sheetData>
      <sheetData sheetId="11">
        <row r="4">
          <cell r="DJ4">
            <v>255</v>
          </cell>
          <cell r="DN4">
            <v>50</v>
          </cell>
        </row>
        <row r="5">
          <cell r="DN5">
            <v>50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</row>
        <row r="22">
          <cell r="DN22">
            <v>363</v>
          </cell>
        </row>
        <row r="23">
          <cell r="DN23">
            <v>408</v>
          </cell>
        </row>
        <row r="27">
          <cell r="DN27">
            <v>36</v>
          </cell>
        </row>
        <row r="28">
          <cell r="DN28">
            <v>31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</row>
        <row r="47">
          <cell r="DN47">
            <v>7</v>
          </cell>
        </row>
      </sheetData>
      <sheetData sheetId="12">
        <row r="8">
          <cell r="DV8">
            <v>0</v>
          </cell>
        </row>
        <row r="15">
          <cell r="DN15">
            <v>13</v>
          </cell>
        </row>
        <row r="16">
          <cell r="DN16">
            <v>13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</row>
        <row r="32">
          <cell r="DN32">
            <v>1353</v>
          </cell>
        </row>
        <row r="33">
          <cell r="DN33">
            <v>2209</v>
          </cell>
        </row>
        <row r="37">
          <cell r="DN37">
            <v>48</v>
          </cell>
        </row>
        <row r="38">
          <cell r="DN38">
            <v>42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</row>
        <row r="47">
          <cell r="DN47">
            <v>1016</v>
          </cell>
        </row>
        <row r="52">
          <cell r="DN52">
            <v>385</v>
          </cell>
        </row>
      </sheetData>
      <sheetData sheetId="13"/>
      <sheetData sheetId="14">
        <row r="4">
          <cell r="DJ4">
            <v>568</v>
          </cell>
          <cell r="DN4">
            <v>631</v>
          </cell>
        </row>
        <row r="5">
          <cell r="DN5">
            <v>629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</row>
        <row r="22">
          <cell r="DN22">
            <v>71583</v>
          </cell>
        </row>
        <row r="23">
          <cell r="DN23">
            <v>67962</v>
          </cell>
        </row>
        <row r="27">
          <cell r="DN27">
            <v>1192</v>
          </cell>
        </row>
        <row r="28">
          <cell r="DN28">
            <v>1109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</row>
        <row r="47">
          <cell r="DN47">
            <v>217752</v>
          </cell>
        </row>
        <row r="52">
          <cell r="DN52">
            <v>68332</v>
          </cell>
        </row>
        <row r="70">
          <cell r="DN70">
            <v>66904</v>
          </cell>
        </row>
        <row r="71">
          <cell r="DN71">
            <v>1058</v>
          </cell>
        </row>
      </sheetData>
      <sheetData sheetId="15">
        <row r="4">
          <cell r="DJ4">
            <v>341</v>
          </cell>
          <cell r="DN4">
            <v>286</v>
          </cell>
        </row>
        <row r="5">
          <cell r="DN5">
            <v>286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</row>
        <row r="22">
          <cell r="DN22">
            <v>36386</v>
          </cell>
        </row>
        <row r="23">
          <cell r="DN23">
            <v>34958</v>
          </cell>
        </row>
        <row r="27">
          <cell r="DN27">
            <v>265</v>
          </cell>
        </row>
        <row r="28">
          <cell r="DN28">
            <v>471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</row>
      </sheetData>
      <sheetData sheetId="16">
        <row r="4">
          <cell r="DJ4">
            <v>600</v>
          </cell>
          <cell r="DN4">
            <v>581</v>
          </cell>
        </row>
        <row r="5">
          <cell r="DN5">
            <v>582</v>
          </cell>
        </row>
        <row r="8">
          <cell r="DN8">
            <v>37</v>
          </cell>
        </row>
        <row r="9">
          <cell r="DN9">
            <v>36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</row>
        <row r="22">
          <cell r="DN22">
            <v>57985</v>
          </cell>
        </row>
        <row r="23">
          <cell r="DN23">
            <v>52634</v>
          </cell>
        </row>
        <row r="27">
          <cell r="DN27">
            <v>1504</v>
          </cell>
        </row>
        <row r="28">
          <cell r="DN28">
            <v>1528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</row>
        <row r="47">
          <cell r="DN47">
            <v>66252</v>
          </cell>
        </row>
        <row r="48">
          <cell r="DN48">
            <v>58099</v>
          </cell>
        </row>
        <row r="53">
          <cell r="DN53">
            <v>280104</v>
          </cell>
        </row>
        <row r="70">
          <cell r="DN70">
            <v>45462</v>
          </cell>
        </row>
        <row r="71">
          <cell r="DN71">
            <v>7172</v>
          </cell>
        </row>
        <row r="73">
          <cell r="DN73">
            <v>2709</v>
          </cell>
        </row>
        <row r="74">
          <cell r="DN74">
            <v>0</v>
          </cell>
        </row>
      </sheetData>
      <sheetData sheetId="17">
        <row r="4">
          <cell r="DJ4">
            <v>171</v>
          </cell>
          <cell r="DN4">
            <v>134</v>
          </cell>
        </row>
        <row r="5">
          <cell r="DN5">
            <v>134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</row>
        <row r="22">
          <cell r="DN22">
            <v>15873</v>
          </cell>
        </row>
        <row r="23">
          <cell r="DN23">
            <v>16414</v>
          </cell>
        </row>
        <row r="27">
          <cell r="DN27">
            <v>555</v>
          </cell>
        </row>
        <row r="28">
          <cell r="DN28">
            <v>619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</row>
        <row r="47">
          <cell r="DN47">
            <v>22603</v>
          </cell>
        </row>
        <row r="48">
          <cell r="DN48">
            <v>135575</v>
          </cell>
        </row>
        <row r="52">
          <cell r="DN52">
            <v>13732</v>
          </cell>
        </row>
        <row r="53">
          <cell r="DN53">
            <v>134067</v>
          </cell>
        </row>
      </sheetData>
      <sheetData sheetId="18">
        <row r="4">
          <cell r="DJ4">
            <v>330</v>
          </cell>
          <cell r="DN4">
            <v>350</v>
          </cell>
        </row>
        <row r="5">
          <cell r="DN5">
            <v>355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</row>
        <row r="22">
          <cell r="DN22">
            <v>48618</v>
          </cell>
        </row>
        <row r="23">
          <cell r="DN23">
            <v>46536</v>
          </cell>
        </row>
        <row r="27">
          <cell r="DN27">
            <v>1628</v>
          </cell>
        </row>
        <row r="28">
          <cell r="DN28">
            <v>1699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</row>
        <row r="47">
          <cell r="DN47">
            <v>31445</v>
          </cell>
        </row>
        <row r="48">
          <cell r="DN48">
            <v>29964</v>
          </cell>
        </row>
        <row r="52">
          <cell r="DN52">
            <v>8165</v>
          </cell>
        </row>
        <row r="53">
          <cell r="DN53">
            <v>59517</v>
          </cell>
        </row>
      </sheetData>
      <sheetData sheetId="19">
        <row r="4">
          <cell r="DV4">
            <v>0</v>
          </cell>
        </row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</row>
      </sheetData>
      <sheetData sheetId="20">
        <row r="4">
          <cell r="DJ4">
            <v>3</v>
          </cell>
        </row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</row>
      </sheetData>
      <sheetData sheetId="21">
        <row r="4">
          <cell r="DJ4">
            <v>202</v>
          </cell>
          <cell r="DN4">
            <v>223</v>
          </cell>
        </row>
        <row r="5">
          <cell r="DN5">
            <v>221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</row>
        <row r="22">
          <cell r="DN22">
            <v>15055</v>
          </cell>
        </row>
        <row r="23">
          <cell r="DN23">
            <v>15041</v>
          </cell>
        </row>
        <row r="27">
          <cell r="DN27">
            <v>103</v>
          </cell>
        </row>
        <row r="28">
          <cell r="DN28">
            <v>39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</row>
      </sheetData>
      <sheetData sheetId="22">
        <row r="4">
          <cell r="DJ4">
            <v>399</v>
          </cell>
          <cell r="DN4">
            <v>591</v>
          </cell>
        </row>
        <row r="5">
          <cell r="DN5">
            <v>587</v>
          </cell>
        </row>
        <row r="9">
          <cell r="DN9">
            <v>2</v>
          </cell>
        </row>
        <row r="15">
          <cell r="DN15">
            <v>1</v>
          </cell>
        </row>
        <row r="16">
          <cell r="DN16">
            <v>2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</row>
        <row r="22">
          <cell r="DN22">
            <v>35033</v>
          </cell>
        </row>
        <row r="23">
          <cell r="DN23">
            <v>35175</v>
          </cell>
        </row>
        <row r="27">
          <cell r="DN27">
            <v>1044</v>
          </cell>
        </row>
        <row r="28">
          <cell r="DN28">
            <v>875</v>
          </cell>
        </row>
        <row r="33">
          <cell r="DN33">
            <v>96</v>
          </cell>
        </row>
        <row r="38">
          <cell r="DN38">
            <v>4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</row>
        <row r="70">
          <cell r="DN70">
            <v>12804</v>
          </cell>
        </row>
        <row r="71">
          <cell r="DN71">
            <v>22371</v>
          </cell>
        </row>
        <row r="73">
          <cell r="DN73">
            <v>35</v>
          </cell>
        </row>
        <row r="74">
          <cell r="DN74">
            <v>61</v>
          </cell>
        </row>
      </sheetData>
      <sheetData sheetId="23"/>
      <sheetData sheetId="24">
        <row r="4">
          <cell r="DJ4">
            <v>18</v>
          </cell>
        </row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</row>
      </sheetData>
      <sheetData sheetId="25">
        <row r="70">
          <cell r="BF70">
            <v>11766</v>
          </cell>
        </row>
      </sheetData>
      <sheetData sheetId="26">
        <row r="4">
          <cell r="DJ4">
            <v>1111</v>
          </cell>
          <cell r="DN4">
            <v>888</v>
          </cell>
        </row>
        <row r="5">
          <cell r="DN5">
            <v>885</v>
          </cell>
        </row>
        <row r="8">
          <cell r="DN8">
            <v>1</v>
          </cell>
        </row>
        <row r="9">
          <cell r="DN9">
            <v>3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</row>
        <row r="22">
          <cell r="DN22">
            <v>57585</v>
          </cell>
        </row>
        <row r="23">
          <cell r="DN23">
            <v>56306</v>
          </cell>
        </row>
        <row r="27">
          <cell r="DN27">
            <v>1771</v>
          </cell>
        </row>
        <row r="28">
          <cell r="DN28">
            <v>1939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</row>
        <row r="70">
          <cell r="BG70">
            <v>26242</v>
          </cell>
          <cell r="DN70">
            <v>18863</v>
          </cell>
        </row>
        <row r="71">
          <cell r="BG71">
            <v>44562</v>
          </cell>
          <cell r="DN71">
            <v>37443</v>
          </cell>
        </row>
        <row r="73">
          <cell r="BG73">
            <v>1540</v>
          </cell>
          <cell r="DN73">
            <v>4488</v>
          </cell>
        </row>
        <row r="74">
          <cell r="BG74">
            <v>2614</v>
          </cell>
          <cell r="DN74">
            <v>8908</v>
          </cell>
        </row>
      </sheetData>
      <sheetData sheetId="27"/>
      <sheetData sheetId="28">
        <row r="4">
          <cell r="DJ4">
            <v>211</v>
          </cell>
          <cell r="DN4">
            <v>194</v>
          </cell>
        </row>
        <row r="5">
          <cell r="DN5">
            <v>194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</row>
        <row r="22">
          <cell r="DN22">
            <v>8764</v>
          </cell>
        </row>
        <row r="23">
          <cell r="DN23">
            <v>8255</v>
          </cell>
        </row>
        <row r="27">
          <cell r="DN27">
            <v>290</v>
          </cell>
        </row>
        <row r="28">
          <cell r="DN28">
            <v>282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</row>
      </sheetData>
      <sheetData sheetId="29">
        <row r="70">
          <cell r="BF70">
            <v>2169</v>
          </cell>
        </row>
      </sheetData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</row>
      </sheetData>
      <sheetData sheetId="31">
        <row r="4">
          <cell r="DJ4">
            <v>148</v>
          </cell>
          <cell r="DN4">
            <v>178</v>
          </cell>
        </row>
        <row r="5">
          <cell r="DN5">
            <v>178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</row>
        <row r="22">
          <cell r="DN22">
            <v>11722</v>
          </cell>
        </row>
        <row r="23">
          <cell r="DN23">
            <v>11474</v>
          </cell>
        </row>
        <row r="27">
          <cell r="DN27">
            <v>255</v>
          </cell>
        </row>
        <row r="28">
          <cell r="DN28">
            <v>188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</row>
      </sheetData>
      <sheetData sheetId="32">
        <row r="4">
          <cell r="DJ4">
            <v>25</v>
          </cell>
          <cell r="DN4">
            <v>27</v>
          </cell>
        </row>
        <row r="5">
          <cell r="DN5">
            <v>27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</row>
        <row r="22">
          <cell r="DN22">
            <v>1759</v>
          </cell>
        </row>
        <row r="23">
          <cell r="DN23">
            <v>1823</v>
          </cell>
        </row>
        <row r="27">
          <cell r="DN27">
            <v>48</v>
          </cell>
        </row>
        <row r="28">
          <cell r="DN28">
            <v>34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</row>
      </sheetData>
      <sheetData sheetId="33">
        <row r="4">
          <cell r="DO4">
            <v>64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</row>
      </sheetData>
      <sheetData sheetId="34">
        <row r="70">
          <cell r="AJ70">
            <v>46686</v>
          </cell>
        </row>
      </sheetData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</row>
      </sheetData>
      <sheetData sheetId="36">
        <row r="4">
          <cell r="DJ4">
            <v>3290</v>
          </cell>
          <cell r="DN4">
            <v>3334</v>
          </cell>
        </row>
        <row r="5">
          <cell r="DN5">
            <v>3333</v>
          </cell>
        </row>
        <row r="9">
          <cell r="DN9">
            <v>4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</row>
        <row r="22">
          <cell r="DN22">
            <v>168466</v>
          </cell>
        </row>
        <row r="23">
          <cell r="DN23">
            <v>161946</v>
          </cell>
        </row>
        <row r="27">
          <cell r="DN27">
            <v>5211</v>
          </cell>
        </row>
        <row r="28">
          <cell r="DN28">
            <v>5361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</row>
        <row r="70">
          <cell r="DN70">
            <v>43915</v>
          </cell>
        </row>
        <row r="71">
          <cell r="DN71">
            <v>118031</v>
          </cell>
        </row>
        <row r="73">
          <cell r="DN73">
            <v>4296</v>
          </cell>
        </row>
        <row r="74">
          <cell r="DN74">
            <v>11733</v>
          </cell>
        </row>
      </sheetData>
      <sheetData sheetId="37"/>
      <sheetData sheetId="38">
        <row r="4">
          <cell r="DJ4">
            <v>92</v>
          </cell>
          <cell r="DN4">
            <v>86</v>
          </cell>
        </row>
        <row r="5">
          <cell r="DN5">
            <v>87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</row>
        <row r="22">
          <cell r="DN22">
            <v>5609</v>
          </cell>
        </row>
        <row r="23">
          <cell r="DN23">
            <v>5388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</row>
      </sheetData>
      <sheetData sheetId="39">
        <row r="4">
          <cell r="DJ4">
            <v>30</v>
          </cell>
          <cell r="DN4">
            <v>165</v>
          </cell>
        </row>
        <row r="5">
          <cell r="DN5">
            <v>165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</row>
        <row r="22">
          <cell r="DN22">
            <v>10207</v>
          </cell>
        </row>
        <row r="23">
          <cell r="DN23">
            <v>9900</v>
          </cell>
        </row>
        <row r="27">
          <cell r="DN27">
            <v>302</v>
          </cell>
        </row>
        <row r="28">
          <cell r="DN28">
            <v>246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</row>
      </sheetData>
      <sheetData sheetId="40">
        <row r="4">
          <cell r="DJ4">
            <v>1359</v>
          </cell>
          <cell r="DN4">
            <v>1470</v>
          </cell>
        </row>
        <row r="5">
          <cell r="DN5">
            <v>1466</v>
          </cell>
        </row>
        <row r="9">
          <cell r="DN9">
            <v>3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</row>
        <row r="22">
          <cell r="DN22">
            <v>59112</v>
          </cell>
        </row>
        <row r="23">
          <cell r="DN23">
            <v>60106</v>
          </cell>
        </row>
        <row r="27">
          <cell r="DN27">
            <v>2646</v>
          </cell>
        </row>
        <row r="28">
          <cell r="DN28">
            <v>2640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</row>
        <row r="70">
          <cell r="DN70">
            <v>13043</v>
          </cell>
        </row>
        <row r="71">
          <cell r="DN71">
            <v>47063</v>
          </cell>
        </row>
        <row r="73">
          <cell r="DN73">
            <v>929</v>
          </cell>
        </row>
        <row r="74">
          <cell r="DN74">
            <v>3352</v>
          </cell>
        </row>
      </sheetData>
      <sheetData sheetId="41">
        <row r="4">
          <cell r="DJ4">
            <v>102</v>
          </cell>
          <cell r="DN4">
            <v>190</v>
          </cell>
        </row>
        <row r="5">
          <cell r="DN5">
            <v>190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</row>
        <row r="22">
          <cell r="DN22">
            <v>12197</v>
          </cell>
        </row>
        <row r="23">
          <cell r="DN23">
            <v>11443</v>
          </cell>
        </row>
        <row r="27">
          <cell r="DN27">
            <v>412</v>
          </cell>
        </row>
        <row r="28">
          <cell r="DN28">
            <v>436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</row>
        <row r="70">
          <cell r="DN70">
            <v>4291</v>
          </cell>
        </row>
        <row r="71">
          <cell r="DN71">
            <v>7152</v>
          </cell>
        </row>
      </sheetData>
      <sheetData sheetId="42">
        <row r="4">
          <cell r="DJ4">
            <v>83</v>
          </cell>
          <cell r="DN4">
            <v>139</v>
          </cell>
        </row>
        <row r="5">
          <cell r="DN5">
            <v>139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</row>
        <row r="22">
          <cell r="DN22">
            <v>9024</v>
          </cell>
        </row>
        <row r="23">
          <cell r="DN23">
            <v>8934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</row>
      </sheetData>
      <sheetData sheetId="43"/>
      <sheetData sheetId="44"/>
      <sheetData sheetId="45"/>
      <sheetData sheetId="46">
        <row r="4">
          <cell r="DV4">
            <v>0</v>
          </cell>
        </row>
      </sheetData>
      <sheetData sheetId="47">
        <row r="4">
          <cell r="DV4">
            <v>0</v>
          </cell>
        </row>
      </sheetData>
      <sheetData sheetId="48">
        <row r="4">
          <cell r="DV4">
            <v>0</v>
          </cell>
        </row>
      </sheetData>
      <sheetData sheetId="49">
        <row r="4">
          <cell r="DJ4">
            <v>4</v>
          </cell>
          <cell r="DN4">
            <v>2</v>
          </cell>
        </row>
        <row r="5">
          <cell r="DN5">
            <v>4</v>
          </cell>
        </row>
        <row r="22">
          <cell r="DN22">
            <v>296</v>
          </cell>
        </row>
        <row r="23">
          <cell r="DN23">
            <v>298</v>
          </cell>
        </row>
      </sheetData>
      <sheetData sheetId="50">
        <row r="4">
          <cell r="DL4">
            <v>1</v>
          </cell>
        </row>
      </sheetData>
      <sheetData sheetId="51">
        <row r="4">
          <cell r="DJ4">
            <v>22</v>
          </cell>
          <cell r="DN4">
            <v>21</v>
          </cell>
        </row>
        <row r="5">
          <cell r="DN5">
            <v>21</v>
          </cell>
        </row>
        <row r="47">
          <cell r="DN47">
            <v>640586</v>
          </cell>
        </row>
        <row r="52">
          <cell r="DN52">
            <v>424392</v>
          </cell>
        </row>
      </sheetData>
      <sheetData sheetId="52">
        <row r="15">
          <cell r="DJ15">
            <v>22</v>
          </cell>
          <cell r="DN15">
            <v>21</v>
          </cell>
        </row>
        <row r="16">
          <cell r="DN16">
            <v>21</v>
          </cell>
        </row>
        <row r="47">
          <cell r="DN47">
            <v>22042</v>
          </cell>
        </row>
        <row r="52">
          <cell r="DN52">
            <v>56530</v>
          </cell>
        </row>
      </sheetData>
      <sheetData sheetId="53">
        <row r="4">
          <cell r="DJ4">
            <v>101</v>
          </cell>
          <cell r="DN4">
            <v>94</v>
          </cell>
        </row>
        <row r="5">
          <cell r="DN5">
            <v>94</v>
          </cell>
        </row>
        <row r="47">
          <cell r="DN47">
            <v>5924657</v>
          </cell>
        </row>
        <row r="52">
          <cell r="DN52">
            <v>8739983</v>
          </cell>
        </row>
      </sheetData>
      <sheetData sheetId="54">
        <row r="4">
          <cell r="DJ4">
            <v>99</v>
          </cell>
          <cell r="DN4">
            <v>96</v>
          </cell>
        </row>
        <row r="5">
          <cell r="DN5">
            <v>96</v>
          </cell>
        </row>
        <row r="47">
          <cell r="DN47">
            <v>5393153</v>
          </cell>
        </row>
        <row r="48">
          <cell r="DN48">
            <v>9948</v>
          </cell>
        </row>
        <row r="52">
          <cell r="DN52">
            <v>4970978</v>
          </cell>
        </row>
        <row r="53">
          <cell r="DN53">
            <v>82482</v>
          </cell>
        </row>
      </sheetData>
      <sheetData sheetId="55"/>
      <sheetData sheetId="56"/>
      <sheetData sheetId="57"/>
      <sheetData sheetId="58">
        <row r="4">
          <cell r="DJ4">
            <v>249</v>
          </cell>
          <cell r="DN4">
            <v>231</v>
          </cell>
        </row>
        <row r="5">
          <cell r="DN5">
            <v>231</v>
          </cell>
        </row>
      </sheetData>
      <sheetData sheetId="59">
        <row r="4">
          <cell r="DJ4">
            <v>1</v>
          </cell>
        </row>
      </sheetData>
      <sheetData sheetId="60">
        <row r="4">
          <cell r="DJ4">
            <v>21</v>
          </cell>
          <cell r="DN4">
            <v>21</v>
          </cell>
        </row>
        <row r="5">
          <cell r="DN5">
            <v>21</v>
          </cell>
        </row>
        <row r="47">
          <cell r="DN47">
            <v>134430</v>
          </cell>
        </row>
        <row r="52">
          <cell r="DN52">
            <v>37420</v>
          </cell>
        </row>
      </sheetData>
      <sheetData sheetId="61">
        <row r="4">
          <cell r="DJ4">
            <v>27</v>
          </cell>
          <cell r="DN4">
            <v>26</v>
          </cell>
        </row>
        <row r="5">
          <cell r="DN5">
            <v>26</v>
          </cell>
        </row>
        <row r="47">
          <cell r="DN47">
            <v>30143</v>
          </cell>
        </row>
        <row r="52">
          <cell r="DN52">
            <v>38796</v>
          </cell>
        </row>
      </sheetData>
      <sheetData sheetId="62">
        <row r="4">
          <cell r="DJ4">
            <v>47</v>
          </cell>
          <cell r="DN4">
            <v>48</v>
          </cell>
        </row>
        <row r="5">
          <cell r="DN5">
            <v>49</v>
          </cell>
        </row>
      </sheetData>
      <sheetData sheetId="63">
        <row r="4">
          <cell r="DJ4">
            <v>843</v>
          </cell>
          <cell r="DN4">
            <v>990</v>
          </cell>
        </row>
        <row r="5">
          <cell r="DN5">
            <v>990</v>
          </cell>
        </row>
      </sheetData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800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879" units="1/cm"/>
          <inkml:channelProperty channel="T" name="resolution" value="1" units="1/dev"/>
        </inkml:channelProperties>
      </inkml:inkSource>
      <inkml:timestamp xml:id="ts0" timeString="2014-02-19T22:13:31.5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89B7337C-A658-4F00-9B21-9273C5AD5CD9}" emma:medium="tactile" emma:mode="ink">
          <msink:context xmlns:msink="http://schemas.microsoft.com/ink/2010/main" type="inkDrawing" rotatedBoundingBox="5238,3095 5238,3121 5223,3121 5223,3095" shapeName="Other"/>
        </emma:interpretation>
      </emma:emma>
    </inkml:annotationXML>
    <inkml:trace contextRef="#ctx0" brushRef="#br0">0 0 0,'0'26'46</inkml:trace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33" sqref="B3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4" customWidth="1"/>
    <col min="8" max="8" width="14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41760</v>
      </c>
      <c r="B2" s="17"/>
      <c r="C2" s="17"/>
      <c r="D2" s="484" t="s">
        <v>193</v>
      </c>
      <c r="E2" s="484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5"/>
      <c r="E3" s="486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Stats'!H4</f>
        <v>1015446</v>
      </c>
      <c r="C5" s="302">
        <f>'Major Airline Stats'!H5</f>
        <v>992582</v>
      </c>
      <c r="D5" s="5">
        <f>'Major Airline Stats'!H6</f>
        <v>2008028</v>
      </c>
      <c r="E5" s="9">
        <f>'[1]Monthly Summary'!D5</f>
        <v>1930686</v>
      </c>
      <c r="F5" s="41">
        <f>(D5-E5)/E5</f>
        <v>4.0059336422390797E-2</v>
      </c>
      <c r="G5" s="9">
        <f>+D5+'[2]Monthly Summary'!G5</f>
        <v>9676655</v>
      </c>
      <c r="H5" s="9">
        <f>'[1]Monthly Summary'!G5</f>
        <v>9022753</v>
      </c>
      <c r="I5" s="88">
        <f>(G5-H5)/H5</f>
        <v>7.247255909587684E-2</v>
      </c>
      <c r="J5" s="9"/>
    </row>
    <row r="6" spans="1:14" x14ac:dyDescent="0.2">
      <c r="A6" s="70" t="s">
        <v>5</v>
      </c>
      <c r="B6" s="300">
        <f>'Regional Major'!L5</f>
        <v>428897</v>
      </c>
      <c r="C6" s="300">
        <f>'Regional Major'!L6</f>
        <v>423712</v>
      </c>
      <c r="D6" s="5">
        <f>B6+C6</f>
        <v>852609</v>
      </c>
      <c r="E6" s="9">
        <f>'[1]Monthly Summary'!D6</f>
        <v>824830</v>
      </c>
      <c r="F6" s="41">
        <f>(D6-E6)/E6</f>
        <v>3.3678454954354231E-2</v>
      </c>
      <c r="G6" s="9">
        <f>+D6+'[2]Monthly Summary'!G6</f>
        <v>3887418</v>
      </c>
      <c r="H6" s="9">
        <f>'[1]Monthly Summary'!G6</f>
        <v>3820831</v>
      </c>
      <c r="I6" s="88">
        <f>(G6-H6)/H6</f>
        <v>1.742736069718865E-2</v>
      </c>
      <c r="J6" s="21"/>
      <c r="K6" s="2"/>
    </row>
    <row r="7" spans="1:14" x14ac:dyDescent="0.2">
      <c r="A7" s="70" t="s">
        <v>6</v>
      </c>
      <c r="B7" s="9">
        <f>Charter!G5</f>
        <v>296</v>
      </c>
      <c r="C7" s="301">
        <f>Charter!G6</f>
        <v>298</v>
      </c>
      <c r="D7" s="5">
        <f>B7+C7</f>
        <v>594</v>
      </c>
      <c r="E7" s="9">
        <f>'[1]Monthly Summary'!D7</f>
        <v>298</v>
      </c>
      <c r="F7" s="41">
        <f>(D7-E7)/E7</f>
        <v>0.99328859060402686</v>
      </c>
      <c r="G7" s="9">
        <f>+D7+'[2]Monthly Summary'!G7</f>
        <v>2567</v>
      </c>
      <c r="H7" s="9">
        <f>'[1]Monthly Summary'!G7</f>
        <v>3957</v>
      </c>
      <c r="I7" s="88">
        <f>(G7-H7)/H7</f>
        <v>-0.35127621935809955</v>
      </c>
      <c r="J7" s="21"/>
      <c r="K7" s="2"/>
    </row>
    <row r="8" spans="1:14" x14ac:dyDescent="0.2">
      <c r="A8" s="73" t="s">
        <v>7</v>
      </c>
      <c r="B8" s="152">
        <f>SUM(B5:B7)</f>
        <v>1444639</v>
      </c>
      <c r="C8" s="152">
        <f>SUM(C5:C7)</f>
        <v>1416592</v>
      </c>
      <c r="D8" s="152">
        <f>SUM(D5:D7)</f>
        <v>2861231</v>
      </c>
      <c r="E8" s="152">
        <f>SUM(E5:E7)</f>
        <v>2755814</v>
      </c>
      <c r="F8" s="95">
        <f>(D8-E8)/E8</f>
        <v>3.8252581632867821E-2</v>
      </c>
      <c r="G8" s="152">
        <f>SUM(G5:G7)</f>
        <v>13566640</v>
      </c>
      <c r="H8" s="152">
        <f>SUM(H5:H7)</f>
        <v>12847541</v>
      </c>
      <c r="I8" s="94">
        <f>(G8-H8)/H8</f>
        <v>5.597172252651305E-2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Stats'!H9+'Regional Major'!L10</f>
        <v>44995</v>
      </c>
      <c r="C10" s="303">
        <f>'Major Airline Stats'!H10+'Regional Major'!L11</f>
        <v>44725</v>
      </c>
      <c r="D10" s="124">
        <f>SUM(B10:C10)</f>
        <v>89720</v>
      </c>
      <c r="E10" s="124">
        <f>'[1]Monthly Summary'!D10</f>
        <v>95373</v>
      </c>
      <c r="F10" s="96">
        <f>(D10-E10)/E10</f>
        <v>-5.9272540446457592E-2</v>
      </c>
      <c r="G10" s="118">
        <f>+D10+'[2]Monthly Summary'!G10</f>
        <v>432090</v>
      </c>
      <c r="H10" s="124">
        <f>'[1]Monthly Summary'!G10</f>
        <v>447002</v>
      </c>
      <c r="I10" s="99">
        <f>(G10-H10)/H10</f>
        <v>-3.3360029709039334E-2</v>
      </c>
      <c r="J10" s="263"/>
    </row>
    <row r="11" spans="1:14" ht="15.75" thickBot="1" x14ac:dyDescent="0.3">
      <c r="A11" s="72" t="s">
        <v>15</v>
      </c>
      <c r="B11" s="278">
        <f>B10+B8</f>
        <v>1489634</v>
      </c>
      <c r="C11" s="278">
        <f>C10+C8</f>
        <v>1461317</v>
      </c>
      <c r="D11" s="278">
        <f>D10+D8</f>
        <v>2950951</v>
      </c>
      <c r="E11" s="278">
        <f>E10+E8</f>
        <v>2851187</v>
      </c>
      <c r="F11" s="97">
        <f>(D11-E11)/E11</f>
        <v>3.499033911139466E-2</v>
      </c>
      <c r="G11" s="278">
        <f>G8+G10</f>
        <v>13998730</v>
      </c>
      <c r="H11" s="278">
        <f>H8+H10</f>
        <v>13294543</v>
      </c>
      <c r="I11" s="100">
        <f>(G11-H11)/H11</f>
        <v>5.2968123838480194E-2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4" t="s">
        <v>193</v>
      </c>
      <c r="E13" s="484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5"/>
      <c r="E14" s="486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Stats'!H15+'Major Airline Stats'!H19</f>
        <v>7599</v>
      </c>
      <c r="C16" s="311">
        <f>'Major Airline Stats'!H16+'Major Airline Stats'!H20</f>
        <v>7595</v>
      </c>
      <c r="D16" s="49">
        <f t="shared" ref="D16:D21" si="0">SUM(B16:C16)</f>
        <v>15194</v>
      </c>
      <c r="E16" s="9">
        <f>'[1]Monthly Summary'!D16</f>
        <v>16239</v>
      </c>
      <c r="F16" s="98">
        <f t="shared" ref="F16:F22" si="1">(D16-E16)/E16</f>
        <v>-6.4351253155982516E-2</v>
      </c>
      <c r="G16" s="49">
        <f>+D16+'[2]Monthly Summary'!G16</f>
        <v>75456</v>
      </c>
      <c r="H16" s="9">
        <f>'[1]Monthly Summary'!G16</f>
        <v>77013</v>
      </c>
      <c r="I16" s="261">
        <f t="shared" ref="I16:I22" si="2">(G16-H16)/H16</f>
        <v>-2.0217365899263762E-2</v>
      </c>
      <c r="N16" s="134"/>
    </row>
    <row r="17" spans="1:12" x14ac:dyDescent="0.2">
      <c r="A17" s="71" t="s">
        <v>5</v>
      </c>
      <c r="B17" s="49">
        <f>'Regional Major'!L15+'Regional Major'!L18</f>
        <v>8180</v>
      </c>
      <c r="C17" s="49">
        <f>'Regional Major'!L16+'Regional Major'!L19</f>
        <v>8176</v>
      </c>
      <c r="D17" s="49">
        <f>SUM(B17:C17)</f>
        <v>16356</v>
      </c>
      <c r="E17" s="9">
        <f>'[1]Monthly Summary'!D17</f>
        <v>17167</v>
      </c>
      <c r="F17" s="98">
        <f t="shared" si="1"/>
        <v>-4.7241801130075145E-2</v>
      </c>
      <c r="G17" s="49">
        <f>+D17+'[2]Monthly Summary'!G17</f>
        <v>78545</v>
      </c>
      <c r="H17" s="9">
        <f>'[1]Monthly Summary'!G17</f>
        <v>82337</v>
      </c>
      <c r="I17" s="261">
        <f t="shared" si="2"/>
        <v>-4.6054629146070419E-2</v>
      </c>
    </row>
    <row r="18" spans="1:12" x14ac:dyDescent="0.2">
      <c r="A18" s="71" t="s">
        <v>10</v>
      </c>
      <c r="B18" s="49">
        <f>Charter!G10</f>
        <v>2</v>
      </c>
      <c r="C18" s="49">
        <f>Charter!G11</f>
        <v>4</v>
      </c>
      <c r="D18" s="49">
        <f t="shared" si="0"/>
        <v>6</v>
      </c>
      <c r="E18" s="9">
        <f>'[1]Monthly Summary'!D18</f>
        <v>2</v>
      </c>
      <c r="F18" s="98">
        <f t="shared" si="1"/>
        <v>2</v>
      </c>
      <c r="G18" s="49">
        <f>+D18+'[2]Monthly Summary'!G18</f>
        <v>41</v>
      </c>
      <c r="H18" s="9">
        <f>'[1]Monthly Summary'!G18</f>
        <v>42</v>
      </c>
      <c r="I18" s="261">
        <f t="shared" si="2"/>
        <v>-2.3809523809523808E-2</v>
      </c>
    </row>
    <row r="19" spans="1:12" x14ac:dyDescent="0.2">
      <c r="A19" s="71" t="s">
        <v>11</v>
      </c>
      <c r="B19" s="49">
        <f>Cargo!M4</f>
        <v>510</v>
      </c>
      <c r="C19" s="49">
        <f>Cargo!M5</f>
        <v>510</v>
      </c>
      <c r="D19" s="49">
        <f t="shared" si="0"/>
        <v>1020</v>
      </c>
      <c r="E19" s="9">
        <f>'[1]Monthly Summary'!D19</f>
        <v>1058</v>
      </c>
      <c r="F19" s="98">
        <f t="shared" si="1"/>
        <v>-3.5916824196597356E-2</v>
      </c>
      <c r="G19" s="49">
        <f>+D19+'[2]Monthly Summary'!G19</f>
        <v>5004</v>
      </c>
      <c r="H19" s="9">
        <f>'[1]Monthly Summary'!G19</f>
        <v>4665</v>
      </c>
      <c r="I19" s="261">
        <f t="shared" si="2"/>
        <v>7.2668810289389069E-2</v>
      </c>
    </row>
    <row r="20" spans="1:12" x14ac:dyDescent="0.2">
      <c r="A20" s="71" t="s">
        <v>172</v>
      </c>
      <c r="B20" s="49">
        <f>'[3]General Avation'!$DN$4</f>
        <v>990</v>
      </c>
      <c r="C20" s="49">
        <f>'[3]General Avation'!$DN$5</f>
        <v>990</v>
      </c>
      <c r="D20" s="49">
        <f t="shared" si="0"/>
        <v>1980</v>
      </c>
      <c r="E20" s="9">
        <f>'[1]Monthly Summary'!D20</f>
        <v>2005</v>
      </c>
      <c r="F20" s="98">
        <f t="shared" si="1"/>
        <v>-1.2468827930174564E-2</v>
      </c>
      <c r="G20" s="49">
        <f>+D20+'[2]Monthly Summary'!G20</f>
        <v>9753</v>
      </c>
      <c r="H20" s="9">
        <f>'[1]Monthly Summary'!G20</f>
        <v>8666</v>
      </c>
      <c r="I20" s="261">
        <f t="shared" si="2"/>
        <v>0.12543272559427648</v>
      </c>
    </row>
    <row r="21" spans="1:12" ht="12.75" customHeight="1" x14ac:dyDescent="0.2">
      <c r="A21" s="71" t="s">
        <v>12</v>
      </c>
      <c r="B21" s="18">
        <f>'[3]Military '!$DN$4</f>
        <v>48</v>
      </c>
      <c r="C21" s="18">
        <f>'[3]Military '!$DN$5</f>
        <v>49</v>
      </c>
      <c r="D21" s="18">
        <f t="shared" si="0"/>
        <v>97</v>
      </c>
      <c r="E21" s="124">
        <f>'[1]Monthly Summary'!D21</f>
        <v>119</v>
      </c>
      <c r="F21" s="259">
        <f t="shared" si="1"/>
        <v>-0.18487394957983194</v>
      </c>
      <c r="G21" s="124">
        <f>+D21+'[2]Monthly Summary'!G21</f>
        <v>542</v>
      </c>
      <c r="H21" s="124">
        <f>'[1]Monthly Summary'!G21+E21</f>
        <v>651</v>
      </c>
      <c r="I21" s="262">
        <f t="shared" si="2"/>
        <v>-0.1674347158218126</v>
      </c>
    </row>
    <row r="22" spans="1:12" ht="15.75" thickBot="1" x14ac:dyDescent="0.3">
      <c r="A22" s="72" t="s">
        <v>31</v>
      </c>
      <c r="B22" s="279">
        <f>SUM(B16:B21)</f>
        <v>17329</v>
      </c>
      <c r="C22" s="279">
        <f>SUM(C16:C21)</f>
        <v>17324</v>
      </c>
      <c r="D22" s="279">
        <f>SUM(D16:D21)</f>
        <v>34653</v>
      </c>
      <c r="E22" s="279">
        <f>SUM(E16:E21)</f>
        <v>36590</v>
      </c>
      <c r="F22" s="275">
        <f t="shared" si="1"/>
        <v>-5.2937961191582401E-2</v>
      </c>
      <c r="G22" s="279">
        <f>SUM(G16:G21)</f>
        <v>169341</v>
      </c>
      <c r="H22" s="279">
        <f>SUM(H16:H21)</f>
        <v>173374</v>
      </c>
      <c r="I22" s="276">
        <f t="shared" si="2"/>
        <v>-2.3261850104398584E-2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4" t="s">
        <v>193</v>
      </c>
      <c r="E24" s="484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5"/>
      <c r="E25" s="486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Stats'!H28+'Regional Major'!L25)*0.00045359237</f>
        <v>7399.3425624564597</v>
      </c>
      <c r="C27" s="23">
        <f>(Cargo!M21+'Major Airline Stats'!H33+'Regional Major'!L30)*0.00045359237</f>
        <v>8364.7295538206399</v>
      </c>
      <c r="D27" s="23">
        <f>(SUM(B27:C27)+('Cargo Summary'!E17*0.00045359237))</f>
        <v>15764.072116277101</v>
      </c>
      <c r="E27" s="9">
        <f>'[1]Monthly Summary'!D27</f>
        <v>16624.019746865299</v>
      </c>
      <c r="F27" s="101">
        <f>(D27-E27)/E27</f>
        <v>-5.1729223357687225E-2</v>
      </c>
      <c r="G27" s="56">
        <f>+D27+'[2]Monthly Summary'!G27</f>
        <v>75912.484223560605</v>
      </c>
      <c r="H27" s="9">
        <f>'[1]Monthly Summary'!G27</f>
        <v>76036.658763587067</v>
      </c>
      <c r="I27" s="103">
        <f>(G27-H27)/H27</f>
        <v>-1.6330878032469274E-3</v>
      </c>
    </row>
    <row r="28" spans="1:12" x14ac:dyDescent="0.2">
      <c r="A28" s="65" t="s">
        <v>18</v>
      </c>
      <c r="B28" s="23">
        <f>(Cargo!M17+'Major Airline Stats'!H29+'Regional Major'!L26)*0.00045359237</f>
        <v>530.60827209467004</v>
      </c>
      <c r="C28" s="23">
        <f>(Cargo!M22+'Major Airline Stats'!H34+'Regional Major'!L31)*0.00045359237</f>
        <v>278.43223321606001</v>
      </c>
      <c r="D28" s="23">
        <f>SUM(B28:C28)</f>
        <v>809.04050531073005</v>
      </c>
      <c r="E28" s="9">
        <f>'[1]Monthly Summary'!D28</f>
        <v>755.30205645972001</v>
      </c>
      <c r="F28" s="101">
        <f>(D28-E28)/E28</f>
        <v>7.1148288808976515E-2</v>
      </c>
      <c r="G28" s="23">
        <f>+D28+'[2]Monthly Summary'!G28</f>
        <v>7246.744110156319</v>
      </c>
      <c r="H28" s="9">
        <f>'[1]Monthly Summary'!G28</f>
        <v>6432.8433626010401</v>
      </c>
      <c r="I28" s="103">
        <f>(G28-H28)/H28</f>
        <v>0.12652270569606849</v>
      </c>
    </row>
    <row r="29" spans="1:12" ht="15.75" thickBot="1" x14ac:dyDescent="0.3">
      <c r="A29" s="66" t="s">
        <v>67</v>
      </c>
      <c r="B29" s="57">
        <f>SUM(B27:B28)</f>
        <v>7929.9508345511294</v>
      </c>
      <c r="C29" s="57">
        <f>SUM(C27:C28)</f>
        <v>8643.1617870367008</v>
      </c>
      <c r="D29" s="57">
        <f>SUM(D27:D28)</f>
        <v>16573.112621587832</v>
      </c>
      <c r="E29" s="57">
        <f>SUM(E27:E28)</f>
        <v>17379.32180332502</v>
      </c>
      <c r="F29" s="102">
        <f>(D29-E29)/E29</f>
        <v>-4.6388989792624888E-2</v>
      </c>
      <c r="G29" s="57">
        <f>SUM(G27:G28)</f>
        <v>83159.228333716921</v>
      </c>
      <c r="H29" s="57">
        <f>SUM(H27:H28)</f>
        <v>82469.502126188105</v>
      </c>
      <c r="I29" s="104">
        <f>(G29-H29)/H29</f>
        <v>8.3634093785779559E-3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3" t="s">
        <v>164</v>
      </c>
      <c r="C31" s="482"/>
      <c r="D31" s="483" t="s">
        <v>176</v>
      </c>
      <c r="E31" s="482"/>
      <c r="F31" s="436"/>
      <c r="G31" s="438"/>
      <c r="H31" s="435"/>
      <c r="I31" s="435"/>
    </row>
    <row r="32" spans="1:12" x14ac:dyDescent="0.2">
      <c r="A32" s="411" t="s">
        <v>165</v>
      </c>
      <c r="B32" s="412">
        <f>C8-B33</f>
        <v>742429</v>
      </c>
      <c r="C32" s="413">
        <f>B32/C8</f>
        <v>0.52409515230920412</v>
      </c>
      <c r="D32" s="414">
        <f>+B32+'[2]Monthly Summary'!$D$32</f>
        <v>3864094</v>
      </c>
      <c r="E32" s="415">
        <f>+D32/D34</f>
        <v>0.57237111557364073</v>
      </c>
      <c r="G32" s="445"/>
      <c r="H32" s="435"/>
      <c r="I32" s="434"/>
    </row>
    <row r="33" spans="1:14" ht="13.5" thickBot="1" x14ac:dyDescent="0.25">
      <c r="A33" s="416" t="s">
        <v>166</v>
      </c>
      <c r="B33" s="417">
        <f>'Major Airline Stats'!H51+'Regional Major'!L45</f>
        <v>674163</v>
      </c>
      <c r="C33" s="418">
        <f>+B33/C8</f>
        <v>0.47590484769079594</v>
      </c>
      <c r="D33" s="419">
        <f>+B33+'[2]Monthly Summary'!$D$33</f>
        <v>2886935</v>
      </c>
      <c r="E33" s="420">
        <f>+D33/D34</f>
        <v>0.42762888442635932</v>
      </c>
      <c r="G33" s="435"/>
      <c r="H33" s="435"/>
      <c r="I33" s="434"/>
    </row>
    <row r="34" spans="1:14" ht="13.5" thickBot="1" x14ac:dyDescent="0.25">
      <c r="B34" s="315"/>
      <c r="D34" s="421">
        <f>SUM(D32:D33)</f>
        <v>6751029</v>
      </c>
    </row>
    <row r="35" spans="1:14" ht="13.5" thickBot="1" x14ac:dyDescent="0.25">
      <c r="B35" s="481" t="s">
        <v>215</v>
      </c>
      <c r="C35" s="482"/>
      <c r="D35" s="483" t="s">
        <v>195</v>
      </c>
      <c r="E35" s="482"/>
    </row>
    <row r="36" spans="1:14" x14ac:dyDescent="0.2">
      <c r="A36" s="411" t="s">
        <v>165</v>
      </c>
      <c r="B36" s="412">
        <f>'[1]Monthly Summary'!$B$32</f>
        <v>734922</v>
      </c>
      <c r="C36" s="413">
        <f>+B36/B38</f>
        <v>0.53574763681057092</v>
      </c>
      <c r="D36" s="414">
        <f>'[1]Monthly Summary'!$D$32</f>
        <v>3651250</v>
      </c>
      <c r="E36" s="415">
        <f>+D36/D38</f>
        <v>0.56999339346240019</v>
      </c>
    </row>
    <row r="37" spans="1:14" ht="13.5" thickBot="1" x14ac:dyDescent="0.25">
      <c r="A37" s="416" t="s">
        <v>166</v>
      </c>
      <c r="B37" s="417">
        <f>'[1]Monthly Summary'!$B$33</f>
        <v>636847</v>
      </c>
      <c r="C37" s="420">
        <f>+B37/B38</f>
        <v>0.46425236318942914</v>
      </c>
      <c r="D37" s="419">
        <f>'[1]Monthly Summary'!$D$33</f>
        <v>2754526</v>
      </c>
      <c r="E37" s="420">
        <f>+D37/D38</f>
        <v>0.43000660653759981</v>
      </c>
    </row>
    <row r="38" spans="1:14" x14ac:dyDescent="0.2">
      <c r="B38" s="444">
        <f>+SUM(B36:B37)</f>
        <v>1371769</v>
      </c>
      <c r="D38" s="421">
        <f>SUM(D36:D37)</f>
        <v>6405776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May 2014</oddHeader>
    <oddFooter>&amp;LPrinted on &amp;D&amp;RPage &amp;P of &amp;N</oddFooter>
  </headerFooter>
  <ignoredErrors>
    <ignoredError sqref="F8 F22 F2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98"/>
  <sheetViews>
    <sheetView topLeftCell="A13" zoomScale="85" zoomScaleNormal="100" zoomScaleSheetLayoutView="85" workbookViewId="0">
      <selection activeCell="M57" sqref="M57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8.8554687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21.85546875" customWidth="1"/>
  </cols>
  <sheetData>
    <row r="1" spans="1:23" s="228" customFormat="1" ht="26.25" thickBot="1" x14ac:dyDescent="0.25">
      <c r="A1" s="523" t="s">
        <v>148</v>
      </c>
      <c r="B1" s="524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30" t="s">
        <v>152</v>
      </c>
      <c r="K1" s="531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5">
        <v>41760</v>
      </c>
      <c r="B2" s="526"/>
      <c r="C2" s="527" t="s">
        <v>9</v>
      </c>
      <c r="D2" s="528"/>
      <c r="E2" s="528"/>
      <c r="F2" s="528"/>
      <c r="G2" s="528"/>
      <c r="H2" s="528"/>
      <c r="I2" s="529"/>
      <c r="J2" s="525">
        <v>41760</v>
      </c>
      <c r="K2" s="526"/>
      <c r="L2" s="520" t="s">
        <v>154</v>
      </c>
      <c r="M2" s="521"/>
      <c r="N2" s="521"/>
      <c r="O2" s="521"/>
      <c r="P2" s="521"/>
      <c r="Q2" s="521"/>
      <c r="R2" s="522"/>
    </row>
    <row r="3" spans="1:23" x14ac:dyDescent="0.2">
      <c r="A3" s="343"/>
      <c r="B3" s="344"/>
      <c r="C3" s="345"/>
      <c r="D3" s="346"/>
      <c r="E3" s="347"/>
      <c r="F3" s="348"/>
      <c r="G3" s="439"/>
      <c r="H3" s="440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[3]AirCanada!$DN$19</f>
        <v>176</v>
      </c>
      <c r="D4" s="353">
        <f>C4/$C$54</f>
        <v>5.5784469096671948E-3</v>
      </c>
      <c r="E4" s="354">
        <f>[3]AirCanada!$CZ$19</f>
        <v>174</v>
      </c>
      <c r="F4" s="355">
        <f>(C4-E4)/E4</f>
        <v>1.1494252873563218E-2</v>
      </c>
      <c r="G4" s="354">
        <f>SUM([3]AirCanada!$DJ$19:$DN$19)</f>
        <v>825</v>
      </c>
      <c r="H4" s="354">
        <f>SUM([3]AirCanada!$CV$19:$CZ$19)</f>
        <v>908</v>
      </c>
      <c r="I4" s="355">
        <f>(G4-H4)/H4</f>
        <v>-9.140969162995595E-2</v>
      </c>
      <c r="J4" s="351" t="s">
        <v>110</v>
      </c>
      <c r="K4" s="58"/>
      <c r="L4" s="352">
        <f>[3]AirCanada!$DN$41</f>
        <v>7882</v>
      </c>
      <c r="M4" s="353">
        <f>L4/$L$54</f>
        <v>2.7553303687255669E-3</v>
      </c>
      <c r="N4" s="354">
        <f>[3]AirCanada!$CZ$41</f>
        <v>6323</v>
      </c>
      <c r="O4" s="355">
        <f>(L4-N4)/N4</f>
        <v>0.24656017713110864</v>
      </c>
      <c r="P4" s="354">
        <f>SUM([3]AirCanada!$DJ$41:$DN$41)</f>
        <v>25717</v>
      </c>
      <c r="Q4" s="354">
        <f>SUM([3]AirCanada!$CV$41:$CZ$41)</f>
        <v>25172</v>
      </c>
      <c r="R4" s="355">
        <f>(P4-Q4)/Q4</f>
        <v>2.165104083902749E-2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France'!$DN$19</f>
        <v>0</v>
      </c>
      <c r="D6" s="353">
        <f>C6/$C$54</f>
        <v>0</v>
      </c>
      <c r="E6" s="354">
        <f>'[3]Air France'!$CZ$19</f>
        <v>18</v>
      </c>
      <c r="F6" s="355">
        <f>(C6-E6)/E6</f>
        <v>-1</v>
      </c>
      <c r="G6" s="354">
        <f>SUM('[3]Air France'!$DJ$19:$DN$19)</f>
        <v>0</v>
      </c>
      <c r="H6" s="354">
        <f>SUM('[3]Air France'!$CV$19:$CZ$19)</f>
        <v>18</v>
      </c>
      <c r="I6" s="355">
        <f>(G6-H6)/H6</f>
        <v>-1</v>
      </c>
      <c r="J6" s="351" t="s">
        <v>198</v>
      </c>
      <c r="K6" s="58"/>
      <c r="L6" s="352">
        <f>'[3]Air France'!$DN$41</f>
        <v>0</v>
      </c>
      <c r="M6" s="353">
        <f>L6/$L$54</f>
        <v>0</v>
      </c>
      <c r="N6" s="354">
        <f>'[3]Air France'!$CZ$41</f>
        <v>4217</v>
      </c>
      <c r="O6" s="355">
        <f>(L6-N6)/N6</f>
        <v>-1</v>
      </c>
      <c r="P6" s="354">
        <f>SUM('[3]Air France'!$DJ$41:$DN$41)</f>
        <v>0</v>
      </c>
      <c r="Q6" s="354">
        <f>SUM('[3]Air France'!$CV$41:$CZ$41)</f>
        <v>4217</v>
      </c>
      <c r="R6" s="355">
        <f>(P6-Q6)/Q6</f>
        <v>-1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[3]Alaska!$DN$19</f>
        <v>124</v>
      </c>
      <c r="D8" s="353">
        <f>C8/$C$54</f>
        <v>3.9302694136291597E-3</v>
      </c>
      <c r="E8" s="354">
        <f>[3]Alaska!$CZ$19</f>
        <v>124</v>
      </c>
      <c r="F8" s="355">
        <f>(C8-E8)/E8</f>
        <v>0</v>
      </c>
      <c r="G8" s="354">
        <f>SUM([3]Alaska!$DJ$19:$DN$19)</f>
        <v>602</v>
      </c>
      <c r="H8" s="354">
        <f>SUM([3]Alaska!$CV$19:$CZ$19)</f>
        <v>604</v>
      </c>
      <c r="I8" s="355">
        <f>(G8-H8)/H8</f>
        <v>-3.3112582781456954E-3</v>
      </c>
      <c r="J8" s="351" t="s">
        <v>142</v>
      </c>
      <c r="K8" s="58"/>
      <c r="L8" s="352">
        <f>[3]Alaska!$DN$41</f>
        <v>16341</v>
      </c>
      <c r="M8" s="353">
        <f>L8/$L$54</f>
        <v>5.712364064367482E-3</v>
      </c>
      <c r="N8" s="354">
        <f>[3]Alaska!$CZ$41</f>
        <v>17525</v>
      </c>
      <c r="O8" s="355">
        <f>(L8-N8)/N8</f>
        <v>-6.7560627674750351E-2</v>
      </c>
      <c r="P8" s="354">
        <f>SUM([3]Alaska!$DJ$41:$DN$41)</f>
        <v>74693</v>
      </c>
      <c r="Q8" s="354">
        <f>SUM([3]Alaska!$CV$41:$CZ$41)</f>
        <v>76956</v>
      </c>
      <c r="R8" s="355">
        <f>(P8-Q8)/Q8</f>
        <v>-2.9406414054784551E-2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862</v>
      </c>
      <c r="D10" s="353">
        <f>C10/$C$54</f>
        <v>2.7321711568938194E-2</v>
      </c>
      <c r="E10" s="357">
        <f>SUM(E11:E12)</f>
        <v>1080</v>
      </c>
      <c r="F10" s="355">
        <f>(C10-E10)/E10</f>
        <v>-0.20185185185185187</v>
      </c>
      <c r="G10" s="357">
        <f>SUM(G11:G12)</f>
        <v>4673</v>
      </c>
      <c r="H10" s="357">
        <f>SUM(H11:H12)</f>
        <v>5270</v>
      </c>
      <c r="I10" s="355">
        <f>(G10-H10)/H10</f>
        <v>-0.11328273244781784</v>
      </c>
      <c r="J10" s="351" t="s">
        <v>19</v>
      </c>
      <c r="K10" s="359"/>
      <c r="L10" s="352">
        <f>SUM(L11:L12)</f>
        <v>81793</v>
      </c>
      <c r="M10" s="353">
        <f>L10/$L$54</f>
        <v>2.859258270098583E-2</v>
      </c>
      <c r="N10" s="357">
        <f>SUM(N11:N12)</f>
        <v>90010</v>
      </c>
      <c r="O10" s="355">
        <f>(L10-N10)/N10</f>
        <v>-9.128985668259082E-2</v>
      </c>
      <c r="P10" s="352">
        <f>SUM(P11:P12)</f>
        <v>403305</v>
      </c>
      <c r="Q10" s="357">
        <f>SUM(Q11:Q12)</f>
        <v>414508</v>
      </c>
      <c r="R10" s="355">
        <f>(P10-Q10)/Q10</f>
        <v>-2.7027222635027551E-2</v>
      </c>
      <c r="T10" s="21"/>
    </row>
    <row r="11" spans="1:23" ht="14.1" customHeight="1" x14ac:dyDescent="0.2">
      <c r="A11" s="55"/>
      <c r="B11" s="360" t="s">
        <v>19</v>
      </c>
      <c r="C11" s="356">
        <f>[3]American!$DN$19</f>
        <v>418</v>
      </c>
      <c r="D11" s="41">
        <f>C11/$C$54</f>
        <v>1.3248811410459587E-2</v>
      </c>
      <c r="E11" s="9">
        <f>[3]American!$CZ$19</f>
        <v>702</v>
      </c>
      <c r="F11" s="89">
        <f>(C11-E11)/E11</f>
        <v>-0.40455840455840458</v>
      </c>
      <c r="G11" s="9">
        <f>SUM([3]American!$DJ$19:$DN$19)</f>
        <v>2308</v>
      </c>
      <c r="H11" s="9">
        <f>SUM([3]American!$CV$19:$CZ$19)</f>
        <v>2900</v>
      </c>
      <c r="I11" s="89">
        <f>(G11-H11)/H11</f>
        <v>-0.20413793103448277</v>
      </c>
      <c r="J11" s="55"/>
      <c r="K11" s="360" t="s">
        <v>19</v>
      </c>
      <c r="L11" s="356">
        <f>[3]American!$DN$41</f>
        <v>51697</v>
      </c>
      <c r="M11" s="41">
        <f>L11/$L$54</f>
        <v>1.8071849032226039E-2</v>
      </c>
      <c r="N11" s="9">
        <f>[3]American!$CZ$41</f>
        <v>73804</v>
      </c>
      <c r="O11" s="89">
        <f>(L11-N11)/N11</f>
        <v>-0.29953661048181668</v>
      </c>
      <c r="P11" s="9">
        <f>SUM([3]American!$DJ$41:$DN$41)</f>
        <v>264262</v>
      </c>
      <c r="Q11" s="9">
        <f>SUM([3]American!$CV$41:$CZ$41)</f>
        <v>310956</v>
      </c>
      <c r="R11" s="89">
        <f>(P11-Q11)/Q11</f>
        <v>-0.15016272398667335</v>
      </c>
      <c r="T11" s="21"/>
    </row>
    <row r="12" spans="1:23" ht="14.1" customHeight="1" x14ac:dyDescent="0.2">
      <c r="A12" s="55"/>
      <c r="B12" s="360" t="s">
        <v>174</v>
      </c>
      <c r="C12" s="356">
        <f>'[3]American Eagle'!$DN$19</f>
        <v>444</v>
      </c>
      <c r="D12" s="41">
        <f>C12/$C$54</f>
        <v>1.4072900158478605E-2</v>
      </c>
      <c r="E12" s="9">
        <f>'[3]American Eagle'!$CZ$19</f>
        <v>378</v>
      </c>
      <c r="F12" s="89">
        <f>(C12-E12)/E12</f>
        <v>0.17460317460317459</v>
      </c>
      <c r="G12" s="9">
        <f>SUM('[3]American Eagle'!$DJ$19:$DN$19)</f>
        <v>2365</v>
      </c>
      <c r="H12" s="9">
        <f>SUM('[3]American Eagle'!$CV$19:$CZ$19)</f>
        <v>2370</v>
      </c>
      <c r="I12" s="89">
        <f>(G12-H12)/H12</f>
        <v>-2.1097046413502108E-3</v>
      </c>
      <c r="J12" s="55"/>
      <c r="K12" s="360" t="s">
        <v>174</v>
      </c>
      <c r="L12" s="356">
        <f>'[3]American Eagle'!$DN$41</f>
        <v>30096</v>
      </c>
      <c r="M12" s="41">
        <f>L12/$L$54</f>
        <v>1.052073366875979E-2</v>
      </c>
      <c r="N12" s="9">
        <f>'[3]American Eagle'!$CZ$41</f>
        <v>16206</v>
      </c>
      <c r="O12" s="89">
        <f>(L12-N12)/N12</f>
        <v>0.85708996667900772</v>
      </c>
      <c r="P12" s="9">
        <f>SUM('[3]American Eagle'!$DJ$41:$DN$41)</f>
        <v>139043</v>
      </c>
      <c r="Q12" s="9">
        <f>SUM('[3]American Eagle'!$CV$41:$CZ$41)</f>
        <v>103552</v>
      </c>
      <c r="R12" s="89">
        <f>(P12-Q12)/Q12</f>
        <v>0.34273601668726822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20</v>
      </c>
      <c r="B14" s="365"/>
      <c r="C14" s="352">
        <f>SUM(C15:C21)</f>
        <v>24140</v>
      </c>
      <c r="D14" s="353">
        <f t="shared" ref="D14:D21" si="0">C14/$C$54</f>
        <v>0.76513470681458007</v>
      </c>
      <c r="E14" s="354">
        <f>SUM(E15:E21)</f>
        <v>24723</v>
      </c>
      <c r="F14" s="355">
        <f t="shared" ref="F14:F21" si="1">(C14-E14)/E14</f>
        <v>-2.3581280588925294E-2</v>
      </c>
      <c r="G14" s="357">
        <f>SUM(G15:G21)</f>
        <v>116082</v>
      </c>
      <c r="H14" s="357">
        <f>SUM(H15:H21)</f>
        <v>117950</v>
      </c>
      <c r="I14" s="355">
        <f>(G14-H14)/H14</f>
        <v>-1.5837219160661296E-2</v>
      </c>
      <c r="J14" s="351" t="s">
        <v>20</v>
      </c>
      <c r="K14" s="365"/>
      <c r="L14" s="352">
        <f>SUM(L15:L21)</f>
        <v>2147733</v>
      </c>
      <c r="M14" s="353">
        <f t="shared" ref="M14:M21" si="2">L14/$L$54</f>
        <v>0.75078837335880089</v>
      </c>
      <c r="N14" s="354">
        <f>SUM(N15:N21)</f>
        <v>2066384</v>
      </c>
      <c r="O14" s="355">
        <f t="shared" ref="O14:O21" si="3">(L14-N14)/N14</f>
        <v>3.9367803854462674E-2</v>
      </c>
      <c r="P14" s="354">
        <f>SUM(P15:P21)</f>
        <v>9980483</v>
      </c>
      <c r="Q14" s="354">
        <f>SUM(Q15:Q21)</f>
        <v>9526541</v>
      </c>
      <c r="R14" s="355">
        <f t="shared" ref="R14:R21" si="4">(P14-Q14)/Q14</f>
        <v>4.7650243671863692E-2</v>
      </c>
      <c r="T14" s="443"/>
      <c r="V14" s="11"/>
      <c r="W14" s="11"/>
    </row>
    <row r="15" spans="1:23" ht="14.1" customHeight="1" x14ac:dyDescent="0.2">
      <c r="A15" s="55"/>
      <c r="B15" s="360" t="s">
        <v>20</v>
      </c>
      <c r="C15" s="356">
        <f>[3]Delta!$DN$19</f>
        <v>9983</v>
      </c>
      <c r="D15" s="41">
        <f t="shared" si="0"/>
        <v>0.31641838351822504</v>
      </c>
      <c r="E15" s="9">
        <f>[3]Delta!$CZ$19</f>
        <v>9872</v>
      </c>
      <c r="F15" s="89">
        <f t="shared" si="1"/>
        <v>1.1243922204213939E-2</v>
      </c>
      <c r="G15" s="9">
        <f>SUM([3]Delta!$DJ$19:$DN$19)</f>
        <v>47764</v>
      </c>
      <c r="H15" s="9">
        <f>SUM([3]Delta!$CV$19:$CZ$19)</f>
        <v>46489</v>
      </c>
      <c r="I15" s="89">
        <f t="shared" ref="I15:I21" si="5">(G15-H15)/H15</f>
        <v>2.7425842672460152E-2</v>
      </c>
      <c r="J15" s="55"/>
      <c r="K15" s="360" t="s">
        <v>20</v>
      </c>
      <c r="L15" s="356">
        <f>[3]Delta!$DN$41</f>
        <v>1425961</v>
      </c>
      <c r="M15" s="41">
        <f t="shared" si="2"/>
        <v>0.49847673787341773</v>
      </c>
      <c r="N15" s="9">
        <f>[3]Delta!$CZ$41</f>
        <v>1354226</v>
      </c>
      <c r="O15" s="89">
        <f t="shared" si="3"/>
        <v>5.2971217507269838E-2</v>
      </c>
      <c r="P15" s="9">
        <f>SUM([3]Delta!$DJ$41:$DN$41)</f>
        <v>6639949</v>
      </c>
      <c r="Q15" s="9">
        <f>SUM([3]Delta!$CV$41:$CZ$41)</f>
        <v>6207650</v>
      </c>
      <c r="R15" s="89">
        <f t="shared" si="4"/>
        <v>6.9639718734142556E-2</v>
      </c>
      <c r="T15" s="21"/>
      <c r="U15" s="9"/>
      <c r="V15" s="11"/>
      <c r="W15" s="11"/>
    </row>
    <row r="16" spans="1:23" ht="14.1" customHeight="1" x14ac:dyDescent="0.2">
      <c r="A16" s="55"/>
      <c r="B16" s="362" t="s">
        <v>131</v>
      </c>
      <c r="C16" s="356">
        <f>[3]Compass!$DN$19</f>
        <v>2198</v>
      </c>
      <c r="D16" s="41">
        <f t="shared" si="0"/>
        <v>6.9667194928684631E-2</v>
      </c>
      <c r="E16" s="9">
        <f>[3]Compass!$CZ$19</f>
        <v>3699</v>
      </c>
      <c r="F16" s="89">
        <f t="shared" si="1"/>
        <v>-0.40578534739118682</v>
      </c>
      <c r="G16" s="9">
        <f>SUM([3]Compass!$DJ$19:$DN$19)</f>
        <v>12490</v>
      </c>
      <c r="H16" s="9">
        <f>SUM([3]Compass!$CV$19:$CZ$19)</f>
        <v>18287</v>
      </c>
      <c r="I16" s="89">
        <f t="shared" si="5"/>
        <v>-0.31700114835675619</v>
      </c>
      <c r="J16" s="55"/>
      <c r="K16" s="362" t="s">
        <v>131</v>
      </c>
      <c r="L16" s="356">
        <f>[3]Compass!$DN$41</f>
        <v>139811</v>
      </c>
      <c r="M16" s="41">
        <f t="shared" si="2"/>
        <v>4.8874079444543299E-2</v>
      </c>
      <c r="N16" s="9">
        <f>[3]Compass!$CZ$41</f>
        <v>216986</v>
      </c>
      <c r="O16" s="89">
        <f t="shared" si="3"/>
        <v>-0.35566810761984646</v>
      </c>
      <c r="P16" s="9">
        <f>SUM([3]Compass!$DJ$41:$DN$41)</f>
        <v>761628</v>
      </c>
      <c r="Q16" s="9">
        <f>SUM([3]Compass!$CV$41:$CZ$41)</f>
        <v>1045808</v>
      </c>
      <c r="R16" s="89">
        <f t="shared" si="4"/>
        <v>-0.27173247861940242</v>
      </c>
      <c r="T16" s="9"/>
      <c r="U16" s="9"/>
      <c r="V16" s="11"/>
      <c r="W16" s="11"/>
    </row>
    <row r="17" spans="1:21" ht="14.1" customHeight="1" x14ac:dyDescent="0.2">
      <c r="A17" s="55"/>
      <c r="B17" s="361" t="s">
        <v>204</v>
      </c>
      <c r="C17" s="356">
        <f>[3]Pinnacle!$DN$19</f>
        <v>7287</v>
      </c>
      <c r="D17" s="41">
        <f t="shared" si="0"/>
        <v>0.23096671949286846</v>
      </c>
      <c r="E17" s="9">
        <f>[3]Pinnacle!$CZ$19</f>
        <v>5435</v>
      </c>
      <c r="F17" s="89">
        <f t="shared" si="1"/>
        <v>0.34075436982520702</v>
      </c>
      <c r="G17" s="9">
        <f>SUM([3]Pinnacle!$DJ$19:$DN$19)</f>
        <v>35717</v>
      </c>
      <c r="H17" s="9">
        <f>SUM([3]Pinnacle!$CV$19:$CZ$19)</f>
        <v>26353</v>
      </c>
      <c r="I17" s="89">
        <f t="shared" si="5"/>
        <v>0.35532956399650895</v>
      </c>
      <c r="J17" s="55"/>
      <c r="K17" s="361" t="s">
        <v>204</v>
      </c>
      <c r="L17" s="356">
        <f>[3]Pinnacle!$DN$41</f>
        <v>360738</v>
      </c>
      <c r="M17" s="41">
        <f t="shared" si="2"/>
        <v>0.12610408101412376</v>
      </c>
      <c r="N17" s="9">
        <f>[3]Pinnacle!$CZ$41</f>
        <v>250218</v>
      </c>
      <c r="O17" s="89">
        <f t="shared" si="3"/>
        <v>0.44169484209769083</v>
      </c>
      <c r="P17" s="9">
        <f>SUM([3]Pinnacle!$DJ$41:$DN$41)</f>
        <v>1684959</v>
      </c>
      <c r="Q17" s="9">
        <f>SUM([3]Pinnacle!$CV$41:$CZ$41)</f>
        <v>1163645</v>
      </c>
      <c r="R17" s="89">
        <f t="shared" si="4"/>
        <v>0.44800089374336677</v>
      </c>
      <c r="T17" s="21"/>
      <c r="U17" s="11"/>
    </row>
    <row r="18" spans="1:21" ht="14.1" customHeight="1" x14ac:dyDescent="0.2">
      <c r="A18" s="55"/>
      <c r="B18" s="360" t="s">
        <v>181</v>
      </c>
      <c r="C18" s="356">
        <f>'[3]Go Jet'!$DN$19</f>
        <v>0</v>
      </c>
      <c r="D18" s="41">
        <f t="shared" si="0"/>
        <v>0</v>
      </c>
      <c r="E18" s="9">
        <f>'[3]Go Jet'!$CZ$19</f>
        <v>0</v>
      </c>
      <c r="F18" s="89" t="e">
        <f>(C18-E18)/E18</f>
        <v>#DIV/0!</v>
      </c>
      <c r="G18" s="9">
        <f>SUM('[3]Go Jet'!$DJ$19:$DN$19)</f>
        <v>0</v>
      </c>
      <c r="H18" s="9">
        <f>SUM('[3]Go Jet'!$CV$19:$CZ$19)</f>
        <v>0</v>
      </c>
      <c r="I18" s="89" t="e">
        <f>(G18-H18)/H18</f>
        <v>#DIV/0!</v>
      </c>
      <c r="J18" s="55"/>
      <c r="K18" s="361" t="s">
        <v>181</v>
      </c>
      <c r="L18" s="356">
        <f>'[3]Go Jet'!$DN$41</f>
        <v>0</v>
      </c>
      <c r="M18" s="41">
        <f t="shared" si="2"/>
        <v>0</v>
      </c>
      <c r="N18" s="9">
        <f>'[3]Go Jet'!$CZ$41</f>
        <v>0</v>
      </c>
      <c r="O18" s="89" t="e">
        <f>(L18-N18)/N18</f>
        <v>#DIV/0!</v>
      </c>
      <c r="P18" s="9">
        <f>SUM('[3]Go Jet'!$DJ$41:$DN$41)</f>
        <v>0</v>
      </c>
      <c r="Q18" s="9">
        <f>SUM('[3]Go Jet'!$CV$41:$CZ$41)</f>
        <v>0</v>
      </c>
      <c r="R18" s="89" t="e">
        <f>(P18-Q18)/Q18</f>
        <v>#DIV/0!</v>
      </c>
      <c r="T18" s="338"/>
      <c r="U18" s="335"/>
    </row>
    <row r="19" spans="1:21" ht="14.1" customHeight="1" x14ac:dyDescent="0.2">
      <c r="A19" s="55"/>
      <c r="B19" s="361" t="s">
        <v>109</v>
      </c>
      <c r="C19" s="356">
        <f>'[3]Sky West'!$DN$19</f>
        <v>3109</v>
      </c>
      <c r="D19" s="41">
        <f t="shared" si="0"/>
        <v>9.8541996830427886E-2</v>
      </c>
      <c r="E19" s="9">
        <f>'[3]Sky West'!$CZ$19</f>
        <v>4937</v>
      </c>
      <c r="F19" s="89">
        <f t="shared" si="1"/>
        <v>-0.37026534332590644</v>
      </c>
      <c r="G19" s="9">
        <f>SUM('[3]Sky West'!$DJ$19:$DN$19)</f>
        <v>14268</v>
      </c>
      <c r="H19" s="9">
        <f>SUM('[3]Sky West'!$CV$19:$CZ$19)</f>
        <v>22749</v>
      </c>
      <c r="I19" s="89">
        <f t="shared" si="5"/>
        <v>-0.372807595938283</v>
      </c>
      <c r="J19" s="55"/>
      <c r="K19" s="361" t="s">
        <v>109</v>
      </c>
      <c r="L19" s="356">
        <f>'[3]Sky West'!$DN$41</f>
        <v>127279</v>
      </c>
      <c r="M19" s="41">
        <f t="shared" si="2"/>
        <v>4.449323699581597E-2</v>
      </c>
      <c r="N19" s="9">
        <f>'[3]Sky West'!$CZ$41</f>
        <v>202632</v>
      </c>
      <c r="O19" s="89">
        <f t="shared" si="3"/>
        <v>-0.37187117533262271</v>
      </c>
      <c r="P19" s="9">
        <f>SUM('[3]Sky West'!$DJ$41:$DN$41)</f>
        <v>561783</v>
      </c>
      <c r="Q19" s="9">
        <f>SUM('[3]Sky West'!$CV$41:$CZ$41)</f>
        <v>903013</v>
      </c>
      <c r="R19" s="89">
        <f t="shared" si="4"/>
        <v>-0.37787938822586165</v>
      </c>
      <c r="T19" s="21"/>
    </row>
    <row r="20" spans="1:21" ht="14.1" customHeight="1" x14ac:dyDescent="0.2">
      <c r="A20" s="55"/>
      <c r="B20" s="361" t="s">
        <v>147</v>
      </c>
      <c r="C20" s="356">
        <f>'[3]Shuttle America_Delta'!$DN$19</f>
        <v>380</v>
      </c>
      <c r="D20" s="41">
        <f t="shared" si="0"/>
        <v>1.2044374009508717E-2</v>
      </c>
      <c r="E20" s="9">
        <f>'[3]Shuttle America_Delta'!$CZ$19</f>
        <v>66</v>
      </c>
      <c r="F20" s="89">
        <f t="shared" si="1"/>
        <v>4.7575757575757578</v>
      </c>
      <c r="G20" s="9">
        <f>SUM('[3]Shuttle America_Delta'!$DJ$19:$DN$19)</f>
        <v>1146</v>
      </c>
      <c r="H20" s="9">
        <f>SUM('[3]Shuttle America_Delta'!$CV$19:$CZ$19)</f>
        <v>531</v>
      </c>
      <c r="I20" s="89">
        <f t="shared" si="5"/>
        <v>1.1581920903954803</v>
      </c>
      <c r="J20" s="55"/>
      <c r="K20" s="361" t="s">
        <v>147</v>
      </c>
      <c r="L20" s="356">
        <f>'[3]Shuttle America_Delta'!$DN$41</f>
        <v>23640</v>
      </c>
      <c r="M20" s="41">
        <f t="shared" si="2"/>
        <v>8.2638936712347635E-3</v>
      </c>
      <c r="N20" s="9">
        <f>'[3]Shuttle America_Delta'!$CZ$41</f>
        <v>4232</v>
      </c>
      <c r="O20" s="89">
        <f t="shared" si="3"/>
        <v>4.5860113421550093</v>
      </c>
      <c r="P20" s="9">
        <f>SUM('[3]Shuttle America_Delta'!$DJ$41:$DN$41)</f>
        <v>67663</v>
      </c>
      <c r="Q20" s="9">
        <f>SUM('[3]Shuttle America_Delta'!$CV$41:$CZ$41)</f>
        <v>29877</v>
      </c>
      <c r="R20" s="89">
        <f t="shared" si="4"/>
        <v>1.2647186799210095</v>
      </c>
      <c r="T20" s="21"/>
    </row>
    <row r="21" spans="1:21" ht="14.1" customHeight="1" x14ac:dyDescent="0.2">
      <c r="A21" s="55"/>
      <c r="B21" s="366" t="s">
        <v>55</v>
      </c>
      <c r="C21" s="356">
        <f>'[3]Atlantic Southeast'!$DN$19</f>
        <v>1183</v>
      </c>
      <c r="D21" s="41">
        <f t="shared" si="0"/>
        <v>3.7496038034865294E-2</v>
      </c>
      <c r="E21" s="9">
        <f>'[3]Atlantic Southeast'!$CZ$19</f>
        <v>714</v>
      </c>
      <c r="F21" s="89">
        <f t="shared" si="1"/>
        <v>0.65686274509803921</v>
      </c>
      <c r="G21" s="9">
        <f>SUM('[3]Atlantic Southeast'!$DJ$19:$DN$19)</f>
        <v>4697</v>
      </c>
      <c r="H21" s="9">
        <f>SUM('[3]Atlantic Southeast'!$CV$19:$CZ$19)</f>
        <v>3541</v>
      </c>
      <c r="I21" s="89">
        <f t="shared" si="5"/>
        <v>0.32646145156735384</v>
      </c>
      <c r="J21" s="55"/>
      <c r="K21" s="366" t="s">
        <v>55</v>
      </c>
      <c r="L21" s="356">
        <f>'[3]Atlantic Southeast'!$DN$41</f>
        <v>70304</v>
      </c>
      <c r="M21" s="41">
        <f t="shared" si="2"/>
        <v>2.4576344359665346E-2</v>
      </c>
      <c r="N21" s="9">
        <f>'[3]Atlantic Southeast'!$CZ$41</f>
        <v>38090</v>
      </c>
      <c r="O21" s="89">
        <f t="shared" si="3"/>
        <v>0.84573378839590441</v>
      </c>
      <c r="P21" s="9">
        <f>SUM('[3]Atlantic Southeast'!$DJ$41:$DN$41)</f>
        <v>264501</v>
      </c>
      <c r="Q21" s="9">
        <f>SUM('[3]Atlantic Southeast'!$CV$41:$CZ$41)</f>
        <v>176548</v>
      </c>
      <c r="R21" s="89">
        <f t="shared" si="4"/>
        <v>0.49818179758479281</v>
      </c>
      <c r="T21" s="334"/>
    </row>
    <row r="22" spans="1:21" ht="14.1" customHeight="1" x14ac:dyDescent="0.2">
      <c r="A22" s="55"/>
      <c r="B22" s="366"/>
      <c r="C22" s="356"/>
      <c r="D22" s="41"/>
      <c r="E22" s="9"/>
      <c r="F22" s="89"/>
      <c r="G22" s="9"/>
      <c r="H22" s="9"/>
      <c r="I22" s="89"/>
      <c r="J22" s="55"/>
      <c r="K22" s="366"/>
      <c r="L22" s="356"/>
      <c r="M22" s="41"/>
      <c r="N22" s="9"/>
      <c r="O22" s="89"/>
      <c r="P22" s="9"/>
      <c r="Q22" s="9"/>
      <c r="R22" s="89"/>
      <c r="T22" s="334"/>
    </row>
    <row r="23" spans="1:21" s="7" customFormat="1" ht="14.1" customHeight="1" x14ac:dyDescent="0.2">
      <c r="A23" s="351" t="s">
        <v>51</v>
      </c>
      <c r="B23" s="367"/>
      <c r="C23" s="352">
        <f>[3]Frontier!$DN$19</f>
        <v>239</v>
      </c>
      <c r="D23" s="353">
        <f>C23/$C$54</f>
        <v>7.5752773375594292E-3</v>
      </c>
      <c r="E23" s="354">
        <f>[3]Frontier!$CZ$19</f>
        <v>232</v>
      </c>
      <c r="F23" s="355">
        <f>(C23-E23)/E23</f>
        <v>3.017241379310345E-2</v>
      </c>
      <c r="G23" s="354">
        <f>SUM([3]Frontier!$DJ$19:$DN$19)</f>
        <v>1031</v>
      </c>
      <c r="H23" s="354">
        <f>SUM([3]Frontier!$CV$19:$CZ$19)</f>
        <v>962</v>
      </c>
      <c r="I23" s="355">
        <f>(G23-H23)/H23</f>
        <v>7.172557172557173E-2</v>
      </c>
      <c r="J23" s="351" t="s">
        <v>51</v>
      </c>
      <c r="K23" s="367"/>
      <c r="L23" s="352">
        <f>[3]Frontier!$DN$41</f>
        <v>32798</v>
      </c>
      <c r="M23" s="353">
        <f>L23/$L$54</f>
        <v>1.1465278537612427E-2</v>
      </c>
      <c r="N23" s="354">
        <f>[3]Frontier!$CZ$41</f>
        <v>32803</v>
      </c>
      <c r="O23" s="355">
        <f>(L23-N23)/N23</f>
        <v>-1.5242508307167026E-4</v>
      </c>
      <c r="P23" s="354">
        <f>SUM([3]Frontier!$DJ$41:$DN$41)</f>
        <v>145797</v>
      </c>
      <c r="Q23" s="354">
        <f>SUM([3]Frontier!$CV$41:$CZ$41)</f>
        <v>138469</v>
      </c>
      <c r="R23" s="355">
        <f>(P23-Q23)/Q23</f>
        <v>5.2921592558623227E-2</v>
      </c>
      <c r="T23" s="336"/>
      <c r="U23"/>
    </row>
    <row r="24" spans="1:21" s="7" customFormat="1" ht="14.1" customHeight="1" x14ac:dyDescent="0.2">
      <c r="A24" s="351"/>
      <c r="B24" s="367"/>
      <c r="C24" s="352"/>
      <c r="D24" s="353"/>
      <c r="E24" s="354"/>
      <c r="F24" s="355"/>
      <c r="G24" s="354"/>
      <c r="H24" s="354"/>
      <c r="I24" s="355"/>
      <c r="J24" s="351"/>
      <c r="K24" s="367"/>
      <c r="L24" s="356"/>
      <c r="M24" s="41"/>
      <c r="N24" s="9"/>
      <c r="O24" s="89"/>
      <c r="P24" s="9"/>
      <c r="Q24" s="9"/>
      <c r="R24" s="89"/>
      <c r="T24" s="336"/>
    </row>
    <row r="25" spans="1:21" s="7" customFormat="1" ht="14.1" customHeight="1" x14ac:dyDescent="0.2">
      <c r="A25" s="351" t="s">
        <v>180</v>
      </c>
      <c r="B25" s="367"/>
      <c r="C25" s="352">
        <f>'[3]Great Lakes'!$DN$19</f>
        <v>100</v>
      </c>
      <c r="D25" s="353">
        <f>C25/$C$54</f>
        <v>3.1695721077654518E-3</v>
      </c>
      <c r="E25" s="354">
        <f>'[3]Great Lakes'!$CZ$19</f>
        <v>1180</v>
      </c>
      <c r="F25" s="355">
        <f>(C25-E25)/E25</f>
        <v>-0.9152542372881356</v>
      </c>
      <c r="G25" s="354">
        <f>SUM('[3]Great Lakes'!$DJ$19:$DN$19)</f>
        <v>908</v>
      </c>
      <c r="H25" s="354">
        <f>SUM('[3]Great Lakes'!$CV$19:$CZ$19)</f>
        <v>5608</v>
      </c>
      <c r="I25" s="355">
        <f>(G25-H25)/H25</f>
        <v>-0.83808844507845937</v>
      </c>
      <c r="J25" s="351" t="s">
        <v>180</v>
      </c>
      <c r="K25" s="367"/>
      <c r="L25" s="352">
        <f>'[3]Great Lakes'!$DN$41</f>
        <v>771</v>
      </c>
      <c r="M25" s="353">
        <f>L25/$L$54</f>
        <v>2.6952039003900178E-4</v>
      </c>
      <c r="N25" s="354">
        <f>'[3]Great Lakes'!$CZ$41</f>
        <v>4150</v>
      </c>
      <c r="O25" s="355">
        <f>(L25-N25)/N25</f>
        <v>-0.81421686746987953</v>
      </c>
      <c r="P25" s="354">
        <f>SUM('[3]Great Lakes'!$DJ$41:$DN$41)</f>
        <v>5818</v>
      </c>
      <c r="Q25" s="354">
        <f>SUM('[3]Great Lakes'!$CV$41:$CZ$41)</f>
        <v>19346</v>
      </c>
      <c r="R25" s="355">
        <f>(P25-Q25)/Q25</f>
        <v>-0.69926599813915025</v>
      </c>
      <c r="T25" s="336"/>
    </row>
    <row r="26" spans="1:21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1" s="7" customFormat="1" ht="14.1" customHeight="1" x14ac:dyDescent="0.2">
      <c r="A27" s="351" t="s">
        <v>52</v>
      </c>
      <c r="B27" s="367"/>
      <c r="C27" s="352">
        <f>[3]Icelandair!$DN$19</f>
        <v>26</v>
      </c>
      <c r="D27" s="353">
        <f>C27/$C$54</f>
        <v>8.2408874801901744E-4</v>
      </c>
      <c r="E27" s="354">
        <f>[3]Icelandair!$CZ$19</f>
        <v>24</v>
      </c>
      <c r="F27" s="355">
        <f>(C27-E27)/E27</f>
        <v>8.3333333333333329E-2</v>
      </c>
      <c r="G27" s="354">
        <f>SUM([3]Icelandair!$DJ$19:$DN$19)</f>
        <v>26</v>
      </c>
      <c r="H27" s="354">
        <f>SUM([3]Icelandair!$CV$19:$CZ$19)</f>
        <v>24</v>
      </c>
      <c r="I27" s="355">
        <f>(G27-H27)/H27</f>
        <v>8.3333333333333329E-2</v>
      </c>
      <c r="J27" s="351" t="s">
        <v>52</v>
      </c>
      <c r="K27" s="367"/>
      <c r="L27" s="352">
        <f>[3]Icelandair!$DN$41</f>
        <v>3562</v>
      </c>
      <c r="M27" s="353">
        <f>L27/$L$54</f>
        <v>1.2451772105303818E-3</v>
      </c>
      <c r="N27" s="354">
        <f>[3]Icelandair!$CZ$41</f>
        <v>3099</v>
      </c>
      <c r="O27" s="355">
        <f>(L27-N27)/N27</f>
        <v>0.1494030332365279</v>
      </c>
      <c r="P27" s="354">
        <f>SUM([3]Icelandair!$DJ$41:$DN$41)</f>
        <v>3562</v>
      </c>
      <c r="Q27" s="354">
        <f>SUM([3]Icelandair!$CV$41:$CZ$41)</f>
        <v>3099</v>
      </c>
      <c r="R27" s="355">
        <f>(P27-Q27)/Q27</f>
        <v>0.1494030332365279</v>
      </c>
      <c r="T27" s="21"/>
    </row>
    <row r="28" spans="1:21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21"/>
    </row>
    <row r="29" spans="1:21" ht="14.1" customHeight="1" x14ac:dyDescent="0.2">
      <c r="A29" s="363" t="s">
        <v>144</v>
      </c>
      <c r="B29" s="58"/>
      <c r="C29" s="352">
        <f>SUM(C30:C31)</f>
        <v>1488</v>
      </c>
      <c r="D29" s="353">
        <f>C29/$C$54</f>
        <v>4.716323296354992E-2</v>
      </c>
      <c r="E29" s="354">
        <f>SUM(E30:E31)</f>
        <v>1565</v>
      </c>
      <c r="F29" s="355">
        <f>(C29-E29)/E29</f>
        <v>-4.9201277955271565E-2</v>
      </c>
      <c r="G29" s="352">
        <f>SUM(G30:G31)</f>
        <v>7029</v>
      </c>
      <c r="H29" s="354">
        <f>SUM(H30:H31)</f>
        <v>7340</v>
      </c>
      <c r="I29" s="355">
        <f>(G29-H29)/H29</f>
        <v>-4.237057220708447E-2</v>
      </c>
      <c r="J29" s="351" t="s">
        <v>144</v>
      </c>
      <c r="K29" s="58"/>
      <c r="L29" s="352">
        <f>SUM(L30:L31)</f>
        <v>162440</v>
      </c>
      <c r="M29" s="353">
        <f>L29/$L$54</f>
        <v>5.6784555328061551E-2</v>
      </c>
      <c r="N29" s="354">
        <f>SUM(N30:N31)</f>
        <v>155666</v>
      </c>
      <c r="O29" s="355">
        <f>(L29-N29)/N29</f>
        <v>4.3516246322254058E-2</v>
      </c>
      <c r="P29" s="352">
        <f>SUM(P30:P31)</f>
        <v>740924</v>
      </c>
      <c r="Q29" s="354">
        <f>SUM(Q30:Q31)</f>
        <v>703601</v>
      </c>
      <c r="R29" s="355">
        <f>(P29-Q29)/Q29</f>
        <v>5.3045689247172761E-2</v>
      </c>
      <c r="T29" s="21"/>
    </row>
    <row r="30" spans="1:21" ht="14.1" customHeight="1" x14ac:dyDescent="0.2">
      <c r="A30" s="363"/>
      <c r="B30" s="58" t="s">
        <v>144</v>
      </c>
      <c r="C30" s="455">
        <f>[3]Southwest!$DN$19</f>
        <v>1260</v>
      </c>
      <c r="D30" s="456">
        <f>C30/$C$54</f>
        <v>3.9936608557844692E-2</v>
      </c>
      <c r="E30" s="302">
        <f>[3]Southwest!$CZ$19</f>
        <v>1265</v>
      </c>
      <c r="F30" s="457">
        <f>(C30-E30)/E30</f>
        <v>-3.952569169960474E-3</v>
      </c>
      <c r="G30" s="302">
        <f>SUM([3]Southwest!$DJ$19:$DN$19)</f>
        <v>5901</v>
      </c>
      <c r="H30" s="302">
        <f>SUM([3]Southwest!$CV$19:$CZ$19)</f>
        <v>6018</v>
      </c>
      <c r="I30" s="457">
        <f>(G30-H30)/H30</f>
        <v>-1.9441674975074777E-2</v>
      </c>
      <c r="J30" s="351"/>
      <c r="K30" s="58" t="s">
        <v>144</v>
      </c>
      <c r="L30" s="455">
        <f>[3]Southwest!$DN$41</f>
        <v>139545</v>
      </c>
      <c r="M30" s="456">
        <f>L30/$L$54</f>
        <v>4.8781093162117387E-2</v>
      </c>
      <c r="N30" s="302">
        <f>[3]Southwest!$CZ$41</f>
        <v>125779</v>
      </c>
      <c r="O30" s="457">
        <f>(L30-N30)/N30</f>
        <v>0.10944593294588127</v>
      </c>
      <c r="P30" s="302">
        <f>SUM([3]Southwest!$DJ$41:$DN$41)</f>
        <v>631121</v>
      </c>
      <c r="Q30" s="302">
        <f>SUM([3]Southwest!$CV$41:$CZ$41)</f>
        <v>571786</v>
      </c>
      <c r="R30" s="457">
        <f>(P30-Q30)/Q30</f>
        <v>0.10377134102618812</v>
      </c>
      <c r="T30" s="21"/>
    </row>
    <row r="31" spans="1:21" ht="14.1" customHeight="1" x14ac:dyDescent="0.2">
      <c r="A31" s="363"/>
      <c r="B31" s="58" t="s">
        <v>205</v>
      </c>
      <c r="C31" s="455">
        <f>[3]AirTran!$DN$19</f>
        <v>228</v>
      </c>
      <c r="D31" s="456">
        <f>C31/$C$54</f>
        <v>7.2266244057052299E-3</v>
      </c>
      <c r="E31" s="302">
        <f>[3]AirTran!$CZ$19</f>
        <v>300</v>
      </c>
      <c r="F31" s="457">
        <f>(C31-E31)/E31</f>
        <v>-0.24</v>
      </c>
      <c r="G31" s="302">
        <f>SUM([3]AirTran!$DJ$19:$DN$19)</f>
        <v>1128</v>
      </c>
      <c r="H31" s="302">
        <f>SUM([3]AirTran!$CV$19:$CZ$19)</f>
        <v>1322</v>
      </c>
      <c r="I31" s="457">
        <f>(G31-H31)/H31</f>
        <v>-0.14674735249621784</v>
      </c>
      <c r="J31" s="351"/>
      <c r="K31" s="58" t="s">
        <v>205</v>
      </c>
      <c r="L31" s="455">
        <f>[3]AirTran!$DN$41</f>
        <v>22895</v>
      </c>
      <c r="M31" s="456">
        <f>L31/$L$54</f>
        <v>8.0034621659441588E-3</v>
      </c>
      <c r="N31" s="302">
        <f>[3]AirTran!$CZ$41</f>
        <v>29887</v>
      </c>
      <c r="O31" s="457">
        <f>(L31-N31)/N31</f>
        <v>-0.23394787031150668</v>
      </c>
      <c r="P31" s="302">
        <f>SUM([3]AirTran!$DJ$41:$DN$41)</f>
        <v>109803</v>
      </c>
      <c r="Q31" s="302">
        <f>SUM([3]AirTran!$CV$41:$CZ$41)</f>
        <v>131815</v>
      </c>
      <c r="R31" s="457">
        <f>(P31-Q31)/Q31</f>
        <v>-0.16699161703903198</v>
      </c>
      <c r="T31" s="21"/>
    </row>
    <row r="32" spans="1:21" ht="14.1" customHeight="1" x14ac:dyDescent="0.2">
      <c r="A32" s="351"/>
      <c r="B32" s="58"/>
      <c r="C32" s="352"/>
      <c r="D32" s="353"/>
      <c r="E32" s="354"/>
      <c r="F32" s="355"/>
      <c r="G32" s="354"/>
      <c r="H32" s="354"/>
      <c r="I32" s="355"/>
      <c r="J32" s="351"/>
      <c r="K32" s="58"/>
      <c r="L32" s="356"/>
      <c r="M32" s="41"/>
      <c r="N32" s="9"/>
      <c r="O32" s="89"/>
      <c r="P32" s="9"/>
      <c r="Q32" s="9"/>
      <c r="R32" s="89"/>
      <c r="T32" s="21"/>
      <c r="U32" s="7"/>
    </row>
    <row r="33" spans="1:21" ht="14.1" customHeight="1" x14ac:dyDescent="0.2">
      <c r="A33" s="351" t="s">
        <v>182</v>
      </c>
      <c r="B33" s="58"/>
      <c r="C33" s="352">
        <f>[3]Spirit!$DN$19</f>
        <v>572</v>
      </c>
      <c r="D33" s="353">
        <f>C33/$C$54</f>
        <v>1.8129952456418384E-2</v>
      </c>
      <c r="E33" s="354">
        <f>[3]Spirit!$CZ$19</f>
        <v>366</v>
      </c>
      <c r="F33" s="355">
        <f>(C33-E33)/E33</f>
        <v>0.56284153005464477</v>
      </c>
      <c r="G33" s="354">
        <f>SUM([3]Spirit!$DJ$19:$DN$19)</f>
        <v>3209</v>
      </c>
      <c r="H33" s="354">
        <f>SUM([3]Spirit!$CV$19:$CZ$19)</f>
        <v>1608</v>
      </c>
      <c r="I33" s="355">
        <f>(G33-H33)/H33</f>
        <v>0.99564676616915426</v>
      </c>
      <c r="J33" s="351" t="s">
        <v>182</v>
      </c>
      <c r="K33" s="58"/>
      <c r="L33" s="352">
        <f>[3]Spirit!$DN$41</f>
        <v>71344</v>
      </c>
      <c r="M33" s="353">
        <f>L33/$L$54</f>
        <v>2.4939899749601226E-2</v>
      </c>
      <c r="N33" s="354">
        <f>[3]Spirit!$CZ$41</f>
        <v>46200</v>
      </c>
      <c r="O33" s="355">
        <f>(L33-N33)/N33</f>
        <v>0.54424242424242419</v>
      </c>
      <c r="P33" s="354">
        <f>SUM([3]Spirit!$DJ$41:$DN$41)</f>
        <v>422184</v>
      </c>
      <c r="Q33" s="354">
        <f>SUM([3]Spirit!$CV$41:$CZ$41)</f>
        <v>212781</v>
      </c>
      <c r="R33" s="355">
        <f>(P33-Q33)/Q33</f>
        <v>0.98412452239626658</v>
      </c>
      <c r="T33" s="21"/>
      <c r="U33" s="7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s="7" customFormat="1" ht="14.1" customHeight="1" x14ac:dyDescent="0.2">
      <c r="A35" s="351" t="s">
        <v>53</v>
      </c>
      <c r="B35" s="367"/>
      <c r="C35" s="352">
        <f>'[3]Sun Country'!$DN$19</f>
        <v>1271</v>
      </c>
      <c r="D35" s="353">
        <f>C35/$C$54</f>
        <v>4.0285261489698888E-2</v>
      </c>
      <c r="E35" s="354">
        <f>'[3]Sun Country'!$CZ$19</f>
        <v>1098</v>
      </c>
      <c r="F35" s="355">
        <f>(C35-E35)/E35</f>
        <v>0.15755919854280509</v>
      </c>
      <c r="G35" s="354">
        <f>SUM('[3]Sun Country'!$DJ$19:$DN$19)</f>
        <v>7652</v>
      </c>
      <c r="H35" s="354">
        <f>SUM('[3]Sun Country'!$CV$19:$CZ$19)</f>
        <v>5936</v>
      </c>
      <c r="I35" s="355">
        <f>(G35-H35)/H35</f>
        <v>0.28908355795148249</v>
      </c>
      <c r="J35" s="351" t="s">
        <v>53</v>
      </c>
      <c r="K35" s="367"/>
      <c r="L35" s="352">
        <f>'[3]Sun Country'!$DN$41</f>
        <v>115673</v>
      </c>
      <c r="M35" s="353">
        <f>L35/$L$54</f>
        <v>4.0436098673127696E-2</v>
      </c>
      <c r="N35" s="354">
        <f>'[3]Sun Country'!$CZ$41</f>
        <v>103806</v>
      </c>
      <c r="O35" s="355">
        <f>(L35-N35)/N35</f>
        <v>0.11431901816850663</v>
      </c>
      <c r="P35" s="354">
        <f>SUM('[3]Sun Country'!$DJ$41:$DN$41)</f>
        <v>748072</v>
      </c>
      <c r="Q35" s="354">
        <f>SUM('[3]Sun Country'!$CV$41:$CZ$41)</f>
        <v>650445</v>
      </c>
      <c r="R35" s="355">
        <f>(P35-Q35)/Q35</f>
        <v>0.15009262889252742</v>
      </c>
      <c r="T35" s="21"/>
    </row>
    <row r="36" spans="1:21" s="7" customFormat="1" ht="14.1" customHeight="1" x14ac:dyDescent="0.2">
      <c r="A36" s="351"/>
      <c r="B36" s="367"/>
      <c r="C36" s="352"/>
      <c r="D36" s="353"/>
      <c r="E36" s="354"/>
      <c r="F36" s="355"/>
      <c r="G36" s="354"/>
      <c r="H36" s="354"/>
      <c r="I36" s="355"/>
      <c r="J36" s="351"/>
      <c r="K36" s="367"/>
      <c r="L36" s="356"/>
      <c r="M36" s="41"/>
      <c r="N36" s="9"/>
      <c r="O36" s="89"/>
      <c r="P36" s="9"/>
      <c r="Q36" s="9"/>
      <c r="R36" s="89"/>
      <c r="T36" s="21"/>
    </row>
    <row r="37" spans="1:21" s="7" customFormat="1" ht="14.1" customHeight="1" x14ac:dyDescent="0.2">
      <c r="A37" s="351" t="s">
        <v>21</v>
      </c>
      <c r="B37" s="359"/>
      <c r="C37" s="352">
        <f>SUM(C38:C44)</f>
        <v>1674</v>
      </c>
      <c r="D37" s="353">
        <f>C37/$C$54</f>
        <v>5.3058637083993658E-2</v>
      </c>
      <c r="E37" s="354">
        <f>SUM(E38:E44)</f>
        <v>1900</v>
      </c>
      <c r="F37" s="355">
        <f t="shared" ref="F37:F44" si="6">(C37-E37)/E37</f>
        <v>-0.11894736842105263</v>
      </c>
      <c r="G37" s="354">
        <f>SUM(G38:G44)</f>
        <v>7704</v>
      </c>
      <c r="H37" s="354">
        <f>SUM(H38:H44)</f>
        <v>8631</v>
      </c>
      <c r="I37" s="355">
        <f t="shared" ref="I37:I44" si="7">(G37-H37)/H37</f>
        <v>-0.10740354535974973</v>
      </c>
      <c r="J37" s="351" t="s">
        <v>21</v>
      </c>
      <c r="K37" s="359"/>
      <c r="L37" s="352">
        <f>SUM(L38:L44)</f>
        <v>114149</v>
      </c>
      <c r="M37" s="353">
        <f t="shared" ref="M37:M44" si="8">L37/$L$54</f>
        <v>3.9903350197875505E-2</v>
      </c>
      <c r="N37" s="354">
        <f>SUM(N38:N44)</f>
        <v>110359</v>
      </c>
      <c r="O37" s="355">
        <f t="shared" ref="O37:O44" si="9">(L37-N37)/N37</f>
        <v>3.4342464139762052E-2</v>
      </c>
      <c r="P37" s="354">
        <f>SUM(P38:P44)</f>
        <v>498159</v>
      </c>
      <c r="Q37" s="354">
        <f>SUM(Q38:Q44)</f>
        <v>522771</v>
      </c>
      <c r="R37" s="355">
        <f t="shared" ref="R37:R44" si="10">(P37-Q37)/Q37</f>
        <v>-4.7079887751998485E-2</v>
      </c>
      <c r="T37" s="21"/>
      <c r="U37"/>
    </row>
    <row r="38" spans="1:21" s="7" customFormat="1" ht="14.1" customHeight="1" x14ac:dyDescent="0.2">
      <c r="A38" s="368"/>
      <c r="B38" s="360" t="s">
        <v>192</v>
      </c>
      <c r="C38" s="356">
        <f>[3]United!$DN$19</f>
        <v>268</v>
      </c>
      <c r="D38" s="41">
        <f>C38/$C$54</f>
        <v>8.4944532488114097E-3</v>
      </c>
      <c r="E38" s="9">
        <f>[3]United!$CZ$19+[3]Continental!$CZ$19</f>
        <v>338</v>
      </c>
      <c r="F38" s="89">
        <f t="shared" si="6"/>
        <v>-0.20710059171597633</v>
      </c>
      <c r="G38" s="9">
        <f>SUM([3]United!$DJ$19:$DN$19)</f>
        <v>1492</v>
      </c>
      <c r="H38" s="9">
        <f>SUM([3]United!$CV$19:$CZ$19)+SUM([3]Continental!$CV$19:$CZ$19)</f>
        <v>2060</v>
      </c>
      <c r="I38" s="89">
        <f t="shared" si="7"/>
        <v>-0.27572815533980582</v>
      </c>
      <c r="J38" s="368"/>
      <c r="K38" s="360" t="s">
        <v>192</v>
      </c>
      <c r="L38" s="356">
        <f>[3]United!$DN$41</f>
        <v>32287</v>
      </c>
      <c r="M38" s="41">
        <f t="shared" si="8"/>
        <v>1.1286646995057395E-2</v>
      </c>
      <c r="N38" s="9">
        <f>[3]United!$CZ$41+[3]Continental!$CZ$41</f>
        <v>33372</v>
      </c>
      <c r="O38" s="89">
        <f t="shared" si="9"/>
        <v>-3.2512285748531704E-2</v>
      </c>
      <c r="P38" s="9">
        <f>SUM([3]United!$DJ$41:$DN$41)+SUM([3]Continental!$DJ$41:$DN$41)</f>
        <v>163708</v>
      </c>
      <c r="Q38" s="9">
        <f>SUM([3]United!$CV$41:$CZ$41)+SUM([3]Continental!$CV$41:$CZ$41)</f>
        <v>210233</v>
      </c>
      <c r="R38" s="89">
        <f t="shared" si="10"/>
        <v>-0.22130207912173636</v>
      </c>
      <c r="T38" s="21"/>
    </row>
    <row r="39" spans="1:21" s="7" customFormat="1" ht="14.1" customHeight="1" x14ac:dyDescent="0.2">
      <c r="A39" s="368"/>
      <c r="B39" s="360" t="s">
        <v>191</v>
      </c>
      <c r="C39" s="356">
        <f>[3]Chautaqua_Continental!$DN$19</f>
        <v>0</v>
      </c>
      <c r="D39" s="41">
        <f>C39/$C$54</f>
        <v>0</v>
      </c>
      <c r="E39" s="9">
        <f>[3]Chautaqua_Continental!$CZ$19</f>
        <v>140</v>
      </c>
      <c r="F39" s="89">
        <f t="shared" si="6"/>
        <v>-1</v>
      </c>
      <c r="G39" s="9">
        <f>SUM([3]Chautaqua_Continental!$DJ$19:$DN$19)</f>
        <v>58</v>
      </c>
      <c r="H39" s="9">
        <f>SUM([3]Chautaqua_Continental!$CV$19:$CZ$19)</f>
        <v>437</v>
      </c>
      <c r="I39" s="89">
        <f t="shared" si="7"/>
        <v>-0.86727688787185353</v>
      </c>
      <c r="J39" s="55"/>
      <c r="K39" s="361" t="s">
        <v>130</v>
      </c>
      <c r="L39" s="356">
        <f>[3]Chautaqua_Continental!$DN$41</f>
        <v>0</v>
      </c>
      <c r="M39" s="41">
        <f t="shared" si="8"/>
        <v>0</v>
      </c>
      <c r="N39" s="9">
        <f>[3]Chautaqua_Continental!$CZ$41</f>
        <v>4715</v>
      </c>
      <c r="O39" s="89">
        <f t="shared" si="9"/>
        <v>-1</v>
      </c>
      <c r="P39" s="9">
        <f>SUM([3]Chautaqua_Continental!$DJ$41:$DN$41)</f>
        <v>2215</v>
      </c>
      <c r="Q39" s="9">
        <f>SUM([3]Chautaqua_Continental!$CV$41:$CZ$41)</f>
        <v>15941</v>
      </c>
      <c r="R39" s="89">
        <f t="shared" si="10"/>
        <v>-0.86105012232607736</v>
      </c>
      <c r="T39" s="21"/>
    </row>
    <row r="40" spans="1:21" s="7" customFormat="1" ht="14.1" customHeight="1" x14ac:dyDescent="0.2">
      <c r="A40" s="368"/>
      <c r="B40" s="360" t="s">
        <v>181</v>
      </c>
      <c r="C40" s="356">
        <f>'[3]Go Jet_UA'!$DN$19</f>
        <v>356</v>
      </c>
      <c r="D40" s="41">
        <f>C40/$C$54</f>
        <v>1.1283676703645008E-2</v>
      </c>
      <c r="E40" s="9">
        <f>'[3]Go Jet_UA'!$CZ$19</f>
        <v>0</v>
      </c>
      <c r="F40" s="89" t="e">
        <f>(C40-E40)/E40</f>
        <v>#DIV/0!</v>
      </c>
      <c r="G40" s="9">
        <f>SUM('[3]Go Jet_UA'!$DJ$19:$DN$19)</f>
        <v>1514</v>
      </c>
      <c r="H40" s="9">
        <f>SUM('[3]Go Jet_UA'!$CV$19:$CZ$19)</f>
        <v>0</v>
      </c>
      <c r="I40" s="89" t="e">
        <f>(G40-H40)/H40</f>
        <v>#DIV/0!</v>
      </c>
      <c r="J40" s="55"/>
      <c r="K40" s="361" t="s">
        <v>181</v>
      </c>
      <c r="L40" s="356">
        <f>'[3]Go Jet_UA'!$DN$41</f>
        <v>23196</v>
      </c>
      <c r="M40" s="41">
        <f t="shared" si="8"/>
        <v>8.1086834855313688E-3</v>
      </c>
      <c r="N40" s="9">
        <f>'[3]Go Jet_UA'!$CZ$41</f>
        <v>0</v>
      </c>
      <c r="O40" s="89" t="e">
        <f>(L40-N40)/N40</f>
        <v>#DIV/0!</v>
      </c>
      <c r="P40" s="9">
        <f>SUM('[3]Go Jet_UA'!$DJ$41:$DN$41)</f>
        <v>92598</v>
      </c>
      <c r="Q40" s="9">
        <f>SUM('[3]Go Jet_UA'!$CV$41:$CZ$41)</f>
        <v>0</v>
      </c>
      <c r="R40" s="89" t="e">
        <f>(P40-Q40)/Q40</f>
        <v>#DIV/0!</v>
      </c>
      <c r="T40" s="21"/>
    </row>
    <row r="41" spans="1:21" s="7" customFormat="1" ht="14.1" customHeight="1" x14ac:dyDescent="0.2">
      <c r="A41" s="368"/>
      <c r="B41" s="360" t="s">
        <v>56</v>
      </c>
      <c r="C41" s="356">
        <f>[3]MESA_UA!$DN$19</f>
        <v>54</v>
      </c>
      <c r="D41" s="41">
        <f>C41/$C$54</f>
        <v>1.7115689381933439E-3</v>
      </c>
      <c r="E41" s="9">
        <f>[3]MESA_UA!$CZ$19</f>
        <v>0</v>
      </c>
      <c r="F41" s="89" t="e">
        <f>(C41-E41)/E41</f>
        <v>#DIV/0!</v>
      </c>
      <c r="G41" s="9">
        <f>SUM([3]MESA_UA!$DJ$19:$DN$19)</f>
        <v>396</v>
      </c>
      <c r="H41" s="9">
        <f>SUM([3]MESA_UA!$CV$19:$CZ$19)</f>
        <v>0</v>
      </c>
      <c r="I41" s="89" t="e">
        <f>(G41-H41)/H41</f>
        <v>#DIV/0!</v>
      </c>
      <c r="J41" s="55"/>
      <c r="K41" s="361" t="s">
        <v>56</v>
      </c>
      <c r="L41" s="356">
        <f>[3]MESA_UA!$DN$41</f>
        <v>3582</v>
      </c>
      <c r="M41" s="41">
        <f t="shared" si="8"/>
        <v>1.2521686603368411E-3</v>
      </c>
      <c r="N41" s="9">
        <f>[3]MESA_UA!$CZ$41</f>
        <v>0</v>
      </c>
      <c r="O41" s="89" t="e">
        <f>(L41-N41)/N41</f>
        <v>#DIV/0!</v>
      </c>
      <c r="P41" s="9">
        <f>SUM([3]MESA_UA!$DJ$41:$DN$41)</f>
        <v>24133</v>
      </c>
      <c r="Q41" s="9">
        <f>SUM([3]MESA_UA!$CV$41:$CZ$41)</f>
        <v>0</v>
      </c>
      <c r="R41" s="89" t="e">
        <f>(P41-Q41)/Q41</f>
        <v>#DIV/0!</v>
      </c>
      <c r="T41" s="21"/>
    </row>
    <row r="42" spans="1:21" s="7" customFormat="1" ht="14.1" customHeight="1" x14ac:dyDescent="0.2">
      <c r="A42" s="368"/>
      <c r="B42" s="360" t="s">
        <v>177</v>
      </c>
      <c r="C42" s="356">
        <f>'[3]Continental Express'!$DN$19</f>
        <v>388</v>
      </c>
      <c r="D42" s="41">
        <f>C42/$C$53</f>
        <v>2.3722181462460259E-2</v>
      </c>
      <c r="E42" s="9">
        <f>'[3]Continental Express'!$CZ$19</f>
        <v>484</v>
      </c>
      <c r="F42" s="89">
        <f t="shared" si="6"/>
        <v>-0.19834710743801653</v>
      </c>
      <c r="G42" s="9">
        <f>SUM('[3]Continental Express'!$DJ$19:$DN$19)</f>
        <v>2142</v>
      </c>
      <c r="H42" s="9">
        <f>SUM('[3]Continental Express'!$CV$19:$CZ$19)</f>
        <v>2300</v>
      </c>
      <c r="I42" s="89">
        <f t="shared" si="7"/>
        <v>-6.8695652173913047E-2</v>
      </c>
      <c r="J42" s="55"/>
      <c r="K42" s="361" t="s">
        <v>177</v>
      </c>
      <c r="L42" s="356">
        <f>'[3]Continental Express'!$DN$41</f>
        <v>17019</v>
      </c>
      <c r="M42" s="41">
        <f t="shared" si="8"/>
        <v>5.9493742128064481E-3</v>
      </c>
      <c r="N42" s="9">
        <f>'[3]Continental Express'!$CZ$41</f>
        <v>18602</v>
      </c>
      <c r="O42" s="89">
        <f t="shared" si="9"/>
        <v>-8.5098376518653915E-2</v>
      </c>
      <c r="P42" s="9">
        <f>SUM('[3]Continental Express'!$DJ$41:$DN$41)</f>
        <v>87973</v>
      </c>
      <c r="Q42" s="9">
        <f>SUM('[3]Continental Express'!$CV$41:$CZ$41)</f>
        <v>84987</v>
      </c>
      <c r="R42" s="89">
        <f t="shared" si="10"/>
        <v>3.5134785320107782E-2</v>
      </c>
      <c r="T42" s="21"/>
    </row>
    <row r="43" spans="1:21" s="7" customFormat="1" ht="14.1" customHeight="1" x14ac:dyDescent="0.2">
      <c r="A43" s="368"/>
      <c r="B43" s="360" t="s">
        <v>109</v>
      </c>
      <c r="C43" s="356">
        <f>'[3]Sky West_UA'!$DN$19</f>
        <v>330</v>
      </c>
      <c r="D43" s="41">
        <f>C43/$C$54</f>
        <v>1.0459587955625991E-2</v>
      </c>
      <c r="E43" s="9">
        <f>'[3]Sky West_UA'!$CZ$19+'[3]Sky West_CO'!$CZ$19</f>
        <v>268</v>
      </c>
      <c r="F43" s="89">
        <f t="shared" si="6"/>
        <v>0.23134328358208955</v>
      </c>
      <c r="G43" s="9">
        <f>SUM('[3]Sky West_UA'!$DJ$19:$DN$19)</f>
        <v>794</v>
      </c>
      <c r="H43" s="9">
        <f>SUM('[3]Sky West_UA'!$CV$19:$CZ$19)+SUM('[3]Sky West_CO'!$CV$19:$CZ$19)</f>
        <v>1154</v>
      </c>
      <c r="I43" s="89">
        <f t="shared" si="7"/>
        <v>-0.31195840554592719</v>
      </c>
      <c r="J43" s="368"/>
      <c r="K43" s="361" t="s">
        <v>109</v>
      </c>
      <c r="L43" s="356">
        <f>'[3]Sky West_UA'!$DN$41</f>
        <v>20107</v>
      </c>
      <c r="M43" s="41">
        <f t="shared" si="8"/>
        <v>7.0288540629237471E-3</v>
      </c>
      <c r="N43" s="9">
        <f>'[3]Sky West_UA'!$CZ$41+'[3]Sky West_CO'!$CZ$41</f>
        <v>15357</v>
      </c>
      <c r="O43" s="89">
        <f t="shared" si="9"/>
        <v>0.30930520283909618</v>
      </c>
      <c r="P43" s="9">
        <f>SUM('[3]Sky West_UA'!$DJ$41:$DN$41)</f>
        <v>47085</v>
      </c>
      <c r="Q43" s="9">
        <f>SUM('[3]Sky West_UA'!$CV$41:$CZ$41)+SUM('[3]Sky West_CO'!$CV$41:$CZ$41)</f>
        <v>66265</v>
      </c>
      <c r="R43" s="89">
        <f t="shared" si="10"/>
        <v>-0.28944389949445409</v>
      </c>
      <c r="T43" s="21"/>
    </row>
    <row r="44" spans="1:21" s="7" customFormat="1" ht="14.1" customHeight="1" x14ac:dyDescent="0.2">
      <c r="A44" s="368"/>
      <c r="B44" s="362" t="s">
        <v>147</v>
      </c>
      <c r="C44" s="356">
        <f>'[3]Shuttle America'!$DN$19</f>
        <v>278</v>
      </c>
      <c r="D44" s="41">
        <f>C44/$C$54</f>
        <v>8.8114104595879549E-3</v>
      </c>
      <c r="E44" s="9">
        <f>'[3]Shuttle America'!$CZ$19</f>
        <v>670</v>
      </c>
      <c r="F44" s="89">
        <f t="shared" si="6"/>
        <v>-0.58507462686567169</v>
      </c>
      <c r="G44" s="9">
        <f>SUM('[3]Shuttle America'!$DJ$19:$DN$19)</f>
        <v>1308</v>
      </c>
      <c r="H44" s="9">
        <f>SUM('[3]Shuttle America'!$CV$19:$CZ$19)</f>
        <v>2680</v>
      </c>
      <c r="I44" s="89">
        <f t="shared" si="7"/>
        <v>-0.5119402985074627</v>
      </c>
      <c r="J44" s="368"/>
      <c r="K44" s="362" t="s">
        <v>147</v>
      </c>
      <c r="L44" s="356">
        <f>'[3]Shuttle America'!$DN$41</f>
        <v>17958</v>
      </c>
      <c r="M44" s="41">
        <f t="shared" si="8"/>
        <v>6.277622781219707E-3</v>
      </c>
      <c r="N44" s="9">
        <f>'[3]Shuttle America'!$CZ$41</f>
        <v>38313</v>
      </c>
      <c r="O44" s="89">
        <f t="shared" si="9"/>
        <v>-0.53128181035157784</v>
      </c>
      <c r="P44" s="9">
        <f>SUM('[3]Shuttle America'!$DJ$41:$DN$41)</f>
        <v>80447</v>
      </c>
      <c r="Q44" s="9">
        <f>SUM('[3]Shuttle America'!$CV$41:$CZ$41)</f>
        <v>145345</v>
      </c>
      <c r="R44" s="89">
        <f t="shared" si="10"/>
        <v>-0.44651002786473565</v>
      </c>
      <c r="T44" s="21"/>
    </row>
    <row r="45" spans="1:21" s="7" customFormat="1" ht="14.1" customHeight="1" x14ac:dyDescent="0.2">
      <c r="A45" s="368"/>
      <c r="B45" s="362"/>
      <c r="C45" s="356"/>
      <c r="D45" s="41"/>
      <c r="E45" s="9"/>
      <c r="F45" s="89"/>
      <c r="G45" s="9"/>
      <c r="H45" s="9"/>
      <c r="I45" s="89"/>
      <c r="J45" s="368"/>
      <c r="K45" s="362"/>
      <c r="L45" s="356"/>
      <c r="M45" s="41"/>
      <c r="N45" s="9"/>
      <c r="O45" s="89"/>
      <c r="P45" s="9"/>
      <c r="Q45" s="9"/>
      <c r="R45" s="89"/>
      <c r="T45" s="21"/>
    </row>
    <row r="46" spans="1:21" s="7" customFormat="1" ht="14.1" customHeight="1" x14ac:dyDescent="0.2">
      <c r="A46" s="363" t="s">
        <v>22</v>
      </c>
      <c r="B46" s="364"/>
      <c r="C46" s="352">
        <f>SUM(C47:C50)</f>
        <v>878</v>
      </c>
      <c r="D46" s="353">
        <f>C46/$C$54</f>
        <v>2.7828843106180664E-2</v>
      </c>
      <c r="E46" s="354">
        <f>SUM(E47:E50)</f>
        <v>922</v>
      </c>
      <c r="F46" s="355">
        <f>(C46-E46)/E46</f>
        <v>-4.7722342733188719E-2</v>
      </c>
      <c r="G46" s="354">
        <f>SUM(G47:G50)</f>
        <v>4260</v>
      </c>
      <c r="H46" s="354">
        <f>SUM(H47:H50)</f>
        <v>4491</v>
      </c>
      <c r="I46" s="355">
        <f>(G46-H46)/H46</f>
        <v>-5.143620574482298E-2</v>
      </c>
      <c r="J46" s="363" t="s">
        <v>22</v>
      </c>
      <c r="K46" s="364"/>
      <c r="L46" s="352">
        <f>SUM(L47:L50)</f>
        <v>106151</v>
      </c>
      <c r="M46" s="353">
        <f>L46/$L$54</f>
        <v>3.7107469420272481E-2</v>
      </c>
      <c r="N46" s="354">
        <f>SUM(N47:N50)</f>
        <v>114974</v>
      </c>
      <c r="O46" s="355">
        <f>(L46-N46)/N46</f>
        <v>-7.6739088837476294E-2</v>
      </c>
      <c r="P46" s="354">
        <f>SUM(P47:P50)</f>
        <v>515359</v>
      </c>
      <c r="Q46" s="354">
        <f>SUM(Q47:Q50)</f>
        <v>545678</v>
      </c>
      <c r="R46" s="355">
        <f>(P46-Q46)/Q46</f>
        <v>-5.5562071404747858E-2</v>
      </c>
      <c r="T46" s="21"/>
      <c r="U46"/>
    </row>
    <row r="47" spans="1:21" s="7" customFormat="1" ht="14.1" customHeight="1" x14ac:dyDescent="0.2">
      <c r="A47" s="368"/>
      <c r="B47" s="360" t="s">
        <v>22</v>
      </c>
      <c r="C47" s="356">
        <f>'[3]US Airways'!$DN$19</f>
        <v>705</v>
      </c>
      <c r="D47" s="41">
        <f>C47/$C$54</f>
        <v>2.2345483359746433E-2</v>
      </c>
      <c r="E47" s="9">
        <f>'[3]US Airways'!$CZ$19</f>
        <v>720</v>
      </c>
      <c r="F47" s="89">
        <f>(C47-E47)/E47</f>
        <v>-2.0833333333333332E-2</v>
      </c>
      <c r="G47" s="9">
        <f>SUM('[3]US Airways'!$DJ$19:$DN$19)</f>
        <v>3435</v>
      </c>
      <c r="H47" s="9">
        <f>SUM('[3]US Airways'!$CV$19:$CZ$19)</f>
        <v>3464</v>
      </c>
      <c r="I47" s="89">
        <f>(G47-H47)/H47</f>
        <v>-8.3718244803695149E-3</v>
      </c>
      <c r="J47" s="368"/>
      <c r="K47" s="360" t="s">
        <v>22</v>
      </c>
      <c r="L47" s="356">
        <f>'[3]US Airways'!$DN$41</f>
        <v>95154</v>
      </c>
      <c r="M47" s="41">
        <f>L47/$L$54</f>
        <v>3.3263220744190893E-2</v>
      </c>
      <c r="N47" s="9">
        <f>'[3]US Airways'!$CZ$41</f>
        <v>101818</v>
      </c>
      <c r="O47" s="89">
        <f>(L47-N47)/N47</f>
        <v>-6.54501168752087E-2</v>
      </c>
      <c r="P47" s="9">
        <f>SUM('[3]US Airways'!$DJ$41:$DN$41)</f>
        <v>467686</v>
      </c>
      <c r="Q47" s="9">
        <f>SUM('[3]US Airways'!$CV$41:$CZ$41)</f>
        <v>485000</v>
      </c>
      <c r="R47" s="89">
        <f>(P47-Q47)/Q47</f>
        <v>-3.5698969072164952E-2</v>
      </c>
      <c r="T47" s="337"/>
    </row>
    <row r="48" spans="1:21" s="7" customFormat="1" ht="14.1" customHeight="1" x14ac:dyDescent="0.2">
      <c r="A48" s="368"/>
      <c r="B48" s="362" t="s">
        <v>57</v>
      </c>
      <c r="C48" s="356">
        <f>[3]Republic!$DN$19</f>
        <v>173</v>
      </c>
      <c r="D48" s="41">
        <f>C48/$C$54</f>
        <v>5.4833597464342314E-3</v>
      </c>
      <c r="E48" s="9">
        <f>[3]Republic!$CZ$19</f>
        <v>196</v>
      </c>
      <c r="F48" s="89">
        <f>(C48-E48)/E48</f>
        <v>-0.11734693877551021</v>
      </c>
      <c r="G48" s="9">
        <f>SUM([3]Republic!$DJ$19:$DN$19)</f>
        <v>804</v>
      </c>
      <c r="H48" s="9">
        <f>SUM([3]Republic!$CV$19:$CZ$19)</f>
        <v>997</v>
      </c>
      <c r="I48" s="89">
        <f>(G48-H48)/H48</f>
        <v>-0.19358074222668004</v>
      </c>
      <c r="J48" s="368"/>
      <c r="K48" s="362" t="s">
        <v>57</v>
      </c>
      <c r="L48" s="356">
        <f>[3]Republic!$DN$41</f>
        <v>10997</v>
      </c>
      <c r="M48" s="41">
        <f>L48/$L$54</f>
        <v>3.8442486760815859E-3</v>
      </c>
      <c r="N48" s="9">
        <f>[3]Republic!$CZ$41</f>
        <v>12873</v>
      </c>
      <c r="O48" s="89">
        <f>(L48-N48)/N48</f>
        <v>-0.14573137574768896</v>
      </c>
      <c r="P48" s="9">
        <f>SUM([3]Republic!$DJ$41:$DN$41)</f>
        <v>46803</v>
      </c>
      <c r="Q48" s="9">
        <f>SUM([3]Republic!$CV$41:$CZ$41)</f>
        <v>59527</v>
      </c>
      <c r="R48" s="89">
        <f>(P48-Q48)/Q48</f>
        <v>-0.21375174290658019</v>
      </c>
      <c r="T48" s="334"/>
    </row>
    <row r="49" spans="1:21" s="7" customFormat="1" ht="14.1" customHeight="1" x14ac:dyDescent="0.2">
      <c r="A49" s="368"/>
      <c r="B49" s="361" t="s">
        <v>108</v>
      </c>
      <c r="C49" s="356">
        <f>[3]MESA!$DN$19</f>
        <v>0</v>
      </c>
      <c r="D49" s="41">
        <f>C49/$C$54</f>
        <v>0</v>
      </c>
      <c r="E49" s="9">
        <f>[3]MESA!$CZ$19</f>
        <v>0</v>
      </c>
      <c r="F49" s="89" t="e">
        <f>(C49-E49)/E49</f>
        <v>#DIV/0!</v>
      </c>
      <c r="G49" s="9">
        <f>SUM([3]MESA!$DJ$19:$DN$19)</f>
        <v>0</v>
      </c>
      <c r="H49" s="9">
        <f>SUM([3]MESA!$CV$19:$CZ$19)</f>
        <v>0</v>
      </c>
      <c r="I49" s="89" t="e">
        <f>(G49-H49)/H49</f>
        <v>#DIV/0!</v>
      </c>
      <c r="J49" s="368"/>
      <c r="K49" s="361" t="s">
        <v>108</v>
      </c>
      <c r="L49" s="356">
        <f>[3]MESA!$DN$41</f>
        <v>0</v>
      </c>
      <c r="M49" s="41">
        <f>L49/$L$54</f>
        <v>0</v>
      </c>
      <c r="N49" s="9">
        <f>[3]MESA!$CZ$41</f>
        <v>0</v>
      </c>
      <c r="O49" s="89" t="e">
        <f>(L49-N49)/N49</f>
        <v>#DIV/0!</v>
      </c>
      <c r="P49" s="9">
        <f>SUM([3]MESA!$DJ$41:$DN$41)</f>
        <v>0</v>
      </c>
      <c r="Q49" s="9">
        <f>SUM([3]MESA!$CV$41:$CZ$41)</f>
        <v>0</v>
      </c>
      <c r="R49" s="89" t="e">
        <f>(P49-Q49)/Q49</f>
        <v>#DIV/0!</v>
      </c>
      <c r="T49" s="334"/>
      <c r="U49"/>
    </row>
    <row r="50" spans="1:21" ht="14.1" customHeight="1" thickBot="1" x14ac:dyDescent="0.25">
      <c r="A50" s="369"/>
      <c r="B50" s="370" t="s">
        <v>54</v>
      </c>
      <c r="C50" s="371">
        <f>'[3]Air Wisconsin'!$DN$19</f>
        <v>0</v>
      </c>
      <c r="D50" s="372">
        <f>C50/$C$54</f>
        <v>0</v>
      </c>
      <c r="E50" s="374">
        <f>'[3]Air Wisconsin'!$CZ$19</f>
        <v>6</v>
      </c>
      <c r="F50" s="373">
        <f>(C50-E50)/E50</f>
        <v>-1</v>
      </c>
      <c r="G50" s="374">
        <f>SUM('[3]Air Wisconsin'!$DJ$19:$DN$19)</f>
        <v>21</v>
      </c>
      <c r="H50" s="374">
        <f>SUM('[3]Air Wisconsin'!$CV$19:$CZ$19)</f>
        <v>30</v>
      </c>
      <c r="I50" s="398">
        <f>(G50-H50)/H50</f>
        <v>-0.3</v>
      </c>
      <c r="J50" s="369"/>
      <c r="K50" s="370" t="s">
        <v>54</v>
      </c>
      <c r="L50" s="371">
        <f>'[3]Air Wisconsin'!$DN$41</f>
        <v>0</v>
      </c>
      <c r="M50" s="372">
        <f>L50/$L$54</f>
        <v>0</v>
      </c>
      <c r="N50" s="374">
        <f>'[3]Air Wisconsin'!$CZ$41</f>
        <v>283</v>
      </c>
      <c r="O50" s="373">
        <f>(L50-N50)/N50</f>
        <v>-1</v>
      </c>
      <c r="P50" s="374">
        <f>SUM('[3]Air Wisconsin'!$DJ$41:$DN$41)</f>
        <v>870</v>
      </c>
      <c r="Q50" s="374">
        <f>SUM('[3]Air Wisconsin'!$CV$41:$CZ$41)</f>
        <v>1151</v>
      </c>
      <c r="R50" s="373">
        <f>(P50-Q50)/Q50</f>
        <v>-0.24413553431798435</v>
      </c>
      <c r="T50" s="21"/>
      <c r="U50" s="230"/>
    </row>
    <row r="51" spans="1:21" s="233" customFormat="1" ht="14.1" customHeight="1" x14ac:dyDescent="0.2">
      <c r="B51" s="263"/>
      <c r="C51" s="375"/>
      <c r="D51" s="353"/>
      <c r="E51" s="354"/>
      <c r="F51" s="353"/>
      <c r="G51" s="376"/>
      <c r="H51" s="354"/>
      <c r="I51" s="377"/>
      <c r="J51" s="378"/>
      <c r="K51" s="263"/>
      <c r="L51" s="379"/>
      <c r="M51" s="378"/>
      <c r="N51" s="380"/>
      <c r="O51" s="378"/>
      <c r="P51" s="234"/>
      <c r="Q51" s="234"/>
      <c r="R51" s="234"/>
      <c r="T51" s="232"/>
      <c r="U51"/>
    </row>
    <row r="52" spans="1:21" ht="14.1" customHeight="1" x14ac:dyDescent="0.2">
      <c r="B52" s="381" t="s">
        <v>149</v>
      </c>
      <c r="C52" s="382">
        <f>+C54-C53</f>
        <v>15194</v>
      </c>
      <c r="D52" s="452">
        <f>C52/$C$54</f>
        <v>0.48158478605388272</v>
      </c>
      <c r="E52" s="382">
        <f>+E54-E53</f>
        <v>16239</v>
      </c>
      <c r="F52" s="384">
        <f>(C52-E52)/E52</f>
        <v>-6.4351253155982516E-2</v>
      </c>
      <c r="G52" s="382">
        <f>+G54-G53</f>
        <v>75456</v>
      </c>
      <c r="H52" s="382">
        <f>+H54-H53</f>
        <v>77013</v>
      </c>
      <c r="I52" s="385">
        <f>(G52-H52)/H52</f>
        <v>-2.0217365899263762E-2</v>
      </c>
      <c r="K52" s="381" t="s">
        <v>149</v>
      </c>
      <c r="L52" s="382">
        <f>+L54-L53</f>
        <v>2008028</v>
      </c>
      <c r="M52" s="383">
        <f>+L52/L54</f>
        <v>0.70195134859823183</v>
      </c>
      <c r="N52" s="382">
        <f>+N54-N53</f>
        <v>1930686</v>
      </c>
      <c r="O52" s="384">
        <f>(L52-N52)/N52</f>
        <v>4.0059336422390797E-2</v>
      </c>
      <c r="P52" s="382">
        <f>+P54-P53</f>
        <v>9676655</v>
      </c>
      <c r="Q52" s="382">
        <f>+Q54-Q53</f>
        <v>9022753</v>
      </c>
      <c r="R52" s="385">
        <f>(P52-Q52)/Q52</f>
        <v>7.247255909587684E-2</v>
      </c>
    </row>
    <row r="53" spans="1:21" ht="14.1" customHeight="1" x14ac:dyDescent="0.2">
      <c r="B53" s="335" t="s">
        <v>150</v>
      </c>
      <c r="C53" s="386">
        <f>+C50+C49+C48+C44+C21+C19+C17+C16+C4+C20+C12+C43+C18+C42+C39+C40+C41</f>
        <v>16356</v>
      </c>
      <c r="D53" s="453">
        <f>C53/$C$54</f>
        <v>0.51841521394611723</v>
      </c>
      <c r="E53" s="386">
        <f>+E50+E49+E48+E44+E21+E19+E17+E16+E4+E20+E12+E43+E18+E42+E39+E40+E41</f>
        <v>17167</v>
      </c>
      <c r="F53" s="388">
        <f>(C53-E53)/E53</f>
        <v>-4.7241801130075145E-2</v>
      </c>
      <c r="G53" s="386">
        <f>+G50+G49+G48+G44+G21+G19+G17+G16+G4+G20+G12+G43+G18+G42+G39+G40+G41</f>
        <v>78545</v>
      </c>
      <c r="H53" s="386">
        <f>+H50+H49+H48+H44+H21+H19+H17+H16+H4+H20+H12+H43+H18+H42+H39+H40+H41</f>
        <v>82337</v>
      </c>
      <c r="I53" s="389">
        <f>(G53-H53)/H53</f>
        <v>-4.6054629146070419E-2</v>
      </c>
      <c r="K53" s="335" t="s">
        <v>150</v>
      </c>
      <c r="L53" s="386">
        <f>+L50+L49+L48+L44+L21+L19+L17+L16+L4+L20+L12+L43+L18+L42+L39+L40+L41</f>
        <v>852609</v>
      </c>
      <c r="M53" s="387">
        <f>+L53/L54</f>
        <v>0.29804865140176823</v>
      </c>
      <c r="N53" s="386">
        <f>+N50+N49+N48+N44+N21+N19+N17+N16+N4+N20+N12+N43+N18+N42+N39+N40+N41</f>
        <v>824830</v>
      </c>
      <c r="O53" s="388">
        <f>(L53-N53)/N53</f>
        <v>3.3678454954354231E-2</v>
      </c>
      <c r="P53" s="386">
        <f>+P50+P49+P48+P44+P21+P19+P17+P16+P4+P20+P12+P43+P18+P42+P39+P40+P41</f>
        <v>3887418</v>
      </c>
      <c r="Q53" s="386">
        <f>+Q50+Q49+Q48+Q44+Q21+Q19+Q17+Q16+Q4+Q20+Q12+Q43+Q18+Q42+Q39+Q40+Q41</f>
        <v>3820831</v>
      </c>
      <c r="R53" s="389">
        <f>(P53-Q53)/Q53</f>
        <v>1.742736069718865E-2</v>
      </c>
    </row>
    <row r="54" spans="1:21" ht="14.1" customHeight="1" x14ac:dyDescent="0.2">
      <c r="B54" s="335" t="s">
        <v>151</v>
      </c>
      <c r="C54" s="390">
        <f>+C46+C37+C35+C29+C27+C23+C14+C10+C8+C4+C25+C33+C6</f>
        <v>31550</v>
      </c>
      <c r="D54" s="454">
        <f>+C54/C54</f>
        <v>1</v>
      </c>
      <c r="E54" s="390">
        <f>+E46+E37+E35+E29+E27+E23+E14+E10+E8+E4+E25+E33+E6</f>
        <v>33406</v>
      </c>
      <c r="F54" s="392">
        <f>(C54-E54)/E54</f>
        <v>-5.5558881638029099E-2</v>
      </c>
      <c r="G54" s="390">
        <f>+G46+G37+G35+G29+G27+G23+G14+G10+G8+G4+G25+G33+G6</f>
        <v>154001</v>
      </c>
      <c r="H54" s="390">
        <f>+H46+H37+H35+H29+H27+H23+H14+H10+H8+H4+H25+H33+H6</f>
        <v>159350</v>
      </c>
      <c r="I54" s="393">
        <f>(G54-H54)/H54</f>
        <v>-3.3567618449952936E-2</v>
      </c>
      <c r="K54" s="335" t="s">
        <v>151</v>
      </c>
      <c r="L54" s="390">
        <f>+L46+L37+L35+L29+L27+L23+L14+L10+L8+L4+L25+L33+L6</f>
        <v>2860637</v>
      </c>
      <c r="M54" s="391">
        <f>+L54/L54</f>
        <v>1</v>
      </c>
      <c r="N54" s="390">
        <f>+N46+N37+N35+N29+N27+N23+N14+N10+N8+N4+N25+N33+N6</f>
        <v>2755516</v>
      </c>
      <c r="O54" s="392">
        <f>(L54-N54)/N54</f>
        <v>3.8149297627014321E-2</v>
      </c>
      <c r="P54" s="390">
        <f>+P46+P37+P35+P29+P27+P23+P14+P10+P8+P4+P25+P33+P6</f>
        <v>13564073</v>
      </c>
      <c r="Q54" s="390">
        <f>+Q46+Q37+Q35+Q29+Q27+Q23+Q14+Q10+Q8+Q4+Q25+Q33+Q6</f>
        <v>12843584</v>
      </c>
      <c r="R54" s="393">
        <f>(P54-Q54)/Q54</f>
        <v>5.6097192185608005E-2</v>
      </c>
    </row>
    <row r="55" spans="1:21" x14ac:dyDescent="0.2">
      <c r="B55" s="335"/>
      <c r="F55" s="39"/>
      <c r="G55" s="235"/>
      <c r="H55" s="5"/>
      <c r="I55" s="39"/>
      <c r="K55" s="11"/>
      <c r="L55" s="4"/>
      <c r="M55" s="231"/>
      <c r="N55" s="4"/>
      <c r="O55" s="231"/>
      <c r="P55" s="4"/>
      <c r="Q55" s="7"/>
      <c r="R55" s="7"/>
    </row>
    <row r="56" spans="1:21" x14ac:dyDescent="0.2">
      <c r="B56" s="263"/>
      <c r="D56" s="4"/>
      <c r="E56" s="231"/>
      <c r="F56" s="231"/>
      <c r="G56" s="7"/>
      <c r="H56" s="7"/>
      <c r="I56"/>
      <c r="J56"/>
      <c r="K56"/>
      <c r="M56"/>
      <c r="O56"/>
      <c r="P56" s="2"/>
      <c r="Q56" s="2"/>
    </row>
    <row r="57" spans="1:21" x14ac:dyDescent="0.2">
      <c r="B57" s="335"/>
      <c r="D57" s="4"/>
      <c r="E57" s="442"/>
      <c r="F57" s="231"/>
      <c r="G57" s="4"/>
      <c r="H57" s="4"/>
      <c r="I57"/>
      <c r="J57"/>
      <c r="K57"/>
      <c r="M57"/>
      <c r="O57"/>
      <c r="P57" s="2"/>
      <c r="Q57" s="2"/>
    </row>
    <row r="58" spans="1:21" x14ac:dyDescent="0.2">
      <c r="B58" s="263"/>
      <c r="D58" s="4"/>
      <c r="E58" s="442"/>
      <c r="F58" s="231"/>
      <c r="G58" s="4"/>
      <c r="H58" s="4"/>
      <c r="I58"/>
      <c r="J58"/>
      <c r="K58"/>
      <c r="L58"/>
      <c r="M58"/>
      <c r="O58"/>
      <c r="P58" s="437"/>
    </row>
    <row r="59" spans="1:21" x14ac:dyDescent="0.2">
      <c r="D59" s="4"/>
      <c r="E59" s="231"/>
      <c r="F59" s="231"/>
      <c r="G59" s="4"/>
      <c r="H59" s="7"/>
      <c r="I59"/>
      <c r="J59"/>
      <c r="K59"/>
      <c r="L59"/>
      <c r="M59"/>
      <c r="N59"/>
      <c r="O59"/>
      <c r="P59" s="134"/>
    </row>
    <row r="60" spans="1:21" x14ac:dyDescent="0.2">
      <c r="D60" s="4"/>
      <c r="E60" s="231"/>
      <c r="F60" s="231"/>
      <c r="G60" s="4"/>
      <c r="H60" s="7"/>
      <c r="I60"/>
      <c r="J60"/>
      <c r="K60"/>
      <c r="M60"/>
      <c r="N60"/>
      <c r="O60"/>
    </row>
    <row r="61" spans="1:21" x14ac:dyDescent="0.2">
      <c r="D61" s="4"/>
      <c r="E61" s="3"/>
      <c r="G61" s="4"/>
      <c r="H61"/>
      <c r="I61"/>
      <c r="J61"/>
      <c r="K61"/>
      <c r="L61"/>
      <c r="M61"/>
      <c r="N61"/>
      <c r="O61"/>
    </row>
    <row r="62" spans="1:21" x14ac:dyDescent="0.2">
      <c r="D62" s="2"/>
      <c r="E62" s="3"/>
      <c r="G62"/>
      <c r="H62"/>
      <c r="I62"/>
      <c r="J62"/>
      <c r="K62"/>
      <c r="L62"/>
      <c r="M62"/>
      <c r="N62"/>
      <c r="O62"/>
    </row>
    <row r="63" spans="1:21" x14ac:dyDescent="0.2">
      <c r="D63" s="2"/>
      <c r="E63" s="3"/>
      <c r="G63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F131" s="39"/>
      <c r="G131" s="235"/>
      <c r="H131" s="5"/>
      <c r="I131" s="39"/>
      <c r="K131" s="11"/>
    </row>
    <row r="132" spans="4:15" x14ac:dyDescent="0.2">
      <c r="F132" s="39"/>
      <c r="G132" s="235"/>
      <c r="H132" s="5"/>
      <c r="I132" s="39"/>
      <c r="K132" s="11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G1184" s="235"/>
      <c r="H1184" s="5"/>
      <c r="I1184" s="39"/>
      <c r="K1184" s="11"/>
    </row>
    <row r="1185" spans="7:11" x14ac:dyDescent="0.2">
      <c r="G1185" s="235"/>
      <c r="H1185" s="5"/>
      <c r="I1185" s="39"/>
      <c r="K1185" s="11"/>
    </row>
    <row r="1186" spans="7:11" x14ac:dyDescent="0.2">
      <c r="G1186" s="235"/>
      <c r="H1186" s="5"/>
      <c r="I1186" s="39"/>
      <c r="K1186" s="11"/>
    </row>
    <row r="1187" spans="7:11" x14ac:dyDescent="0.2">
      <c r="G1187" s="235"/>
      <c r="H1187" s="5"/>
      <c r="I1187" s="39"/>
      <c r="K1187" s="11"/>
    </row>
    <row r="1188" spans="7:11" x14ac:dyDescent="0.2">
      <c r="G1188" s="235"/>
      <c r="H1188" s="5"/>
      <c r="I1188" s="39"/>
      <c r="K1188" s="11"/>
    </row>
    <row r="1189" spans="7:11" x14ac:dyDescent="0.2">
      <c r="G1189" s="235"/>
      <c r="H1189" s="5"/>
      <c r="I1189" s="39"/>
      <c r="K1189" s="11"/>
    </row>
    <row r="1190" spans="7:11" x14ac:dyDescent="0.2">
      <c r="G1190" s="235"/>
      <c r="H1190" s="5"/>
      <c r="I1190" s="39"/>
      <c r="K1190" s="11"/>
    </row>
    <row r="1191" spans="7:11" x14ac:dyDescent="0.2">
      <c r="G1191" s="235"/>
      <c r="H1191" s="5"/>
      <c r="I1191" s="39"/>
      <c r="K1191" s="11"/>
    </row>
    <row r="1192" spans="7:11" x14ac:dyDescent="0.2">
      <c r="G1192" s="235"/>
      <c r="H1192" s="5"/>
      <c r="I1192" s="39"/>
      <c r="K1192" s="11"/>
    </row>
    <row r="1193" spans="7:11" x14ac:dyDescent="0.2">
      <c r="G1193" s="235"/>
      <c r="H1193" s="5"/>
      <c r="I1193" s="39"/>
      <c r="K1193" s="11"/>
    </row>
    <row r="1194" spans="7:11" x14ac:dyDescent="0.2">
      <c r="G1194" s="235"/>
      <c r="H1194" s="5"/>
      <c r="I1194" s="39"/>
      <c r="K1194" s="11"/>
    </row>
    <row r="1195" spans="7:11" x14ac:dyDescent="0.2">
      <c r="G1195" s="235"/>
      <c r="H1195" s="5"/>
      <c r="I1195" s="39"/>
      <c r="K1195" s="11"/>
    </row>
    <row r="1196" spans="7:11" x14ac:dyDescent="0.2">
      <c r="G1196" s="235"/>
      <c r="H1196" s="5"/>
      <c r="I1196" s="39"/>
      <c r="K1196" s="11"/>
    </row>
    <row r="1197" spans="7:11" x14ac:dyDescent="0.2">
      <c r="G1197" s="235"/>
      <c r="H1197" s="5"/>
      <c r="I1197" s="39"/>
      <c r="K1197" s="11"/>
    </row>
    <row r="1198" spans="7:11" x14ac:dyDescent="0.2">
      <c r="G1198" s="235"/>
      <c r="H1198" s="5"/>
      <c r="I1198" s="39"/>
      <c r="K1198" s="11"/>
    </row>
    <row r="1199" spans="7:11" x14ac:dyDescent="0.2">
      <c r="G1199" s="235"/>
      <c r="H1199" s="5"/>
      <c r="I1199" s="39"/>
      <c r="K1199" s="11"/>
    </row>
    <row r="1200" spans="7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May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zoomScaleSheetLayoutView="100" workbookViewId="0">
      <selection activeCell="C32" sqref="C3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6" width="12.140625" customWidth="1"/>
    <col min="7" max="7" width="13.28515625" bestFit="1" customWidth="1"/>
    <col min="8" max="8" width="12.42578125" customWidth="1"/>
  </cols>
  <sheetData>
    <row r="1" spans="1:17" ht="26.25" thickBot="1" x14ac:dyDescent="0.25">
      <c r="A1" s="399">
        <v>41760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23</v>
      </c>
      <c r="H1" s="277" t="s">
        <v>24</v>
      </c>
    </row>
    <row r="2" spans="1:17" ht="15" x14ac:dyDescent="0.25">
      <c r="A2" s="67" t="s">
        <v>3</v>
      </c>
      <c r="B2" s="61"/>
      <c r="C2" s="61"/>
      <c r="D2" s="61"/>
      <c r="E2" s="61"/>
      <c r="F2" s="61"/>
      <c r="G2" s="61"/>
      <c r="H2" s="285"/>
    </row>
    <row r="3" spans="1:17" x14ac:dyDescent="0.2">
      <c r="A3" s="65" t="s">
        <v>32</v>
      </c>
      <c r="B3" s="11"/>
      <c r="C3" s="11"/>
      <c r="D3" s="11"/>
      <c r="E3" s="11"/>
      <c r="F3" s="11"/>
      <c r="G3" s="11"/>
      <c r="H3" s="58"/>
    </row>
    <row r="4" spans="1:17" x14ac:dyDescent="0.2">
      <c r="A4" s="65" t="s">
        <v>33</v>
      </c>
      <c r="B4" s="22">
        <f>[3]American!$DN$22</f>
        <v>26576</v>
      </c>
      <c r="C4" s="22">
        <f>[3]Delta!$DN$22+[3]Delta!$DN$32</f>
        <v>718155</v>
      </c>
      <c r="D4" s="22">
        <f>[3]United!$DN$22</f>
        <v>15873</v>
      </c>
      <c r="E4" s="22">
        <f>'[3]US Airways'!$DN$22</f>
        <v>48618</v>
      </c>
      <c r="F4" s="22">
        <f>[3]Spirit!$DN$22</f>
        <v>36386</v>
      </c>
      <c r="G4" s="22">
        <f>'Other Major Airline Stats'!I5</f>
        <v>169838</v>
      </c>
      <c r="H4" s="286">
        <f>SUM(B4:G4)</f>
        <v>1015446</v>
      </c>
    </row>
    <row r="5" spans="1:17" x14ac:dyDescent="0.2">
      <c r="A5" s="65" t="s">
        <v>34</v>
      </c>
      <c r="B5" s="14">
        <f>[3]American!$DN$23</f>
        <v>25121</v>
      </c>
      <c r="C5" s="14">
        <f>[3]Delta!$DN$23+[3]Delta!$DN$33</f>
        <v>707806</v>
      </c>
      <c r="D5" s="14">
        <f>[3]United!$DN$23</f>
        <v>16414</v>
      </c>
      <c r="E5" s="14">
        <f>'[3]US Airways'!$DN$23</f>
        <v>46536</v>
      </c>
      <c r="F5" s="14">
        <f>[3]Spirit!$DN$23</f>
        <v>34958</v>
      </c>
      <c r="G5" s="14">
        <f>'Other Major Airline Stats'!I6</f>
        <v>161747</v>
      </c>
      <c r="H5" s="287">
        <f>SUM(B5:G5)</f>
        <v>992582</v>
      </c>
      <c r="J5" s="315"/>
      <c r="K5" s="315"/>
      <c r="L5" s="315"/>
      <c r="M5" s="315"/>
      <c r="N5" s="315"/>
      <c r="O5" s="315"/>
      <c r="P5" s="315"/>
      <c r="Q5" s="315"/>
    </row>
    <row r="6" spans="1:17" ht="15" x14ac:dyDescent="0.25">
      <c r="A6" s="63" t="s">
        <v>7</v>
      </c>
      <c r="B6" s="36">
        <f t="shared" ref="B6:G6" si="0">SUM(B4:B5)</f>
        <v>51697</v>
      </c>
      <c r="C6" s="36">
        <f t="shared" si="0"/>
        <v>1425961</v>
      </c>
      <c r="D6" s="36">
        <f t="shared" si="0"/>
        <v>32287</v>
      </c>
      <c r="E6" s="36">
        <f t="shared" si="0"/>
        <v>95154</v>
      </c>
      <c r="F6" s="36">
        <f t="shared" si="0"/>
        <v>71344</v>
      </c>
      <c r="G6" s="36">
        <f t="shared" si="0"/>
        <v>331585</v>
      </c>
      <c r="H6" s="288">
        <f>SUM(B6:G6)</f>
        <v>2008028</v>
      </c>
    </row>
    <row r="7" spans="1:17" x14ac:dyDescent="0.2">
      <c r="A7" s="65"/>
      <c r="B7" s="22"/>
      <c r="C7" s="22"/>
      <c r="D7" s="22"/>
      <c r="E7" s="22"/>
      <c r="F7" s="22"/>
      <c r="G7" s="22"/>
      <c r="H7" s="286"/>
    </row>
    <row r="8" spans="1:17" x14ac:dyDescent="0.2">
      <c r="A8" s="65" t="s">
        <v>35</v>
      </c>
      <c r="B8" s="22"/>
      <c r="C8" s="22"/>
      <c r="D8" s="22"/>
      <c r="E8" s="22"/>
      <c r="F8" s="22"/>
      <c r="G8" s="22"/>
      <c r="H8" s="286">
        <f>SUM(B8:G8)</f>
        <v>0</v>
      </c>
    </row>
    <row r="9" spans="1:17" x14ac:dyDescent="0.2">
      <c r="A9" s="65" t="s">
        <v>33</v>
      </c>
      <c r="B9" s="22">
        <f>[3]American!$DN$27</f>
        <v>1123</v>
      </c>
      <c r="C9" s="22">
        <f>[3]Delta!$DN$27+[3]Delta!$DN$37</f>
        <v>25173</v>
      </c>
      <c r="D9" s="22">
        <f>[3]United!$DN$27</f>
        <v>555</v>
      </c>
      <c r="E9" s="22">
        <f>'[3]US Airways'!$DN$27</f>
        <v>1628</v>
      </c>
      <c r="F9" s="22">
        <f>[3]Spirit!$DN$27</f>
        <v>265</v>
      </c>
      <c r="G9" s="22">
        <f>'Other Major Airline Stats'!I10</f>
        <v>3675</v>
      </c>
      <c r="H9" s="286">
        <f>SUM(B9:G9)</f>
        <v>32419</v>
      </c>
    </row>
    <row r="10" spans="1:17" x14ac:dyDescent="0.2">
      <c r="A10" s="65" t="s">
        <v>36</v>
      </c>
      <c r="B10" s="14">
        <f>[3]American!$DN$28</f>
        <v>1155</v>
      </c>
      <c r="C10" s="14">
        <f>[3]Delta!$DN$28+[3]Delta!$DN$38</f>
        <v>24582</v>
      </c>
      <c r="D10" s="14">
        <f>[3]United!$DN$28</f>
        <v>619</v>
      </c>
      <c r="E10" s="14">
        <f>'[3]US Airways'!$DN$28</f>
        <v>1699</v>
      </c>
      <c r="F10" s="14">
        <f>[3]Spirit!$DN$28</f>
        <v>471</v>
      </c>
      <c r="G10" s="14">
        <f>'Other Major Airline Stats'!I11</f>
        <v>3598</v>
      </c>
      <c r="H10" s="287">
        <f>SUM(B10:G10)</f>
        <v>32124</v>
      </c>
    </row>
    <row r="11" spans="1:17" ht="15.75" thickBot="1" x14ac:dyDescent="0.3">
      <c r="A11" s="66" t="s">
        <v>37</v>
      </c>
      <c r="B11" s="289">
        <f t="shared" ref="B11:G11" si="1">SUM(B9:B10)</f>
        <v>2278</v>
      </c>
      <c r="C11" s="289">
        <f t="shared" si="1"/>
        <v>49755</v>
      </c>
      <c r="D11" s="289">
        <f t="shared" si="1"/>
        <v>1174</v>
      </c>
      <c r="E11" s="289">
        <f t="shared" si="1"/>
        <v>3327</v>
      </c>
      <c r="F11" s="289">
        <f t="shared" si="1"/>
        <v>736</v>
      </c>
      <c r="G11" s="289">
        <f t="shared" si="1"/>
        <v>7273</v>
      </c>
      <c r="H11" s="290">
        <f>SUM(B11:G11)</f>
        <v>64543</v>
      </c>
    </row>
    <row r="13" spans="1:17" ht="13.5" thickBot="1" x14ac:dyDescent="0.25"/>
    <row r="14" spans="1:17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8"/>
    </row>
    <row r="15" spans="1:17" x14ac:dyDescent="0.2">
      <c r="A15" s="65" t="s">
        <v>25</v>
      </c>
      <c r="B15" s="22">
        <f>[3]American!$DN$4</f>
        <v>209</v>
      </c>
      <c r="C15" s="22">
        <f>[3]Delta!$DN$4+[3]Delta!$DN$15</f>
        <v>4993</v>
      </c>
      <c r="D15" s="22">
        <f>[3]United!$DN$4</f>
        <v>134</v>
      </c>
      <c r="E15" s="22">
        <f>'[3]US Airways'!$DN$4</f>
        <v>350</v>
      </c>
      <c r="F15" s="22">
        <f>[3]Spirit!$DN$4</f>
        <v>286</v>
      </c>
      <c r="G15" s="22">
        <f>'Other Major Airline Stats'!I16</f>
        <v>1589</v>
      </c>
      <c r="H15" s="29">
        <f>SUM(B15:G15)</f>
        <v>7561</v>
      </c>
    </row>
    <row r="16" spans="1:17" x14ac:dyDescent="0.2">
      <c r="A16" s="65" t="s">
        <v>26</v>
      </c>
      <c r="B16" s="14">
        <f>[3]American!$DN$5</f>
        <v>209</v>
      </c>
      <c r="C16" s="14">
        <f>[3]Delta!$DN$5+[3]Delta!$DN$16</f>
        <v>4980</v>
      </c>
      <c r="D16" s="14">
        <f>[3]United!$DN$5</f>
        <v>134</v>
      </c>
      <c r="E16" s="14">
        <f>'[3]US Airways'!$DN$5</f>
        <v>355</v>
      </c>
      <c r="F16" s="14">
        <f>[3]Spirit!$DN$5</f>
        <v>286</v>
      </c>
      <c r="G16" s="14">
        <f>'Other Major Airline Stats'!I17</f>
        <v>1586</v>
      </c>
      <c r="H16" s="35">
        <f>SUM(B16:G16)</f>
        <v>7550</v>
      </c>
    </row>
    <row r="17" spans="1:8" x14ac:dyDescent="0.2">
      <c r="A17" s="65" t="s">
        <v>27</v>
      </c>
      <c r="B17" s="293">
        <f t="shared" ref="B17:G17" si="2">SUM(B15:B16)</f>
        <v>418</v>
      </c>
      <c r="C17" s="291">
        <f t="shared" si="2"/>
        <v>9973</v>
      </c>
      <c r="D17" s="291">
        <f t="shared" si="2"/>
        <v>268</v>
      </c>
      <c r="E17" s="291">
        <f t="shared" si="2"/>
        <v>705</v>
      </c>
      <c r="F17" s="291">
        <f t="shared" si="2"/>
        <v>572</v>
      </c>
      <c r="G17" s="291">
        <f t="shared" si="2"/>
        <v>3175</v>
      </c>
      <c r="H17" s="292">
        <f>SUM(B17:G17)</f>
        <v>15111</v>
      </c>
    </row>
    <row r="18" spans="1:8" x14ac:dyDescent="0.2">
      <c r="A18" s="65"/>
      <c r="B18" s="22"/>
      <c r="C18" s="22"/>
      <c r="D18" s="22"/>
      <c r="E18" s="22"/>
      <c r="F18" s="22"/>
      <c r="G18" s="22"/>
      <c r="H18" s="29"/>
    </row>
    <row r="19" spans="1:8" x14ac:dyDescent="0.2">
      <c r="A19" s="65" t="s">
        <v>28</v>
      </c>
      <c r="B19" s="22">
        <f>[3]American!$DN$8</f>
        <v>0</v>
      </c>
      <c r="C19" s="22">
        <f>[3]Delta!$DN$8</f>
        <v>1</v>
      </c>
      <c r="D19" s="22">
        <f>[3]United!$DN$8</f>
        <v>0</v>
      </c>
      <c r="E19" s="22">
        <f>'[3]US Airways'!$DN$8</f>
        <v>0</v>
      </c>
      <c r="F19" s="22">
        <f>[3]Spirit!$DN$8</f>
        <v>0</v>
      </c>
      <c r="G19" s="22">
        <f>'Other Major Airline Stats'!I20</f>
        <v>37</v>
      </c>
      <c r="H19" s="29">
        <f>SUM(B19:G19)</f>
        <v>38</v>
      </c>
    </row>
    <row r="20" spans="1:8" x14ac:dyDescent="0.2">
      <c r="A20" s="65" t="s">
        <v>29</v>
      </c>
      <c r="B20" s="14">
        <f>[3]American!$DN$9</f>
        <v>0</v>
      </c>
      <c r="C20" s="14">
        <f>[3]Delta!$DN$9</f>
        <v>9</v>
      </c>
      <c r="D20" s="14">
        <f>[3]United!$DN$9</f>
        <v>0</v>
      </c>
      <c r="E20" s="14">
        <f>'[3]US Airways'!$DN$9</f>
        <v>0</v>
      </c>
      <c r="F20" s="14">
        <f>[3]Spirit!$DN$9</f>
        <v>0</v>
      </c>
      <c r="G20" s="14">
        <f>'Other Major Airline Stats'!I21</f>
        <v>36</v>
      </c>
      <c r="H20" s="35">
        <f>SUM(B20:G20)</f>
        <v>45</v>
      </c>
    </row>
    <row r="21" spans="1:8" x14ac:dyDescent="0.2">
      <c r="A21" s="65" t="s">
        <v>30</v>
      </c>
      <c r="B21" s="293">
        <f t="shared" ref="B21:G21" si="3">SUM(B19:B20)</f>
        <v>0</v>
      </c>
      <c r="C21" s="291">
        <f t="shared" si="3"/>
        <v>10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73</v>
      </c>
      <c r="H21" s="180">
        <f>SUM(B21:G21)</f>
        <v>83</v>
      </c>
    </row>
    <row r="22" spans="1:8" x14ac:dyDescent="0.2">
      <c r="A22" s="65"/>
      <c r="B22" s="22"/>
      <c r="C22" s="22"/>
      <c r="D22" s="22"/>
      <c r="E22" s="22"/>
      <c r="F22" s="22"/>
      <c r="G22" s="22"/>
      <c r="H22" s="29"/>
    </row>
    <row r="23" spans="1:8" ht="15.75" thickBot="1" x14ac:dyDescent="0.3">
      <c r="A23" s="66" t="s">
        <v>31</v>
      </c>
      <c r="B23" s="30">
        <f t="shared" ref="B23:G23" si="4">B17+B21</f>
        <v>418</v>
      </c>
      <c r="C23" s="30">
        <f t="shared" si="4"/>
        <v>9983</v>
      </c>
      <c r="D23" s="30">
        <f t="shared" si="4"/>
        <v>268</v>
      </c>
      <c r="E23" s="30">
        <f t="shared" si="4"/>
        <v>705</v>
      </c>
      <c r="F23" s="30">
        <f>F17+F21</f>
        <v>572</v>
      </c>
      <c r="G23" s="30">
        <f t="shared" si="4"/>
        <v>3248</v>
      </c>
      <c r="H23" s="31">
        <f>SUM(B23:G23)</f>
        <v>15194</v>
      </c>
    </row>
    <row r="25" spans="1:8" ht="13.5" thickBot="1" x14ac:dyDescent="0.25">
      <c r="B25" s="441"/>
      <c r="C25" s="441"/>
      <c r="D25" s="441"/>
      <c r="E25" s="441"/>
      <c r="F25" s="441"/>
      <c r="G25" s="441"/>
    </row>
    <row r="26" spans="1:8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4"/>
    </row>
    <row r="27" spans="1:8" x14ac:dyDescent="0.2">
      <c r="A27" s="65" t="s">
        <v>39</v>
      </c>
      <c r="B27" s="1"/>
      <c r="C27" s="1"/>
      <c r="D27" s="1"/>
      <c r="E27" s="1"/>
      <c r="F27" s="1"/>
      <c r="G27" s="1"/>
      <c r="H27" s="32"/>
    </row>
    <row r="28" spans="1:8" x14ac:dyDescent="0.2">
      <c r="A28" s="65" t="s">
        <v>40</v>
      </c>
      <c r="B28" s="22">
        <f>[3]American!$DN$47</f>
        <v>44628</v>
      </c>
      <c r="C28" s="22">
        <f>[3]Delta!$DN$47</f>
        <v>3735226</v>
      </c>
      <c r="D28" s="22">
        <f>[3]United!$DN$47</f>
        <v>22603</v>
      </c>
      <c r="E28" s="22">
        <f>'[3]US Airways'!$DN$47</f>
        <v>31445</v>
      </c>
      <c r="F28" s="22">
        <f>[3]Spirit!$DN$47</f>
        <v>0</v>
      </c>
      <c r="G28" s="22">
        <f>'Other Major Airline Stats'!I28</f>
        <v>333845</v>
      </c>
      <c r="H28" s="29">
        <f>SUM(B28:G28)</f>
        <v>4167747</v>
      </c>
    </row>
    <row r="29" spans="1:8" x14ac:dyDescent="0.2">
      <c r="A29" s="65" t="s">
        <v>41</v>
      </c>
      <c r="B29" s="14">
        <f>[3]American!$DN$48</f>
        <v>0</v>
      </c>
      <c r="C29" s="14">
        <f>[3]Delta!$DN$48</f>
        <v>936205</v>
      </c>
      <c r="D29" s="14">
        <f>[3]United!$DN$48</f>
        <v>135575</v>
      </c>
      <c r="E29" s="14">
        <f>'[3]US Airways'!$DN$48</f>
        <v>29964</v>
      </c>
      <c r="F29" s="14">
        <f>[3]Spirit!$DN$48</f>
        <v>0</v>
      </c>
      <c r="G29" s="14">
        <f>'Other Major Airline Stats'!I29</f>
        <v>58099</v>
      </c>
      <c r="H29" s="35">
        <f>SUM(B29:G29)</f>
        <v>1159843</v>
      </c>
    </row>
    <row r="30" spans="1:8" x14ac:dyDescent="0.2">
      <c r="A30" s="69" t="s">
        <v>42</v>
      </c>
      <c r="B30" s="293">
        <f t="shared" ref="B30:G30" si="5">SUM(B28:B29)</f>
        <v>44628</v>
      </c>
      <c r="C30" s="293">
        <f t="shared" si="5"/>
        <v>4671431</v>
      </c>
      <c r="D30" s="293">
        <f t="shared" si="5"/>
        <v>158178</v>
      </c>
      <c r="E30" s="293">
        <f t="shared" si="5"/>
        <v>61409</v>
      </c>
      <c r="F30" s="293">
        <f t="shared" si="5"/>
        <v>0</v>
      </c>
      <c r="G30" s="293">
        <f t="shared" si="5"/>
        <v>391944</v>
      </c>
      <c r="H30" s="29">
        <f>SUM(B30:G30)</f>
        <v>5327590</v>
      </c>
    </row>
    <row r="31" spans="1:8" x14ac:dyDescent="0.2">
      <c r="A31" s="65"/>
      <c r="B31" s="22"/>
      <c r="C31" s="22"/>
      <c r="D31" s="22"/>
      <c r="E31" s="22"/>
      <c r="F31" s="22"/>
      <c r="G31" s="22"/>
      <c r="H31" s="29"/>
    </row>
    <row r="32" spans="1:8" x14ac:dyDescent="0.2">
      <c r="A32" s="65" t="s">
        <v>43</v>
      </c>
      <c r="B32" s="22"/>
      <c r="C32" s="22"/>
      <c r="D32" s="22"/>
      <c r="E32" s="22"/>
      <c r="F32" s="22"/>
      <c r="G32" s="22"/>
      <c r="H32" s="29">
        <f t="shared" ref="H32:H40" si="6">SUM(B32:G32)</f>
        <v>0</v>
      </c>
    </row>
    <row r="33" spans="1:8" x14ac:dyDescent="0.2">
      <c r="A33" s="65" t="s">
        <v>40</v>
      </c>
      <c r="B33" s="22">
        <f>[3]American!$DN$52</f>
        <v>34081</v>
      </c>
      <c r="C33" s="22">
        <f>[3]Delta!$DN$52</f>
        <v>4038967</v>
      </c>
      <c r="D33" s="22">
        <f>[3]United!$DN$52</f>
        <v>13732</v>
      </c>
      <c r="E33" s="22">
        <f>'[3]US Airways'!$DN$52</f>
        <v>8165</v>
      </c>
      <c r="F33" s="22">
        <f>[3]Spirit!$DN$52</f>
        <v>0</v>
      </c>
      <c r="G33" s="22">
        <f>'Other Major Airline Stats'!I33</f>
        <v>78028</v>
      </c>
      <c r="H33" s="29">
        <f t="shared" si="6"/>
        <v>4172973</v>
      </c>
    </row>
    <row r="34" spans="1:8" x14ac:dyDescent="0.2">
      <c r="A34" s="65" t="s">
        <v>41</v>
      </c>
      <c r="B34" s="14">
        <f>[3]American!$DN$53</f>
        <v>0</v>
      </c>
      <c r="C34" s="14">
        <f>[3]Delta!$DN$53</f>
        <v>57668</v>
      </c>
      <c r="D34" s="14">
        <f>[3]United!$DN$53</f>
        <v>134067</v>
      </c>
      <c r="E34" s="14">
        <f>'[3]US Airways'!$DN$53</f>
        <v>59517</v>
      </c>
      <c r="F34" s="14">
        <f>[3]Spirit!$DN$53</f>
        <v>0</v>
      </c>
      <c r="G34" s="14">
        <f>'Other Major Airline Stats'!I34</f>
        <v>280104</v>
      </c>
      <c r="H34" s="35">
        <f t="shared" si="6"/>
        <v>531356</v>
      </c>
    </row>
    <row r="35" spans="1:8" x14ac:dyDescent="0.2">
      <c r="A35" s="69" t="s">
        <v>44</v>
      </c>
      <c r="B35" s="293">
        <f t="shared" ref="B35:G35" si="7">SUM(B33:B34)</f>
        <v>34081</v>
      </c>
      <c r="C35" s="293">
        <f t="shared" si="7"/>
        <v>4096635</v>
      </c>
      <c r="D35" s="293">
        <f t="shared" si="7"/>
        <v>147799</v>
      </c>
      <c r="E35" s="293">
        <f t="shared" si="7"/>
        <v>67682</v>
      </c>
      <c r="F35" s="293">
        <f t="shared" si="7"/>
        <v>0</v>
      </c>
      <c r="G35" s="293">
        <f t="shared" si="7"/>
        <v>358132</v>
      </c>
      <c r="H35" s="29">
        <f t="shared" si="6"/>
        <v>4704329</v>
      </c>
    </row>
    <row r="36" spans="1:8" hidden="1" x14ac:dyDescent="0.2">
      <c r="A36" s="65"/>
      <c r="B36" s="22"/>
      <c r="C36" s="22"/>
      <c r="D36" s="22"/>
      <c r="E36" s="22"/>
      <c r="F36" s="22"/>
      <c r="G36" s="22"/>
      <c r="H36" s="29">
        <f t="shared" si="6"/>
        <v>0</v>
      </c>
    </row>
    <row r="37" spans="1:8" hidden="1" x14ac:dyDescent="0.2">
      <c r="A37" s="65" t="s">
        <v>45</v>
      </c>
      <c r="B37" s="22"/>
      <c r="C37" s="22"/>
      <c r="D37" s="22"/>
      <c r="E37" s="22"/>
      <c r="F37" s="22"/>
      <c r="G37" s="22"/>
      <c r="H37" s="29">
        <f t="shared" si="6"/>
        <v>0</v>
      </c>
    </row>
    <row r="38" spans="1:8" hidden="1" x14ac:dyDescent="0.2">
      <c r="A38" s="65" t="s">
        <v>40</v>
      </c>
      <c r="B38" s="22">
        <f>[3]American!$DN$57</f>
        <v>0</v>
      </c>
      <c r="C38" s="22">
        <f>[3]Delta!$DN$57</f>
        <v>0</v>
      </c>
      <c r="D38" s="22">
        <f>[3]United!$DN$57</f>
        <v>0</v>
      </c>
      <c r="E38" s="22">
        <f>'[3]US Airways'!$DN$57</f>
        <v>0</v>
      </c>
      <c r="F38" s="22">
        <f>[3]Spirit!$DN$57</f>
        <v>0</v>
      </c>
      <c r="G38" s="22">
        <f>'Other Major Airline Stats'!I38</f>
        <v>0</v>
      </c>
      <c r="H38" s="29">
        <f t="shared" si="6"/>
        <v>0</v>
      </c>
    </row>
    <row r="39" spans="1:8" hidden="1" x14ac:dyDescent="0.2">
      <c r="A39" s="65" t="s">
        <v>41</v>
      </c>
      <c r="B39" s="14">
        <f>[3]American!$DN$58</f>
        <v>0</v>
      </c>
      <c r="C39" s="14">
        <f>[3]Delta!$DN$58</f>
        <v>0</v>
      </c>
      <c r="D39" s="14">
        <f>[3]United!$DN$58</f>
        <v>0</v>
      </c>
      <c r="E39" s="14">
        <f>'[3]US Airways'!$DN$58</f>
        <v>0</v>
      </c>
      <c r="F39" s="14">
        <f>[3]Spirit!$DN$58</f>
        <v>0</v>
      </c>
      <c r="G39" s="14">
        <f>'Other Major Airline Stats'!I39</f>
        <v>0</v>
      </c>
      <c r="H39" s="35">
        <f t="shared" si="6"/>
        <v>0</v>
      </c>
    </row>
    <row r="40" spans="1:8" hidden="1" x14ac:dyDescent="0.2">
      <c r="A40" s="69" t="s">
        <v>46</v>
      </c>
      <c r="B40" s="293">
        <f t="shared" ref="B40:G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">
        <f t="shared" si="6"/>
        <v>0</v>
      </c>
    </row>
    <row r="41" spans="1:8" x14ac:dyDescent="0.2">
      <c r="A41" s="65"/>
      <c r="B41" s="22"/>
      <c r="C41" s="22"/>
      <c r="D41" s="22"/>
      <c r="E41" s="22"/>
      <c r="F41" s="22"/>
      <c r="G41" s="22"/>
      <c r="H41" s="29"/>
    </row>
    <row r="42" spans="1:8" x14ac:dyDescent="0.2">
      <c r="A42" s="65" t="s">
        <v>47</v>
      </c>
      <c r="B42" s="22"/>
      <c r="C42" s="22"/>
      <c r="D42" s="22"/>
      <c r="E42" s="22"/>
      <c r="F42" s="22"/>
      <c r="G42" s="22"/>
      <c r="H42" s="29">
        <f>SUM(B42:G42)</f>
        <v>0</v>
      </c>
    </row>
    <row r="43" spans="1:8" x14ac:dyDescent="0.2">
      <c r="A43" s="65" t="s">
        <v>48</v>
      </c>
      <c r="B43" s="22">
        <f t="shared" ref="B43:G44" si="9">B28+B33+B38</f>
        <v>78709</v>
      </c>
      <c r="C43" s="22">
        <f t="shared" si="9"/>
        <v>7774193</v>
      </c>
      <c r="D43" s="22">
        <f t="shared" si="9"/>
        <v>36335</v>
      </c>
      <c r="E43" s="22">
        <f t="shared" si="9"/>
        <v>39610</v>
      </c>
      <c r="F43" s="22">
        <f>F28+F33+F38</f>
        <v>0</v>
      </c>
      <c r="G43" s="22">
        <f t="shared" si="9"/>
        <v>411873</v>
      </c>
      <c r="H43" s="29">
        <f>SUM(B43:G43)</f>
        <v>8340720</v>
      </c>
    </row>
    <row r="44" spans="1:8" x14ac:dyDescent="0.2">
      <c r="A44" s="65" t="s">
        <v>41</v>
      </c>
      <c r="B44" s="14">
        <f t="shared" si="9"/>
        <v>0</v>
      </c>
      <c r="C44" s="14">
        <f t="shared" si="9"/>
        <v>993873</v>
      </c>
      <c r="D44" s="14">
        <f t="shared" si="9"/>
        <v>269642</v>
      </c>
      <c r="E44" s="14">
        <f t="shared" si="9"/>
        <v>89481</v>
      </c>
      <c r="F44" s="14">
        <f>F29+F34+F39</f>
        <v>0</v>
      </c>
      <c r="G44" s="14">
        <f t="shared" si="9"/>
        <v>338203</v>
      </c>
      <c r="H44" s="29">
        <f>SUM(B44:G44)</f>
        <v>1691199</v>
      </c>
    </row>
    <row r="45" spans="1:8" ht="15.75" thickBot="1" x14ac:dyDescent="0.3">
      <c r="A45" s="66" t="s">
        <v>49</v>
      </c>
      <c r="B45" s="294">
        <f t="shared" ref="B45:G45" si="10">SUM(B43:B44)</f>
        <v>78709</v>
      </c>
      <c r="C45" s="294">
        <f t="shared" si="10"/>
        <v>8768066</v>
      </c>
      <c r="D45" s="294">
        <f t="shared" si="10"/>
        <v>305977</v>
      </c>
      <c r="E45" s="294">
        <f t="shared" si="10"/>
        <v>129091</v>
      </c>
      <c r="F45" s="294">
        <f t="shared" si="10"/>
        <v>0</v>
      </c>
      <c r="G45" s="294">
        <f t="shared" si="10"/>
        <v>750076</v>
      </c>
      <c r="H45" s="295">
        <f>SUM(B45:G45)</f>
        <v>10031919</v>
      </c>
    </row>
    <row r="46" spans="1:8" x14ac:dyDescent="0.2">
      <c r="B46" s="13"/>
      <c r="C46" s="13"/>
      <c r="D46" s="13"/>
      <c r="E46" s="13"/>
      <c r="F46" s="13"/>
      <c r="G46" s="13"/>
    </row>
    <row r="47" spans="1:8" hidden="1" x14ac:dyDescent="0.2">
      <c r="A47" s="394" t="s">
        <v>135</v>
      </c>
      <c r="C47" s="325">
        <f>[3]Delta!$DN$70+[3]Delta!$DN$73</f>
        <v>297987</v>
      </c>
      <c r="D47" s="312"/>
      <c r="E47" s="312"/>
      <c r="F47" s="312"/>
      <c r="G47" s="312"/>
      <c r="H47" s="313">
        <f>SUM(B47:G47)</f>
        <v>297987</v>
      </c>
    </row>
    <row r="48" spans="1:8" hidden="1" x14ac:dyDescent="0.2">
      <c r="A48" s="395" t="s">
        <v>136</v>
      </c>
      <c r="C48" s="325">
        <f>[3]Delta!$DN$71+[3]Delta!$DN$74</f>
        <v>409819</v>
      </c>
      <c r="D48" s="312"/>
      <c r="E48" s="312"/>
      <c r="F48" s="312"/>
      <c r="G48" s="312"/>
      <c r="H48" s="313">
        <f>SUM(B48:G48)</f>
        <v>409819</v>
      </c>
    </row>
    <row r="49" spans="1:8" hidden="1" x14ac:dyDescent="0.2">
      <c r="A49" s="396" t="s">
        <v>137</v>
      </c>
      <c r="C49" s="326">
        <f>SUM(C47:C48)</f>
        <v>707806</v>
      </c>
      <c r="H49" s="313">
        <f>SUM(B49:G49)</f>
        <v>707806</v>
      </c>
    </row>
    <row r="50" spans="1:8" x14ac:dyDescent="0.2">
      <c r="A50" s="394" t="s">
        <v>135</v>
      </c>
      <c r="B50" s="408"/>
      <c r="C50" s="328">
        <f>[3]Delta!$DN$70+[3]Delta!$DN$73</f>
        <v>297987</v>
      </c>
      <c r="D50" s="408"/>
      <c r="E50" s="408"/>
      <c r="F50" s="408"/>
      <c r="G50" s="327">
        <f>'Other Major Airline Stats'!I48</f>
        <v>115075</v>
      </c>
      <c r="H50" s="316">
        <f>SUM(B50:G50)</f>
        <v>413062</v>
      </c>
    </row>
    <row r="51" spans="1:8" x14ac:dyDescent="0.2">
      <c r="A51" s="410" t="s">
        <v>136</v>
      </c>
      <c r="B51" s="408"/>
      <c r="C51" s="328">
        <f>[3]Delta!$DN$71+[3]Delta!$DN$74</f>
        <v>409819</v>
      </c>
      <c r="D51" s="408"/>
      <c r="E51" s="408"/>
      <c r="F51" s="408"/>
      <c r="G51" s="327">
        <f>+'Other Major Airline Stats'!I49</f>
        <v>8230</v>
      </c>
      <c r="H51" s="316">
        <f>SUM(B51:G51)</f>
        <v>418049</v>
      </c>
    </row>
    <row r="52" spans="1:8" x14ac:dyDescent="0.2">
      <c r="E52" s="11"/>
      <c r="F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May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31" zoomScaleNormal="100" workbookViewId="0">
      <selection activeCell="E47" sqref="E47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41760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[3]AirTran!$DN$22</f>
        <v>11866</v>
      </c>
      <c r="C5" s="150">
        <f>[3]Frontier!$DN$22</f>
        <v>16464</v>
      </c>
      <c r="D5" s="150">
        <f>'[3]Great Lakes'!$DN$22</f>
        <v>363</v>
      </c>
      <c r="E5" s="150">
        <f>[3]Icelandair!$DN$32</f>
        <v>1353</v>
      </c>
      <c r="F5" s="122">
        <f>[3]Southwest!$DN$22</f>
        <v>71583</v>
      </c>
      <c r="G5" s="122">
        <f>'[3]Sun Country'!$DN$22+'[3]Sun Country'!$DN$32</f>
        <v>60330</v>
      </c>
      <c r="H5" s="122">
        <f>[3]Alaska!$DN$22</f>
        <v>7879</v>
      </c>
      <c r="I5" s="151">
        <f>SUM(B5:H5)</f>
        <v>169838</v>
      </c>
      <c r="L5" s="134"/>
    </row>
    <row r="6" spans="1:12" x14ac:dyDescent="0.2">
      <c r="A6" s="65" t="s">
        <v>34</v>
      </c>
      <c r="B6" s="297">
        <f>[3]AirTran!$DN$23</f>
        <v>11029</v>
      </c>
      <c r="C6" s="150">
        <f>[3]Frontier!$DN$23</f>
        <v>16334</v>
      </c>
      <c r="D6" s="150">
        <f>'[3]Great Lakes'!$DN$23</f>
        <v>408</v>
      </c>
      <c r="E6" s="150">
        <f>[3]Icelandair!$DN$33</f>
        <v>2209</v>
      </c>
      <c r="F6" s="122">
        <f>[3]Southwest!$DN$23</f>
        <v>67962</v>
      </c>
      <c r="G6" s="122">
        <f>'[3]Sun Country'!$DN$23+'[3]Sun Country'!$DN$33</f>
        <v>55343</v>
      </c>
      <c r="H6" s="122">
        <f>[3]Alaska!$DN$23</f>
        <v>8462</v>
      </c>
      <c r="I6" s="151">
        <f>SUM(B6:H6)</f>
        <v>161747</v>
      </c>
    </row>
    <row r="7" spans="1:12" ht="15" x14ac:dyDescent="0.25">
      <c r="A7" s="63" t="s">
        <v>7</v>
      </c>
      <c r="B7" s="159">
        <f t="shared" ref="B7:H7" si="0">SUM(B5:B6)</f>
        <v>22895</v>
      </c>
      <c r="C7" s="159">
        <f t="shared" si="0"/>
        <v>32798</v>
      </c>
      <c r="D7" s="159">
        <f t="shared" si="0"/>
        <v>771</v>
      </c>
      <c r="E7" s="159">
        <f t="shared" si="0"/>
        <v>3562</v>
      </c>
      <c r="F7" s="159">
        <f t="shared" si="0"/>
        <v>139545</v>
      </c>
      <c r="G7" s="159">
        <f>SUM(G5:G6)</f>
        <v>115673</v>
      </c>
      <c r="H7" s="159">
        <f t="shared" si="0"/>
        <v>16341</v>
      </c>
      <c r="I7" s="160">
        <f>SUM(B7:H7)</f>
        <v>331585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[3]AirTran!$DN$27</f>
        <v>180</v>
      </c>
      <c r="C10" s="158">
        <f>[3]Frontier!$DN$27</f>
        <v>295</v>
      </c>
      <c r="D10" s="158">
        <f>'[3]Great Lakes'!$DN$27</f>
        <v>36</v>
      </c>
      <c r="E10" s="158">
        <f>[3]Icelandair!$DN$37</f>
        <v>48</v>
      </c>
      <c r="F10" s="158">
        <f>[3]Southwest!$DN$27</f>
        <v>1192</v>
      </c>
      <c r="G10" s="158">
        <f>'[3]Sun Country'!$DN$27+'[3]Sun Country'!$DN$37</f>
        <v>1518</v>
      </c>
      <c r="H10" s="158">
        <f>[3]Alaska!$DN$27</f>
        <v>406</v>
      </c>
      <c r="I10" s="151">
        <f>SUM(B10:H10)</f>
        <v>3675</v>
      </c>
    </row>
    <row r="11" spans="1:12" x14ac:dyDescent="0.2">
      <c r="A11" s="65" t="s">
        <v>36</v>
      </c>
      <c r="B11" s="14">
        <f>[3]AirTran!$DN$28</f>
        <v>171</v>
      </c>
      <c r="C11" s="161">
        <f>[3]Frontier!$DN$28</f>
        <v>304</v>
      </c>
      <c r="D11" s="161">
        <f>'[3]Great Lakes'!$DN$28</f>
        <v>31</v>
      </c>
      <c r="E11" s="161">
        <f>[3]Icelandair!$DN$38</f>
        <v>42</v>
      </c>
      <c r="F11" s="161">
        <f>[3]Southwest!$DN$28</f>
        <v>1109</v>
      </c>
      <c r="G11" s="161">
        <f>'[3]Sun Country'!$DN$28+'[3]Sun Country'!$DN$38</f>
        <v>1545</v>
      </c>
      <c r="H11" s="161">
        <f>[3]Alaska!$DN$28</f>
        <v>396</v>
      </c>
      <c r="I11" s="151">
        <f>SUM(B11:H11)</f>
        <v>3598</v>
      </c>
    </row>
    <row r="12" spans="1:12" ht="15.75" thickBot="1" x14ac:dyDescent="0.3">
      <c r="A12" s="66" t="s">
        <v>37</v>
      </c>
      <c r="B12" s="154">
        <f t="shared" ref="B12:H12" si="1">SUM(B10:B11)</f>
        <v>351</v>
      </c>
      <c r="C12" s="154">
        <f t="shared" si="1"/>
        <v>599</v>
      </c>
      <c r="D12" s="154">
        <f t="shared" si="1"/>
        <v>67</v>
      </c>
      <c r="E12" s="154">
        <f t="shared" si="1"/>
        <v>90</v>
      </c>
      <c r="F12" s="154">
        <f t="shared" si="1"/>
        <v>2301</v>
      </c>
      <c r="G12" s="154">
        <f>SUM(G10:G11)</f>
        <v>3063</v>
      </c>
      <c r="H12" s="154">
        <f t="shared" si="1"/>
        <v>802</v>
      </c>
      <c r="I12" s="162">
        <f>SUM(B12:H12)</f>
        <v>7273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[3]AirTran!$DN$4</f>
        <v>114</v>
      </c>
      <c r="C16" s="150">
        <f>[3]Frontier!$DN$4</f>
        <v>120</v>
      </c>
      <c r="D16" s="150">
        <f>'[3]Great Lakes'!$DN$4</f>
        <v>50</v>
      </c>
      <c r="E16" s="150">
        <f>[3]Icelandair!$DN$15</f>
        <v>13</v>
      </c>
      <c r="F16" s="109">
        <f>[3]Southwest!$DN$4</f>
        <v>631</v>
      </c>
      <c r="G16" s="122">
        <f>'[3]Sun Country'!$DN$4+'[3]Sun Country'!$DN$15</f>
        <v>599</v>
      </c>
      <c r="H16" s="122">
        <f>[3]Alaska!$DN$4</f>
        <v>62</v>
      </c>
      <c r="I16" s="151">
        <f>SUM(B16:H16)</f>
        <v>1589</v>
      </c>
    </row>
    <row r="17" spans="1:256" x14ac:dyDescent="0.2">
      <c r="A17" s="65" t="s">
        <v>26</v>
      </c>
      <c r="B17" s="14">
        <f>[3]AirTran!$DN$5</f>
        <v>114</v>
      </c>
      <c r="C17" s="150">
        <f>[3]Frontier!$DN$5</f>
        <v>119</v>
      </c>
      <c r="D17" s="150">
        <f>'[3]Great Lakes'!$DN$5</f>
        <v>50</v>
      </c>
      <c r="E17" s="150">
        <f>[3]Icelandair!$DN$16</f>
        <v>13</v>
      </c>
      <c r="F17" s="109">
        <f>[3]Southwest!$DN$5</f>
        <v>629</v>
      </c>
      <c r="G17" s="122">
        <f>'[3]Sun Country'!$DN$5+'[3]Sun Country'!$DN$16</f>
        <v>599</v>
      </c>
      <c r="H17" s="122">
        <f>[3]Alaska!$DN$5</f>
        <v>62</v>
      </c>
      <c r="I17" s="151">
        <f>SUM(B17:H17)</f>
        <v>1586</v>
      </c>
    </row>
    <row r="18" spans="1:256" x14ac:dyDescent="0.2">
      <c r="A18" s="69" t="s">
        <v>27</v>
      </c>
      <c r="B18" s="152">
        <f t="shared" ref="B18:H18" si="2">SUM(B16:B17)</f>
        <v>228</v>
      </c>
      <c r="C18" s="152">
        <f t="shared" si="2"/>
        <v>239</v>
      </c>
      <c r="D18" s="152">
        <f t="shared" si="2"/>
        <v>100</v>
      </c>
      <c r="E18" s="152">
        <f t="shared" si="2"/>
        <v>26</v>
      </c>
      <c r="F18" s="152">
        <f t="shared" si="2"/>
        <v>1260</v>
      </c>
      <c r="G18" s="152">
        <f t="shared" si="2"/>
        <v>1198</v>
      </c>
      <c r="H18" s="152">
        <f t="shared" si="2"/>
        <v>124</v>
      </c>
      <c r="I18" s="153">
        <f>SUM(B18:H18)</f>
        <v>3175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[3]AirTran!$DN$8</f>
        <v>0</v>
      </c>
      <c r="C20" s="150">
        <f>[3]Frontier!$DN$8</f>
        <v>0</v>
      </c>
      <c r="D20" s="150">
        <f>'[3]Great Lakes'!$DN$8</f>
        <v>0</v>
      </c>
      <c r="E20" s="150">
        <f>[3]Icelandair!$DN$8</f>
        <v>0</v>
      </c>
      <c r="F20" s="122">
        <f>[3]Southwest!$DN$8</f>
        <v>0</v>
      </c>
      <c r="G20" s="122">
        <f>'[3]Sun Country'!$DN$8</f>
        <v>37</v>
      </c>
      <c r="H20" s="122">
        <f>[3]Alaska!$DN$8</f>
        <v>0</v>
      </c>
      <c r="I20" s="151">
        <f>SUM(B20:H20)</f>
        <v>37</v>
      </c>
    </row>
    <row r="21" spans="1:256" x14ac:dyDescent="0.2">
      <c r="A21" s="65" t="s">
        <v>29</v>
      </c>
      <c r="B21" s="14">
        <f>[3]AirTran!$DN$9</f>
        <v>0</v>
      </c>
      <c r="C21" s="150">
        <f>[3]Frontier!$DN$9</f>
        <v>0</v>
      </c>
      <c r="D21" s="150">
        <f>'[3]Great Lakes'!$DN$9</f>
        <v>0</v>
      </c>
      <c r="E21" s="150">
        <f>[3]Icelandair!$DN$9</f>
        <v>0</v>
      </c>
      <c r="F21" s="122">
        <f>[3]Southwest!$DN$9</f>
        <v>0</v>
      </c>
      <c r="G21" s="122">
        <f>'[3]Sun Country'!$DN$9</f>
        <v>36</v>
      </c>
      <c r="H21" s="122">
        <f>[3]Alaska!$DN$9</f>
        <v>0</v>
      </c>
      <c r="I21" s="151">
        <f>SUM(B21:H21)</f>
        <v>36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73</v>
      </c>
      <c r="H22" s="152">
        <f t="shared" si="3"/>
        <v>0</v>
      </c>
      <c r="I22" s="153">
        <f>SUM(B22:H22)</f>
        <v>73</v>
      </c>
    </row>
    <row r="23" spans="1:256" ht="15.75" thickBot="1" x14ac:dyDescent="0.3">
      <c r="A23" s="66" t="s">
        <v>31</v>
      </c>
      <c r="B23" s="154">
        <f t="shared" ref="B23:H23" si="4">B22+B18</f>
        <v>228</v>
      </c>
      <c r="C23" s="154">
        <f t="shared" si="4"/>
        <v>239</v>
      </c>
      <c r="D23" s="154">
        <f t="shared" si="4"/>
        <v>100</v>
      </c>
      <c r="E23" s="154">
        <f t="shared" si="4"/>
        <v>26</v>
      </c>
      <c r="F23" s="154">
        <f t="shared" si="4"/>
        <v>1260</v>
      </c>
      <c r="G23" s="154">
        <f t="shared" si="4"/>
        <v>1271</v>
      </c>
      <c r="H23" s="154">
        <f t="shared" si="4"/>
        <v>124</v>
      </c>
      <c r="I23" s="155">
        <f>SUM(B23:H23)</f>
        <v>3248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1"/>
      <c r="C25" s="441"/>
      <c r="D25" s="441"/>
      <c r="E25" s="441"/>
      <c r="F25" s="441"/>
      <c r="G25" s="441"/>
      <c r="H25" s="441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[3]AirTran!$DN$47</f>
        <v>0</v>
      </c>
      <c r="C28" s="150">
        <f>[3]Frontier!$DN$47</f>
        <v>0</v>
      </c>
      <c r="D28" s="150">
        <f>'[3]Great Lakes'!$DN$47</f>
        <v>7</v>
      </c>
      <c r="E28" s="150">
        <f>[3]Icelandair!$DN$47</f>
        <v>1016</v>
      </c>
      <c r="F28" s="122">
        <f>[3]Southwest!$DN$47</f>
        <v>217752</v>
      </c>
      <c r="G28" s="122">
        <f>'[3]Sun Country'!$DN$47</f>
        <v>66252</v>
      </c>
      <c r="H28" s="122">
        <f>[3]Alaska!$DN$47</f>
        <v>48818</v>
      </c>
      <c r="I28" s="151">
        <f>SUM(B28:H28)</f>
        <v>333845</v>
      </c>
    </row>
    <row r="29" spans="1:256" x14ac:dyDescent="0.2">
      <c r="A29" s="65" t="s">
        <v>41</v>
      </c>
      <c r="B29" s="14">
        <f>[3]AirTran!$DN$48</f>
        <v>0</v>
      </c>
      <c r="C29" s="150">
        <f>[3]Frontier!$DN$48</f>
        <v>0</v>
      </c>
      <c r="D29" s="150">
        <f>'[3]Great Lakes'!$DN$48</f>
        <v>0</v>
      </c>
      <c r="E29" s="150">
        <f>[3]Icelandair!$DN$48</f>
        <v>0</v>
      </c>
      <c r="F29" s="122">
        <f>[3]Southwest!$DN$48</f>
        <v>0</v>
      </c>
      <c r="G29" s="122">
        <f>'[3]Sun Country'!$DN$48</f>
        <v>58099</v>
      </c>
      <c r="H29" s="122">
        <f>[3]Alaska!$DN$48</f>
        <v>0</v>
      </c>
      <c r="I29" s="151">
        <f>SUM(B29:H29)</f>
        <v>58099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7</v>
      </c>
      <c r="E30" s="166">
        <f t="shared" si="5"/>
        <v>1016</v>
      </c>
      <c r="F30" s="166">
        <f t="shared" si="5"/>
        <v>217752</v>
      </c>
      <c r="G30" s="166">
        <f t="shared" si="5"/>
        <v>124351</v>
      </c>
      <c r="H30" s="166">
        <f t="shared" si="5"/>
        <v>48818</v>
      </c>
      <c r="I30" s="169">
        <f>SUM(B30:H30)</f>
        <v>391944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[3]AirTran!$DN$52</f>
        <v>0</v>
      </c>
      <c r="C33" s="150">
        <f>[3]Frontier!$DN$52</f>
        <v>0</v>
      </c>
      <c r="D33" s="150">
        <f>'[3]Great Lakes'!$DN$52</f>
        <v>0</v>
      </c>
      <c r="E33" s="150">
        <f>[3]Icelandair!$DN$52</f>
        <v>385</v>
      </c>
      <c r="F33" s="122">
        <f>[3]Southwest!$DN$52</f>
        <v>68332</v>
      </c>
      <c r="G33" s="122">
        <f>'[3]Sun Country'!$DN$52</f>
        <v>0</v>
      </c>
      <c r="H33" s="122">
        <f>[3]Alaska!$DN$52</f>
        <v>9311</v>
      </c>
      <c r="I33" s="151">
        <f>SUM(B33:H33)</f>
        <v>78028</v>
      </c>
    </row>
    <row r="34" spans="1:9" x14ac:dyDescent="0.2">
      <c r="A34" s="65" t="s">
        <v>41</v>
      </c>
      <c r="B34" s="14">
        <f>[3]AirTran!$DN$53</f>
        <v>0</v>
      </c>
      <c r="C34" s="150">
        <f>[3]Frontier!$DN$53</f>
        <v>0</v>
      </c>
      <c r="D34" s="150">
        <f>'[3]Great Lakes'!$DN$53</f>
        <v>0</v>
      </c>
      <c r="E34" s="150">
        <f>[3]Icelandair!$DN$53</f>
        <v>0</v>
      </c>
      <c r="F34" s="122">
        <f>[3]Southwest!$DN$53</f>
        <v>0</v>
      </c>
      <c r="G34" s="122">
        <f>'[3]Sun Country'!$DN$53</f>
        <v>280104</v>
      </c>
      <c r="H34" s="122">
        <f>[3]Alaska!$DN$53</f>
        <v>0</v>
      </c>
      <c r="I34" s="167">
        <f>SUM(B34:H34)</f>
        <v>280104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385</v>
      </c>
      <c r="F35" s="168">
        <f t="shared" si="6"/>
        <v>68332</v>
      </c>
      <c r="G35" s="168">
        <f t="shared" si="6"/>
        <v>280104</v>
      </c>
      <c r="H35" s="168">
        <f t="shared" si="6"/>
        <v>9311</v>
      </c>
      <c r="I35" s="169">
        <f>SUM(B35:H35)</f>
        <v>358132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[3]AirTran!$DN$57</f>
        <v>0</v>
      </c>
      <c r="C38" s="158">
        <f>[3]Frontier!$DN$57</f>
        <v>0</v>
      </c>
      <c r="D38" s="158">
        <f>'[3]Great Lakes'!$DN$57</f>
        <v>0</v>
      </c>
      <c r="E38" s="158">
        <f>[3]Icelandair!$DN$57</f>
        <v>0</v>
      </c>
      <c r="F38" s="158">
        <f>[3]Southwest!$DN$57</f>
        <v>0</v>
      </c>
      <c r="G38" s="158">
        <f>'[3]Sun Country'!$DN$57</f>
        <v>0</v>
      </c>
      <c r="H38" s="158">
        <f>[3]Alaska!$DN$57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[3]AirTran!$DN$58</f>
        <v>0</v>
      </c>
      <c r="C39" s="161">
        <f>[3]Frontier!$DN$58</f>
        <v>0</v>
      </c>
      <c r="D39" s="161">
        <f>'[3]Great Lakes'!$DN$58</f>
        <v>0</v>
      </c>
      <c r="E39" s="161">
        <f>[3]Icelandair!$DN$58</f>
        <v>0</v>
      </c>
      <c r="F39" s="161">
        <f>[3]Southwest!$DN$58</f>
        <v>0</v>
      </c>
      <c r="G39" s="161">
        <f>'[3]Sun Country'!$DN$58</f>
        <v>0</v>
      </c>
      <c r="H39" s="161">
        <f>[3]Alaska!$DN$58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7</v>
      </c>
      <c r="E43" s="158">
        <f t="shared" si="8"/>
        <v>1401</v>
      </c>
      <c r="F43" s="158">
        <f t="shared" si="8"/>
        <v>286084</v>
      </c>
      <c r="G43" s="158">
        <f t="shared" si="8"/>
        <v>66252</v>
      </c>
      <c r="H43" s="158">
        <f t="shared" si="8"/>
        <v>58129</v>
      </c>
      <c r="I43" s="151">
        <f>SUM(B43:H43)</f>
        <v>411873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338203</v>
      </c>
      <c r="H44" s="161">
        <f t="shared" si="9"/>
        <v>0</v>
      </c>
      <c r="I44" s="151">
        <f>SUM(B44:H44)</f>
        <v>338203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7</v>
      </c>
      <c r="E45" s="171">
        <f t="shared" si="10"/>
        <v>1401</v>
      </c>
      <c r="F45" s="171">
        <f t="shared" si="10"/>
        <v>286084</v>
      </c>
      <c r="G45" s="171">
        <f t="shared" si="10"/>
        <v>404455</v>
      </c>
      <c r="H45" s="171">
        <f t="shared" si="10"/>
        <v>58129</v>
      </c>
      <c r="I45" s="172">
        <f>SUM(B45:H45)</f>
        <v>750076</v>
      </c>
    </row>
    <row r="48" spans="1:9" x14ac:dyDescent="0.2">
      <c r="A48" s="394" t="s">
        <v>135</v>
      </c>
      <c r="B48" s="408"/>
      <c r="C48" s="408"/>
      <c r="D48" s="408"/>
      <c r="F48" s="328">
        <f>[3]Southwest!$DN$70+[3]Southwest!$DN$73</f>
        <v>66904</v>
      </c>
      <c r="G48" s="328">
        <f>'[3]Sun Country'!$DN$70+'[3]Sun Country'!$DN$73</f>
        <v>48171</v>
      </c>
      <c r="H48" s="408"/>
      <c r="I48" s="316">
        <f>SUM(B48:H48)</f>
        <v>115075</v>
      </c>
    </row>
    <row r="49" spans="1:9" x14ac:dyDescent="0.2">
      <c r="A49" s="410" t="s">
        <v>136</v>
      </c>
      <c r="B49" s="408"/>
      <c r="C49" s="408"/>
      <c r="D49" s="408"/>
      <c r="F49" s="328">
        <f>[3]Southwest!$DN$71+[3]Southwest!$DN$74</f>
        <v>1058</v>
      </c>
      <c r="G49" s="328">
        <f>'[3]Sun Country'!$DN$71+'[3]Sun Country'!$DN$74</f>
        <v>7172</v>
      </c>
      <c r="H49" s="408"/>
      <c r="I49" s="316">
        <f>SUM(B49:H49)</f>
        <v>8230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May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workbookViewId="0">
      <pane xSplit="1" topLeftCell="B1" activePane="topRight" state="frozen"/>
      <selection activeCell="H17" sqref="H17"/>
      <selection pane="topRight" activeCell="K47" sqref="K47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41760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[3]Pinnacle!$DN$22+[3]Pinnacle!$DN$32</f>
        <v>182763</v>
      </c>
      <c r="C5" s="136">
        <f>[3]Chautaqua_AA!$DN$22</f>
        <v>0</v>
      </c>
      <c r="D5" s="136">
        <f>[3]Chautaqua_Continental!$DN$22</f>
        <v>0</v>
      </c>
      <c r="E5" s="134">
        <f>[3]MESA_UA!$DN$22+[3]MESA_UA!$DN$32</f>
        <v>1759</v>
      </c>
      <c r="F5" s="134">
        <f>'[3]Sky West'!$DN$22+'[3]Sky West'!$DN$32</f>
        <v>62892</v>
      </c>
      <c r="G5" s="134">
        <f>'[3]Sky West_UA'!$DN$22</f>
        <v>10207</v>
      </c>
      <c r="H5" s="134">
        <f>[3]Comair!$DN$22+[3]Comair!$DN$32</f>
        <v>0</v>
      </c>
      <c r="I5" s="134">
        <f>[3]Republic!$DN$22</f>
        <v>5609</v>
      </c>
      <c r="J5" s="134">
        <f>'[3]American Eagle'!$DN$22</f>
        <v>15055</v>
      </c>
      <c r="K5" s="134">
        <f>'Other Regional'!L5</f>
        <v>150612</v>
      </c>
      <c r="L5" s="113">
        <f>SUM(B5:K5)</f>
        <v>428897</v>
      </c>
    </row>
    <row r="6" spans="1:12" s="10" customFormat="1" x14ac:dyDescent="0.2">
      <c r="A6" s="65" t="s">
        <v>34</v>
      </c>
      <c r="B6" s="135">
        <f>[3]Pinnacle!$DN$23+[3]Pinnacle!$DN$33</f>
        <v>177975</v>
      </c>
      <c r="C6" s="136">
        <f>[3]Chautaqua_AA!$DN$23</f>
        <v>0</v>
      </c>
      <c r="D6" s="136">
        <f>[3]Chautaqua_Continental!$DN$23</f>
        <v>0</v>
      </c>
      <c r="E6" s="134">
        <f>[3]MESA_UA!$DN$23+[3]MESA_UA!$DN$33</f>
        <v>1823</v>
      </c>
      <c r="F6" s="134">
        <f>'[3]Sky West'!$DN$23+'[3]Sky West'!$DN$33</f>
        <v>64387</v>
      </c>
      <c r="G6" s="134">
        <f>'[3]Sky West_UA'!$DN$23</f>
        <v>9900</v>
      </c>
      <c r="H6" s="134">
        <f>[3]Comair!$DN$23+[3]Comair!$DN$33</f>
        <v>0</v>
      </c>
      <c r="I6" s="134">
        <f>[3]Republic!$DN$23</f>
        <v>5388</v>
      </c>
      <c r="J6" s="134">
        <f>'[3]American Eagle'!$DN$23</f>
        <v>15041</v>
      </c>
      <c r="K6" s="134">
        <f>'Other Regional'!L6</f>
        <v>149198</v>
      </c>
      <c r="L6" s="119">
        <f>SUM(B6:K6)</f>
        <v>423712</v>
      </c>
    </row>
    <row r="7" spans="1:12" ht="15" thickBot="1" x14ac:dyDescent="0.25">
      <c r="A7" s="76" t="s">
        <v>7</v>
      </c>
      <c r="B7" s="137">
        <f>SUM(B5:B6)</f>
        <v>360738</v>
      </c>
      <c r="C7" s="137">
        <f t="shared" ref="C7:K7" si="0">SUM(C5:C6)</f>
        <v>0</v>
      </c>
      <c r="D7" s="137">
        <f t="shared" si="0"/>
        <v>0</v>
      </c>
      <c r="E7" s="137">
        <f t="shared" si="0"/>
        <v>3582</v>
      </c>
      <c r="F7" s="137">
        <f t="shared" si="0"/>
        <v>127279</v>
      </c>
      <c r="G7" s="137">
        <f t="shared" si="0"/>
        <v>20107</v>
      </c>
      <c r="H7" s="137">
        <f t="shared" si="0"/>
        <v>0</v>
      </c>
      <c r="I7" s="137">
        <f t="shared" si="0"/>
        <v>10997</v>
      </c>
      <c r="J7" s="137">
        <f t="shared" si="0"/>
        <v>30096</v>
      </c>
      <c r="K7" s="137">
        <f t="shared" si="0"/>
        <v>299810</v>
      </c>
      <c r="L7" s="138">
        <f>SUM(B7:K7)</f>
        <v>852609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[3]Pinnacle!$DN$27+[3]Pinnacle!$DN$37</f>
        <v>5413</v>
      </c>
      <c r="C10" s="136">
        <f>[3]Chautaqua_AA!$DN$27</f>
        <v>0</v>
      </c>
      <c r="D10" s="136">
        <f>[3]Chautaqua_Continental!$DN$27</f>
        <v>0</v>
      </c>
      <c r="E10" s="134">
        <f>[3]MESA_UA!$DN$27+[3]MESA_UA!$DN$37</f>
        <v>48</v>
      </c>
      <c r="F10" s="134">
        <f>'[3]Sky West'!$DN$27+'[3]Sky West'!$DN$37</f>
        <v>2681</v>
      </c>
      <c r="G10" s="134">
        <f>'[3]Sky West_UA'!$DN$27</f>
        <v>302</v>
      </c>
      <c r="H10" s="134">
        <f>[3]Comair!$DN$27+[3]Comair!$DN$37</f>
        <v>0</v>
      </c>
      <c r="I10" s="134">
        <f>[3]Republic!$DN$27</f>
        <v>0</v>
      </c>
      <c r="J10" s="134">
        <f>'[3]American Eagle'!$DN$27</f>
        <v>103</v>
      </c>
      <c r="K10" s="134">
        <f>'Other Regional'!L10</f>
        <v>4029</v>
      </c>
      <c r="L10" s="113">
        <f>SUM(B10:K10)</f>
        <v>12576</v>
      </c>
    </row>
    <row r="11" spans="1:12" x14ac:dyDescent="0.2">
      <c r="A11" s="65" t="s">
        <v>36</v>
      </c>
      <c r="B11" s="135">
        <f>[3]Pinnacle!$DN$28+[3]Pinnacle!$DN$38</f>
        <v>5648</v>
      </c>
      <c r="C11" s="136">
        <f>[3]Chautaqua_AA!$DN$28</f>
        <v>0</v>
      </c>
      <c r="D11" s="136">
        <f>[3]Chautaqua_Continental!$DN$28</f>
        <v>0</v>
      </c>
      <c r="E11" s="134">
        <f>[3]MESA_UA!$DN$28+[3]MESA_UA!$DN$38</f>
        <v>34</v>
      </c>
      <c r="F11" s="134">
        <f>'[3]Sky West'!$DN$28+'[3]Sky West'!$DN$38</f>
        <v>2678</v>
      </c>
      <c r="G11" s="134">
        <f>'[3]Sky West_UA'!$DN$28</f>
        <v>246</v>
      </c>
      <c r="H11" s="134">
        <f>[3]Comair!$DN$28+[3]Comair!$DN$38</f>
        <v>0</v>
      </c>
      <c r="I11" s="134">
        <f>[3]Republic!$DN$28</f>
        <v>0</v>
      </c>
      <c r="J11" s="134">
        <f>'[3]American Eagle'!$DN$28</f>
        <v>39</v>
      </c>
      <c r="K11" s="134">
        <f>'Other Regional'!L11</f>
        <v>3956</v>
      </c>
      <c r="L11" s="119">
        <f>SUM(B11:K11)</f>
        <v>12601</v>
      </c>
    </row>
    <row r="12" spans="1:12" ht="15" thickBot="1" x14ac:dyDescent="0.25">
      <c r="A12" s="77" t="s">
        <v>37</v>
      </c>
      <c r="B12" s="140">
        <f>SUM(B10:B11)</f>
        <v>11061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82</v>
      </c>
      <c r="F12" s="140">
        <f t="shared" si="1"/>
        <v>5359</v>
      </c>
      <c r="G12" s="140">
        <f t="shared" si="1"/>
        <v>548</v>
      </c>
      <c r="H12" s="140">
        <f t="shared" si="1"/>
        <v>0</v>
      </c>
      <c r="I12" s="140">
        <f t="shared" si="1"/>
        <v>0</v>
      </c>
      <c r="J12" s="140">
        <f t="shared" si="1"/>
        <v>142</v>
      </c>
      <c r="K12" s="140">
        <f>SUM(K10:K11)</f>
        <v>7985</v>
      </c>
      <c r="L12" s="141">
        <f>SUM(B12:K12)</f>
        <v>25177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[3]Pinnacle!$DN$4+[3]Pinnacle!$DN$15</f>
        <v>3643</v>
      </c>
      <c r="C15" s="111">
        <f>[3]Chautaqua_AA!$DN$4</f>
        <v>0</v>
      </c>
      <c r="D15" s="111">
        <f>[3]Chautaqua_Continental!$DN$4</f>
        <v>0</v>
      </c>
      <c r="E15" s="109">
        <f>[3]MESA_UA!$DN$4+[3]MESA_UA!$DN$15</f>
        <v>27</v>
      </c>
      <c r="F15" s="109">
        <f>'[3]Sky West'!$DN$4+'[3]Sky West'!$DN$15</f>
        <v>1555</v>
      </c>
      <c r="G15" s="109">
        <f>'[3]Sky West_UA'!$DN$4</f>
        <v>165</v>
      </c>
      <c r="H15" s="109">
        <f>[3]Comair!$DN$4+[3]Comair!$DN$15</f>
        <v>0</v>
      </c>
      <c r="I15" s="112">
        <f>[3]Republic!$DN$4</f>
        <v>86</v>
      </c>
      <c r="J15" s="112">
        <f>'[3]American Eagle'!$DN$4</f>
        <v>223</v>
      </c>
      <c r="K15" s="110">
        <f>'Other Regional'!L15</f>
        <v>2480</v>
      </c>
      <c r="L15" s="113">
        <f t="shared" si="2"/>
        <v>8179</v>
      </c>
    </row>
    <row r="16" spans="1:12" x14ac:dyDescent="0.2">
      <c r="A16" s="65" t="s">
        <v>59</v>
      </c>
      <c r="B16" s="14">
        <f>[3]Pinnacle!$DN$5+[3]Pinnacle!$DN$16</f>
        <v>3640</v>
      </c>
      <c r="C16" s="116">
        <f>[3]Chautaqua_AA!$DN$5</f>
        <v>0</v>
      </c>
      <c r="D16" s="116">
        <f>[3]Chautaqua_Continental!$DN$5</f>
        <v>0</v>
      </c>
      <c r="E16" s="114">
        <f>[3]MESA_UA!$DN$5+[3]MESA_UA!$DN$16</f>
        <v>27</v>
      </c>
      <c r="F16" s="114">
        <f>'[3]Sky West'!$DN$5+'[3]Sky West'!$DN$16</f>
        <v>1551</v>
      </c>
      <c r="G16" s="114">
        <f>'[3]Sky West_UA'!$DN$5</f>
        <v>165</v>
      </c>
      <c r="H16" s="114">
        <f>[3]Comair!$DN$5+[3]Comair!$DN$16</f>
        <v>0</v>
      </c>
      <c r="I16" s="117">
        <f>[3]Republic!$DN$5</f>
        <v>87</v>
      </c>
      <c r="J16" s="117">
        <f>'[3]American Eagle'!$DN$5</f>
        <v>221</v>
      </c>
      <c r="K16" s="115">
        <f>'Other Regional'!L16</f>
        <v>2473</v>
      </c>
      <c r="L16" s="119">
        <f t="shared" si="2"/>
        <v>8164</v>
      </c>
    </row>
    <row r="17" spans="1:12" x14ac:dyDescent="0.2">
      <c r="A17" s="74" t="s">
        <v>60</v>
      </c>
      <c r="B17" s="120">
        <f t="shared" ref="B17:J17" si="3">SUM(B15:B16)</f>
        <v>7283</v>
      </c>
      <c r="C17" s="120">
        <f t="shared" si="3"/>
        <v>0</v>
      </c>
      <c r="D17" s="120">
        <f t="shared" si="3"/>
        <v>0</v>
      </c>
      <c r="E17" s="120">
        <f t="shared" si="3"/>
        <v>54</v>
      </c>
      <c r="F17" s="120">
        <f t="shared" si="3"/>
        <v>3106</v>
      </c>
      <c r="G17" s="120">
        <f t="shared" si="3"/>
        <v>330</v>
      </c>
      <c r="H17" s="120">
        <f t="shared" si="3"/>
        <v>0</v>
      </c>
      <c r="I17" s="120">
        <f t="shared" si="3"/>
        <v>173</v>
      </c>
      <c r="J17" s="120">
        <f t="shared" si="3"/>
        <v>444</v>
      </c>
      <c r="K17" s="120">
        <f>SUM(K15:K16)</f>
        <v>4953</v>
      </c>
      <c r="L17" s="121">
        <f t="shared" si="2"/>
        <v>16343</v>
      </c>
    </row>
    <row r="18" spans="1:12" x14ac:dyDescent="0.2">
      <c r="A18" s="65" t="s">
        <v>61</v>
      </c>
      <c r="B18" s="122">
        <f>[3]Pinnacle!$DN$8</f>
        <v>0</v>
      </c>
      <c r="C18" s="123">
        <f>[3]Chautaqua_AA!$DN$8</f>
        <v>0</v>
      </c>
      <c r="D18" s="123">
        <f>[3]Chautaqua_Continental!$DN$8</f>
        <v>0</v>
      </c>
      <c r="E18" s="122">
        <f>[3]MESA_UA!$DN$8</f>
        <v>0</v>
      </c>
      <c r="F18" s="122">
        <f>'[3]Sky West'!$DN$8</f>
        <v>0</v>
      </c>
      <c r="G18" s="122">
        <f>'[3]Sky West_UA'!$DN$8</f>
        <v>0</v>
      </c>
      <c r="H18" s="122">
        <f>[3]Comair!$DN$8</f>
        <v>0</v>
      </c>
      <c r="I18" s="122">
        <f>[3]Republic!$DN$8</f>
        <v>0</v>
      </c>
      <c r="J18" s="122">
        <f>'[3]American Eagle'!$DN$8</f>
        <v>0</v>
      </c>
      <c r="K18" s="122">
        <f>'Other Regional'!L18</f>
        <v>1</v>
      </c>
      <c r="L18" s="113">
        <f t="shared" si="2"/>
        <v>1</v>
      </c>
    </row>
    <row r="19" spans="1:12" x14ac:dyDescent="0.2">
      <c r="A19" s="65" t="s">
        <v>62</v>
      </c>
      <c r="B19" s="124">
        <f>[3]Pinnacle!$DN$9</f>
        <v>4</v>
      </c>
      <c r="C19" s="125">
        <f>[3]Chautaqua_AA!$DN$9</f>
        <v>0</v>
      </c>
      <c r="D19" s="125">
        <f>[3]Chautaqua_Continental!$DN$9</f>
        <v>0</v>
      </c>
      <c r="E19" s="124">
        <f>[3]MESA_UA!$DN$9</f>
        <v>0</v>
      </c>
      <c r="F19" s="124">
        <f>'[3]Sky West'!$DN$9</f>
        <v>3</v>
      </c>
      <c r="G19" s="124">
        <f>'[3]Sky West_UA'!$DN$9</f>
        <v>0</v>
      </c>
      <c r="H19" s="124">
        <f>[3]Comair!$DN$9</f>
        <v>0</v>
      </c>
      <c r="I19" s="124">
        <f>[3]Republic!$DN$9</f>
        <v>0</v>
      </c>
      <c r="J19" s="124">
        <f>'[3]American Eagle'!$DN$9</f>
        <v>0</v>
      </c>
      <c r="K19" s="124">
        <f>'Other Regional'!L19</f>
        <v>5</v>
      </c>
      <c r="L19" s="119">
        <f t="shared" si="2"/>
        <v>12</v>
      </c>
    </row>
    <row r="20" spans="1:12" x14ac:dyDescent="0.2">
      <c r="A20" s="74" t="s">
        <v>63</v>
      </c>
      <c r="B20" s="120">
        <f t="shared" ref="B20:K20" si="4">SUM(B18:B19)</f>
        <v>4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3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6</v>
      </c>
      <c r="L20" s="121">
        <f t="shared" si="2"/>
        <v>13</v>
      </c>
    </row>
    <row r="21" spans="1:12" ht="15.75" thickBot="1" x14ac:dyDescent="0.3">
      <c r="A21" s="75" t="s">
        <v>31</v>
      </c>
      <c r="B21" s="126">
        <f t="shared" ref="B21:J21" si="5">SUM(B20,B17)</f>
        <v>7287</v>
      </c>
      <c r="C21" s="126">
        <f t="shared" si="5"/>
        <v>0</v>
      </c>
      <c r="D21" s="126">
        <f t="shared" si="5"/>
        <v>0</v>
      </c>
      <c r="E21" s="126">
        <f t="shared" si="5"/>
        <v>54</v>
      </c>
      <c r="F21" s="126">
        <f t="shared" si="5"/>
        <v>3109</v>
      </c>
      <c r="G21" s="126">
        <f t="shared" si="5"/>
        <v>330</v>
      </c>
      <c r="H21" s="126">
        <f t="shared" si="5"/>
        <v>0</v>
      </c>
      <c r="I21" s="126">
        <f t="shared" si="5"/>
        <v>173</v>
      </c>
      <c r="J21" s="126">
        <f t="shared" si="5"/>
        <v>444</v>
      </c>
      <c r="K21" s="126">
        <f>SUM(K20,K17)</f>
        <v>4959</v>
      </c>
      <c r="L21" s="127">
        <f t="shared" si="2"/>
        <v>16356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[3]Pinnacle!$DN$47</f>
        <v>0</v>
      </c>
      <c r="C25" s="136">
        <f>[3]Chautaqua_AA!$DN$47</f>
        <v>0</v>
      </c>
      <c r="D25" s="136">
        <f>[3]Chautaqua_Continental!$DN$47</f>
        <v>0</v>
      </c>
      <c r="E25" s="134">
        <f>[3]MESA_UA!$DN$47</f>
        <v>0</v>
      </c>
      <c r="F25" s="134">
        <f>'[3]Sky West'!$DN$47</f>
        <v>0</v>
      </c>
      <c r="G25" s="134">
        <f>'[3]Sky West_UA'!$DN$47</f>
        <v>0</v>
      </c>
      <c r="H25" s="134">
        <f>[3]Comair!$DN$47</f>
        <v>0</v>
      </c>
      <c r="I25" s="134">
        <f>[3]Republic!$DN$47</f>
        <v>0</v>
      </c>
      <c r="J25" s="134">
        <f>'[3]American Eagle'!$DN$47</f>
        <v>0</v>
      </c>
      <c r="K25" s="134">
        <f>'Other Regional'!L25</f>
        <v>0</v>
      </c>
      <c r="L25" s="113">
        <f>SUM(B25:K25)</f>
        <v>0</v>
      </c>
    </row>
    <row r="26" spans="1:12" x14ac:dyDescent="0.2">
      <c r="A26" s="78" t="s">
        <v>41</v>
      </c>
      <c r="B26" s="134">
        <f>[3]Pinnacle!$DN$48</f>
        <v>0</v>
      </c>
      <c r="C26" s="136">
        <f>[3]Chautaqua_AA!$DN$48</f>
        <v>0</v>
      </c>
      <c r="D26" s="136">
        <f>[3]Chautaqua_Continental!$DN$48</f>
        <v>0</v>
      </c>
      <c r="E26" s="134">
        <f>[3]MESA_UA!$DN$48</f>
        <v>0</v>
      </c>
      <c r="F26" s="134">
        <f>'[3]Sky West'!$DN$48</f>
        <v>0</v>
      </c>
      <c r="G26" s="134">
        <f>'[3]Sky West_UA'!$DN$48</f>
        <v>0</v>
      </c>
      <c r="H26" s="134">
        <f>[3]Comair!$DN$48</f>
        <v>0</v>
      </c>
      <c r="I26" s="134">
        <f>[3]Republic!$DN$48</f>
        <v>0</v>
      </c>
      <c r="J26" s="134">
        <f>'[3]American Eagle'!$DN$48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[3]Pinnacle!$DN$52</f>
        <v>0</v>
      </c>
      <c r="C30" s="136">
        <f>[3]Chautaqua_AA!$DN$52</f>
        <v>0</v>
      </c>
      <c r="D30" s="136">
        <f>[3]Chautaqua_Continental!$DN$52</f>
        <v>0</v>
      </c>
      <c r="E30" s="134">
        <f>[3]MESA_UA!$DN$52</f>
        <v>0</v>
      </c>
      <c r="F30" s="134">
        <f>'[3]Sky West'!$DN$52</f>
        <v>0</v>
      </c>
      <c r="G30" s="134">
        <f>'[3]Sky West_UA'!$DN$52</f>
        <v>0</v>
      </c>
      <c r="H30" s="134">
        <f>[3]Comair!$DN$52</f>
        <v>0</v>
      </c>
      <c r="I30" s="134">
        <f>[3]Republic!$DN$52</f>
        <v>0</v>
      </c>
      <c r="J30" s="134">
        <f>'[3]American Eagle'!$DN$52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[3]Pinnacle!$DN$53</f>
        <v>0</v>
      </c>
      <c r="C31" s="136">
        <f>[3]Chautaqua_AA!$DN$53</f>
        <v>0</v>
      </c>
      <c r="D31" s="136">
        <f>[3]Chautaqua_Continental!$DN$53</f>
        <v>0</v>
      </c>
      <c r="E31" s="134">
        <f>[3]MESA_UA!$DN$53</f>
        <v>0</v>
      </c>
      <c r="F31" s="134">
        <f>'[3]Sky West'!$DN$53</f>
        <v>0</v>
      </c>
      <c r="G31" s="134">
        <f>'[3]Sky West_UA'!$DN$53</f>
        <v>0</v>
      </c>
      <c r="H31" s="134">
        <f>[3]Comair!$DN$53</f>
        <v>0</v>
      </c>
      <c r="I31" s="134">
        <f>[3]Republic!$DN$53</f>
        <v>0</v>
      </c>
      <c r="J31" s="134">
        <f>'[3]American Eagle'!$DN$53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[3]Pinnacle!$DN$57</f>
        <v>0</v>
      </c>
      <c r="C35" s="136">
        <f>[3]Chautaqua_AA!$DN$57</f>
        <v>0</v>
      </c>
      <c r="D35" s="136">
        <f>[3]Chautaqua_Continental!$DN$57</f>
        <v>0</v>
      </c>
      <c r="E35" s="134">
        <f>[3]MESA_UA!$DN$57</f>
        <v>0</v>
      </c>
      <c r="F35" s="134">
        <f>'[3]Sky West'!$DN$57</f>
        <v>0</v>
      </c>
      <c r="G35" s="134">
        <f>'[3]Sky West_UA'!$DN$57</f>
        <v>0</v>
      </c>
      <c r="H35" s="134">
        <f>[3]Comair!$DN$57</f>
        <v>0</v>
      </c>
      <c r="I35" s="134">
        <f>[3]Republic!$DN$57</f>
        <v>0</v>
      </c>
      <c r="J35" s="134">
        <f>'[3]American Eagle'!$DN$57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[3]Pinnacle!$DN$58</f>
        <v>0</v>
      </c>
      <c r="C36" s="136">
        <f>[3]Chautaqua_AA!$DN$58</f>
        <v>0</v>
      </c>
      <c r="D36" s="136">
        <f>[3]Chautaqua_Continental!$DN$58</f>
        <v>0</v>
      </c>
      <c r="E36" s="134">
        <f>[3]MESA_UA!$DN$58</f>
        <v>0</v>
      </c>
      <c r="F36" s="134">
        <f>'[3]Sky West'!$DN$58</f>
        <v>0</v>
      </c>
      <c r="G36" s="134">
        <f>'[3]Sky West_UA'!$DN$58</f>
        <v>0</v>
      </c>
      <c r="H36" s="134">
        <f>[3]Comair!$DN$58</f>
        <v>0</v>
      </c>
      <c r="I36" s="134">
        <f>[3]Republic!$DN$58</f>
        <v>0</v>
      </c>
      <c r="J36" s="134">
        <f>'[3]American Eagle'!$DN$58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0</v>
      </c>
      <c r="K40" s="134">
        <f>K35+K30+K25</f>
        <v>0</v>
      </c>
      <c r="L40" s="113">
        <f>SUM(B40:K40)</f>
        <v>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0</v>
      </c>
      <c r="K42" s="140">
        <f>SUM(K37,K32,K27)</f>
        <v>0</v>
      </c>
      <c r="L42" s="141">
        <f>SUM(B42:K42)</f>
        <v>0</v>
      </c>
    </row>
    <row r="44" spans="1:12" x14ac:dyDescent="0.2">
      <c r="A44" s="394" t="s">
        <v>135</v>
      </c>
      <c r="B44" s="327">
        <f>[3]Pinnacle!$DN$70+[3]Pinnacle!$DN$73</f>
        <v>48211</v>
      </c>
      <c r="F44" s="328">
        <f>'[3]Sky West'!$DN$70+'[3]Sky West'!$DN$73</f>
        <v>13972</v>
      </c>
      <c r="H44" s="328">
        <f>[3]Comair!$DN$70+[3]Comair!$DN$73</f>
        <v>0</v>
      </c>
      <c r="K44" s="5">
        <f>+'Other Regional'!L46</f>
        <v>40481</v>
      </c>
      <c r="L44" s="316">
        <f>SUM(B44:K44)</f>
        <v>102664</v>
      </c>
    </row>
    <row r="45" spans="1:12" x14ac:dyDescent="0.2">
      <c r="A45" s="410" t="s">
        <v>136</v>
      </c>
      <c r="B45" s="327">
        <f>[3]Pinnacle!$DN$71+[3]Pinnacle!$DN$74</f>
        <v>129764</v>
      </c>
      <c r="F45" s="328">
        <f>'[3]Sky West'!$DN$71+'[3]Sky West'!$DN$74</f>
        <v>50415</v>
      </c>
      <c r="H45" s="328">
        <f>[3]Comair!$DN$71+[3]Comair!$DN$74</f>
        <v>0</v>
      </c>
      <c r="K45" s="5">
        <f>+'Other Regional'!L47</f>
        <v>75935</v>
      </c>
      <c r="L45" s="316">
        <f>SUM(B45:K45)</f>
        <v>256114</v>
      </c>
    </row>
    <row r="46" spans="1:12" x14ac:dyDescent="0.2">
      <c r="A46" s="318" t="s">
        <v>137</v>
      </c>
      <c r="B46" s="319">
        <f>SUM(B44:B45)</f>
        <v>177975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May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sqref="A1:IV6553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6.425781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41760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America'!$DN$22</f>
        <v>9024</v>
      </c>
      <c r="C5" s="135">
        <f>'[3]Shuttle America_Delta'!$DN$22</f>
        <v>12197</v>
      </c>
      <c r="D5" s="135">
        <f>[3]AirCanada!$DN$32</f>
        <v>3763</v>
      </c>
      <c r="E5" s="22">
        <f>[3]Compass!$DN$22+[3]Compass!$DN$32</f>
        <v>70109</v>
      </c>
      <c r="F5" s="135">
        <f>'[3]Atlantic Southeast'!$DN$22+'[3]Atlantic Southeast'!$DN$32</f>
        <v>35033</v>
      </c>
      <c r="G5" s="135">
        <f>'[3]Continental Express'!$DN$22</f>
        <v>8764</v>
      </c>
      <c r="H5" s="134">
        <f>'[3]Go Jet_UA'!$DN$22</f>
        <v>11722</v>
      </c>
      <c r="I5" s="134">
        <f>'[3]Go Jet'!$DN$22</f>
        <v>0</v>
      </c>
      <c r="J5" s="136">
        <f>'[3]Air Wisconsin'!$DN$22</f>
        <v>0</v>
      </c>
      <c r="K5" s="134">
        <f>[3]MESA!$DN$22</f>
        <v>0</v>
      </c>
      <c r="L5" s="113">
        <f>SUM(B5:K5)</f>
        <v>150612</v>
      </c>
    </row>
    <row r="6" spans="1:12" s="10" customFormat="1" x14ac:dyDescent="0.2">
      <c r="A6" s="65" t="s">
        <v>34</v>
      </c>
      <c r="B6" s="135">
        <f>'[3]Shuttle America'!$DN$23</f>
        <v>8934</v>
      </c>
      <c r="C6" s="135">
        <f>'[3]Shuttle America_Delta'!$DN$23</f>
        <v>11443</v>
      </c>
      <c r="D6" s="135">
        <f>[3]AirCanada!$DN$33</f>
        <v>4119</v>
      </c>
      <c r="E6" s="14">
        <f>[3]Compass!$DN$23+[3]Compass!$DN$33</f>
        <v>69702</v>
      </c>
      <c r="F6" s="135">
        <f>'[3]Atlantic Southeast'!$DN$23+'[3]Atlantic Southeast'!$DN$33</f>
        <v>35271</v>
      </c>
      <c r="G6" s="135">
        <f>'[3]Continental Express'!$DN$23</f>
        <v>8255</v>
      </c>
      <c r="H6" s="134">
        <f>'[3]Go Jet_UA'!$DN$23</f>
        <v>11474</v>
      </c>
      <c r="I6" s="134">
        <f>'[3]Go Jet'!$DN$23</f>
        <v>0</v>
      </c>
      <c r="J6" s="136">
        <f>'[3]Air Wisconsin'!$DN$23</f>
        <v>0</v>
      </c>
      <c r="K6" s="134">
        <f>[3]MESA!$DN$23</f>
        <v>0</v>
      </c>
      <c r="L6" s="119">
        <f>SUM(B6:K6)</f>
        <v>149198</v>
      </c>
    </row>
    <row r="7" spans="1:12" ht="15" thickBot="1" x14ac:dyDescent="0.25">
      <c r="A7" s="76" t="s">
        <v>7</v>
      </c>
      <c r="B7" s="137">
        <f t="shared" ref="B7:K7" si="0">SUM(B5:B6)</f>
        <v>17958</v>
      </c>
      <c r="C7" s="137">
        <f t="shared" si="0"/>
        <v>23640</v>
      </c>
      <c r="D7" s="137">
        <f t="shared" si="0"/>
        <v>7882</v>
      </c>
      <c r="E7" s="137">
        <f>SUM(E5:E6)</f>
        <v>139811</v>
      </c>
      <c r="F7" s="137">
        <f t="shared" si="0"/>
        <v>70304</v>
      </c>
      <c r="G7" s="137">
        <f t="shared" si="0"/>
        <v>17019</v>
      </c>
      <c r="H7" s="137">
        <f t="shared" si="0"/>
        <v>23196</v>
      </c>
      <c r="I7" s="137">
        <f t="shared" si="0"/>
        <v>0</v>
      </c>
      <c r="J7" s="137">
        <f t="shared" si="0"/>
        <v>0</v>
      </c>
      <c r="K7" s="137">
        <f t="shared" si="0"/>
        <v>0</v>
      </c>
      <c r="L7" s="138">
        <f>SUM(L5:L6)</f>
        <v>299810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America'!$DN$27</f>
        <v>0</v>
      </c>
      <c r="C10" s="135">
        <f>'[3]Shuttle America_Delta'!$DN$27</f>
        <v>412</v>
      </c>
      <c r="D10" s="135">
        <f>[3]AirCanada!$DN$37</f>
        <v>40</v>
      </c>
      <c r="E10" s="22">
        <f>[3]Compass!$DN$27+[3]Compass!$DN$37</f>
        <v>1988</v>
      </c>
      <c r="F10" s="22">
        <f>'[3]Atlantic Southeast'!$DN$27+'[3]Atlantic Southeast'!$DN$37</f>
        <v>1044</v>
      </c>
      <c r="G10" s="135">
        <f>'[3]Continental Express'!$DN$27</f>
        <v>290</v>
      </c>
      <c r="H10" s="134">
        <f>'[3]Go Jet_UA'!$DN$27</f>
        <v>255</v>
      </c>
      <c r="I10" s="134">
        <f>'[3]Go Jet'!$DN$27</f>
        <v>0</v>
      </c>
      <c r="J10" s="136">
        <f>'[3]Air Wisconsin'!$DN$27</f>
        <v>0</v>
      </c>
      <c r="K10" s="134">
        <f>[3]MESA!$DN$27</f>
        <v>0</v>
      </c>
      <c r="L10" s="113">
        <f>SUM(B10:K10)</f>
        <v>4029</v>
      </c>
    </row>
    <row r="11" spans="1:12" x14ac:dyDescent="0.2">
      <c r="A11" s="65" t="s">
        <v>36</v>
      </c>
      <c r="B11" s="135">
        <f>'[3]Shuttle America'!$DN$28</f>
        <v>0</v>
      </c>
      <c r="C11" s="135">
        <f>'[3]Shuttle America_Delta'!$DN$28</f>
        <v>436</v>
      </c>
      <c r="D11" s="135">
        <f>[3]AirCanada!$DN$38</f>
        <v>36</v>
      </c>
      <c r="E11" s="14">
        <f>[3]Compass!$DN$28+[3]Compass!$DN$38</f>
        <v>2135</v>
      </c>
      <c r="F11" s="14">
        <f>'[3]Atlantic Southeast'!$DN$28+'[3]Atlantic Southeast'!$DN$38</f>
        <v>879</v>
      </c>
      <c r="G11" s="135">
        <f>'[3]Continental Express'!$DN$28</f>
        <v>282</v>
      </c>
      <c r="H11" s="134">
        <f>'[3]Go Jet_UA'!$DN$28</f>
        <v>188</v>
      </c>
      <c r="I11" s="134">
        <f>'[3]Go Jet'!$DN$28</f>
        <v>0</v>
      </c>
      <c r="J11" s="136">
        <f>'[3]Air Wisconsin'!$DN$28</f>
        <v>0</v>
      </c>
      <c r="K11" s="134">
        <f>[3]MESA!$DN$28</f>
        <v>0</v>
      </c>
      <c r="L11" s="119">
        <f>SUM(B11:K11)</f>
        <v>3956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848</v>
      </c>
      <c r="D12" s="140">
        <f t="shared" ref="D12:K12" si="1">SUM(D10:D11)</f>
        <v>76</v>
      </c>
      <c r="E12" s="140">
        <f t="shared" si="1"/>
        <v>4123</v>
      </c>
      <c r="F12" s="140">
        <f t="shared" si="1"/>
        <v>1923</v>
      </c>
      <c r="G12" s="140">
        <f t="shared" si="1"/>
        <v>572</v>
      </c>
      <c r="H12" s="140">
        <f t="shared" si="1"/>
        <v>443</v>
      </c>
      <c r="I12" s="140">
        <f t="shared" si="1"/>
        <v>0</v>
      </c>
      <c r="J12" s="140">
        <f t="shared" si="1"/>
        <v>0</v>
      </c>
      <c r="K12" s="140">
        <f t="shared" si="1"/>
        <v>0</v>
      </c>
      <c r="L12" s="141">
        <f>SUM(B12:K12)</f>
        <v>7985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America'!$DN$4</f>
        <v>139</v>
      </c>
      <c r="C15" s="109">
        <f>'[3]Shuttle America_Delta'!$DN$4</f>
        <v>190</v>
      </c>
      <c r="D15" s="110">
        <f>[3]AirCanada!$DN$15</f>
        <v>88</v>
      </c>
      <c r="E15" s="22">
        <f>[3]Compass!$DN$4+[3]Compass!$DN$15</f>
        <v>1099</v>
      </c>
      <c r="F15" s="110">
        <f>'[3]Atlantic Southeast'!$DN$4+'[3]Atlantic Southeast'!$DN$15</f>
        <v>592</v>
      </c>
      <c r="G15" s="110">
        <f>'[3]Continental Express'!$DN$4</f>
        <v>194</v>
      </c>
      <c r="H15" s="109">
        <f>'[3]Go Jet_UA'!$DN$4</f>
        <v>178</v>
      </c>
      <c r="I15" s="109">
        <f>'[3]Go Jet'!$DN$4</f>
        <v>0</v>
      </c>
      <c r="J15" s="111">
        <f>'[3]Air Wisconsin'!$DN$4</f>
        <v>0</v>
      </c>
      <c r="K15" s="109">
        <f>[3]MESA!$DN$4</f>
        <v>0</v>
      </c>
      <c r="L15" s="113">
        <f t="shared" ref="L15:L21" si="2">SUM(B15:K15)</f>
        <v>2480</v>
      </c>
    </row>
    <row r="16" spans="1:12" x14ac:dyDescent="0.2">
      <c r="A16" s="65" t="s">
        <v>59</v>
      </c>
      <c r="B16" s="114">
        <f>'[3]Shuttle America'!$DN$5</f>
        <v>139</v>
      </c>
      <c r="C16" s="114">
        <f>'[3]Shuttle America_Delta'!$DN$5</f>
        <v>190</v>
      </c>
      <c r="D16" s="115">
        <f>[3]AirCanada!$DN$16</f>
        <v>88</v>
      </c>
      <c r="E16" s="14">
        <f>[3]Compass!$DN$5+[3]Compass!$DN$16</f>
        <v>1095</v>
      </c>
      <c r="F16" s="115">
        <f>'[3]Atlantic Southeast'!$DN$5+'[3]Atlantic Southeast'!$DN$16</f>
        <v>589</v>
      </c>
      <c r="G16" s="115">
        <f>'[3]Continental Express'!$DN$5</f>
        <v>194</v>
      </c>
      <c r="H16" s="114">
        <f>'[3]Go Jet_UA'!$DN$5</f>
        <v>178</v>
      </c>
      <c r="I16" s="114">
        <f>'[3]Go Jet'!$DN$5</f>
        <v>0</v>
      </c>
      <c r="J16" s="116">
        <f>'[3]Air Wisconsin'!$DN$5</f>
        <v>0</v>
      </c>
      <c r="K16" s="114">
        <f>[3]MESA!$DN$5</f>
        <v>0</v>
      </c>
      <c r="L16" s="119">
        <f t="shared" si="2"/>
        <v>2473</v>
      </c>
    </row>
    <row r="17" spans="1:12" x14ac:dyDescent="0.2">
      <c r="A17" s="74" t="s">
        <v>60</v>
      </c>
      <c r="B17" s="120">
        <f>SUM(B15:B16)</f>
        <v>278</v>
      </c>
      <c r="C17" s="120">
        <f>SUM(C15:C16)</f>
        <v>380</v>
      </c>
      <c r="D17" s="120">
        <f t="shared" ref="D17:K17" si="3">SUM(D15:D16)</f>
        <v>176</v>
      </c>
      <c r="E17" s="291">
        <f>SUM(E15:E16)</f>
        <v>2194</v>
      </c>
      <c r="F17" s="120">
        <f t="shared" si="3"/>
        <v>1181</v>
      </c>
      <c r="G17" s="120">
        <f t="shared" si="3"/>
        <v>388</v>
      </c>
      <c r="H17" s="120">
        <f t="shared" si="3"/>
        <v>356</v>
      </c>
      <c r="I17" s="120">
        <f t="shared" si="3"/>
        <v>0</v>
      </c>
      <c r="J17" s="120">
        <f t="shared" si="3"/>
        <v>0</v>
      </c>
      <c r="K17" s="120">
        <f t="shared" si="3"/>
        <v>0</v>
      </c>
      <c r="L17" s="121">
        <f t="shared" si="2"/>
        <v>4953</v>
      </c>
    </row>
    <row r="18" spans="1:12" x14ac:dyDescent="0.2">
      <c r="A18" s="65" t="s">
        <v>61</v>
      </c>
      <c r="B18" s="122">
        <f>'[3]Shuttle America'!$DN$8</f>
        <v>0</v>
      </c>
      <c r="C18" s="122">
        <f>'[3]Shuttle America_Delta'!$DN$8</f>
        <v>0</v>
      </c>
      <c r="D18" s="122">
        <f>[3]AirCanada!$DN$8</f>
        <v>0</v>
      </c>
      <c r="E18" s="22">
        <f>[3]Compass!$DN$8</f>
        <v>1</v>
      </c>
      <c r="F18" s="112">
        <f>'[3]Atlantic Southeast'!$DN$8</f>
        <v>0</v>
      </c>
      <c r="G18" s="112">
        <f>'[3]Continental Express'!$DN$8</f>
        <v>0</v>
      </c>
      <c r="H18" s="122">
        <f>'[3]Go Jet_UA'!$DN$8</f>
        <v>0</v>
      </c>
      <c r="I18" s="122">
        <f>'[3]Go Jet'!$DN$8</f>
        <v>0</v>
      </c>
      <c r="J18" s="123">
        <f>'[3]Air Wisconsin'!$DN$8</f>
        <v>0</v>
      </c>
      <c r="K18" s="122">
        <f>[3]MESA!$DN$8</f>
        <v>0</v>
      </c>
      <c r="L18" s="113">
        <f t="shared" si="2"/>
        <v>1</v>
      </c>
    </row>
    <row r="19" spans="1:12" x14ac:dyDescent="0.2">
      <c r="A19" s="65" t="s">
        <v>62</v>
      </c>
      <c r="B19" s="124">
        <f>'[3]Shuttle America'!$DN$9</f>
        <v>0</v>
      </c>
      <c r="C19" s="124">
        <f>'[3]Shuttle America_Delta'!$DN$9</f>
        <v>0</v>
      </c>
      <c r="D19" s="124">
        <f>[3]AirCanada!$DN$9</f>
        <v>0</v>
      </c>
      <c r="E19" s="14">
        <f>[3]Compass!$DN$9</f>
        <v>3</v>
      </c>
      <c r="F19" s="117">
        <f>'[3]Atlantic Southeast'!$DN$9</f>
        <v>2</v>
      </c>
      <c r="G19" s="117">
        <f>'[3]Continental Express'!$DN$9</f>
        <v>0</v>
      </c>
      <c r="H19" s="124">
        <f>'[3]Go Jet_UA'!$DN$9</f>
        <v>0</v>
      </c>
      <c r="I19" s="124">
        <f>'[3]Go Jet'!$DN$9</f>
        <v>0</v>
      </c>
      <c r="J19" s="125">
        <f>'[3]Air Wisconsin'!$DN$9</f>
        <v>0</v>
      </c>
      <c r="K19" s="124">
        <f>[3]MESA!$DN$9</f>
        <v>0</v>
      </c>
      <c r="L19" s="119">
        <f t="shared" si="2"/>
        <v>5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4</v>
      </c>
      <c r="F20" s="120">
        <f t="shared" si="4"/>
        <v>2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6</v>
      </c>
    </row>
    <row r="21" spans="1:12" ht="15.75" thickBot="1" x14ac:dyDescent="0.3">
      <c r="A21" s="75" t="s">
        <v>31</v>
      </c>
      <c r="B21" s="126">
        <f>SUM(B20,B17)</f>
        <v>278</v>
      </c>
      <c r="C21" s="126">
        <f>SUM(C20,C17)</f>
        <v>380</v>
      </c>
      <c r="D21" s="126">
        <f t="shared" ref="D21:K21" si="5">SUM(D20,D17)</f>
        <v>176</v>
      </c>
      <c r="E21" s="126">
        <f t="shared" si="5"/>
        <v>2198</v>
      </c>
      <c r="F21" s="126">
        <f t="shared" si="5"/>
        <v>1183</v>
      </c>
      <c r="G21" s="126">
        <f t="shared" si="5"/>
        <v>388</v>
      </c>
      <c r="H21" s="126">
        <f t="shared" si="5"/>
        <v>356</v>
      </c>
      <c r="I21" s="126">
        <f t="shared" si="5"/>
        <v>0</v>
      </c>
      <c r="J21" s="126">
        <f t="shared" si="5"/>
        <v>0</v>
      </c>
      <c r="K21" s="126">
        <f t="shared" si="5"/>
        <v>0</v>
      </c>
      <c r="L21" s="127">
        <f t="shared" si="2"/>
        <v>4959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America'!$DN$47</f>
        <v>0</v>
      </c>
      <c r="C25" s="134">
        <f>'[3]Shuttle America_Delta'!$DN$47</f>
        <v>0</v>
      </c>
      <c r="D25" s="134">
        <f>[3]AirCanada!$DN$47</f>
        <v>0</v>
      </c>
      <c r="E25" s="134">
        <f>[3]Compass!$DN$47</f>
        <v>0</v>
      </c>
      <c r="F25" s="135">
        <f>'[3]Atlantic Southeast'!$DN$47</f>
        <v>0</v>
      </c>
      <c r="G25" s="135">
        <f>'[3]Continental Express'!$DN$47</f>
        <v>0</v>
      </c>
      <c r="H25" s="134">
        <f>'[3]Go Jet_UA'!$DN$47</f>
        <v>0</v>
      </c>
      <c r="I25" s="134">
        <f>'[3]Go Jet'!$DN$47</f>
        <v>0</v>
      </c>
      <c r="J25" s="136">
        <f>'[3]Air Wisconsin'!$DN$47</f>
        <v>0</v>
      </c>
      <c r="K25" s="134">
        <f>[3]MESA!$DN$47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America'!$DN$48</f>
        <v>0</v>
      </c>
      <c r="C26" s="134">
        <f>'[3]Shuttle America_Delta'!$DN$48</f>
        <v>0</v>
      </c>
      <c r="D26" s="134">
        <f>[3]AirCanada!$DN$48</f>
        <v>0</v>
      </c>
      <c r="E26" s="134">
        <f>[3]Compass!$DN$48</f>
        <v>0</v>
      </c>
      <c r="F26" s="135">
        <f>'[3]Atlantic Southeast'!$DN$48</f>
        <v>0</v>
      </c>
      <c r="G26" s="135">
        <f>'[3]Continental Express'!$DN$48</f>
        <v>0</v>
      </c>
      <c r="H26" s="134">
        <f>'[3]Go Jet_UA'!$DN$48</f>
        <v>0</v>
      </c>
      <c r="I26" s="134">
        <f>'[3]Go Jet'!$DN$48</f>
        <v>0</v>
      </c>
      <c r="J26" s="136">
        <f>'[3]Air Wisconsin'!$DN$48</f>
        <v>0</v>
      </c>
      <c r="K26" s="134">
        <f>[3]MESA!$DN$48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America'!$DN$52</f>
        <v>0</v>
      </c>
      <c r="C30" s="134">
        <f>'[3]Shuttle America_Delta'!$DN$52</f>
        <v>0</v>
      </c>
      <c r="D30" s="134">
        <f>[3]AirCanada!$DN$52</f>
        <v>0</v>
      </c>
      <c r="E30" s="134">
        <f>[3]Compass!$DN$52</f>
        <v>0</v>
      </c>
      <c r="F30" s="135">
        <f>'[3]Atlantic Southeast'!$DN$52</f>
        <v>0</v>
      </c>
      <c r="G30" s="135">
        <f>'[3]Continental Express'!$DN$52</f>
        <v>0</v>
      </c>
      <c r="H30" s="134">
        <f>'[3]Go Jet_UA'!$DN$52</f>
        <v>0</v>
      </c>
      <c r="I30" s="134">
        <f>'[3]Go Jet'!$DN$52</f>
        <v>0</v>
      </c>
      <c r="J30" s="136">
        <f>'[3]Air Wisconsin'!BH$52</f>
        <v>0</v>
      </c>
      <c r="K30" s="134">
        <f>[3]MESA!$DN$52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America'!$DN$53</f>
        <v>0</v>
      </c>
      <c r="C31" s="134">
        <f>'[3]Shuttle America_Delta'!$DN$53</f>
        <v>0</v>
      </c>
      <c r="D31" s="134">
        <f>[3]AirCanada!$DN$53</f>
        <v>0</v>
      </c>
      <c r="E31" s="134">
        <f>[3]Compass!$DN$53</f>
        <v>0</v>
      </c>
      <c r="F31" s="135">
        <f>'[3]Atlantic Southeast'!$DN$53</f>
        <v>0</v>
      </c>
      <c r="G31" s="135">
        <f>'[3]Continental Express'!$DN$53</f>
        <v>0</v>
      </c>
      <c r="H31" s="134">
        <f>'[3]Go Jet_UA'!$DN$53</f>
        <v>0</v>
      </c>
      <c r="I31" s="134">
        <f>'[3]Go Jet'!$DN$53</f>
        <v>0</v>
      </c>
      <c r="J31" s="136">
        <f>'[3]Air Wisconsin'!$DN$53</f>
        <v>0</v>
      </c>
      <c r="K31" s="134">
        <f>[3]MESA!$DN$53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America'!$DN$57</f>
        <v>0</v>
      </c>
      <c r="C35" s="134">
        <f>'[3]Shuttle America_Delta'!$DN$57</f>
        <v>0</v>
      </c>
      <c r="D35" s="134">
        <f>[3]AirCanada!$DN$57</f>
        <v>0</v>
      </c>
      <c r="E35" s="134">
        <f>[3]Compass!$DN$57</f>
        <v>0</v>
      </c>
      <c r="F35" s="135">
        <f>'[3]Atlantic Southeast'!$DN$57</f>
        <v>0</v>
      </c>
      <c r="G35" s="135">
        <f>'[3]Continental Express'!$DN$57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America_Delta'!$DN$70+'[3]Shuttle America_Delta'!$DN$73</f>
        <v>4291</v>
      </c>
      <c r="E46" s="328">
        <f>[3]Compass!$DN$70+[3]Compass!$DN$73</f>
        <v>23351</v>
      </c>
      <c r="F46" s="328">
        <f>'[3]Atlantic Southeast'!$DN$70+'[3]Atlantic Southeast'!$DN$73</f>
        <v>12839</v>
      </c>
      <c r="L46" s="409">
        <f>SUM(B46:K46)</f>
        <v>40481</v>
      </c>
    </row>
    <row r="47" spans="1:12" x14ac:dyDescent="0.2">
      <c r="A47" s="410" t="s">
        <v>136</v>
      </c>
      <c r="C47" s="328">
        <f>'[3]Shuttle America_Delta'!$DN$71+'[3]Shuttle America_Delta'!$DN$74</f>
        <v>7152</v>
      </c>
      <c r="E47" s="328">
        <f>[3]Compass!$DN$71+[3]Compass!$DN$74</f>
        <v>46351</v>
      </c>
      <c r="F47" s="328">
        <f>'[3]Atlantic Southeast'!$DN$71+'[3]Atlantic Southeast'!$DN$74</f>
        <v>22432</v>
      </c>
      <c r="L47" s="409">
        <f>SUM(B47:K47)</f>
        <v>75935</v>
      </c>
    </row>
  </sheetData>
  <phoneticPr fontId="6" type="noConversion"/>
  <printOptions horizontalCentered="1"/>
  <pageMargins left="0.75" right="0.75" top="0.92" bottom="1" header="0.5" footer="0.5"/>
  <pageSetup scale="87" orientation="landscape" r:id="rId1"/>
  <headerFooter alignWithMargins="0">
    <oddHeader>&amp;L
Schedule 5
&amp;CMinneapolis-St. Paul International Airport
&amp;"Arial,Bold"Other Regional
May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B1" workbookViewId="0">
      <selection activeCell="O25" sqref="O25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41760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6"/>
      <c r="C4" s="188"/>
      <c r="D4" s="188"/>
      <c r="E4" s="188"/>
      <c r="F4" s="188"/>
      <c r="G4" s="253"/>
    </row>
    <row r="5" spans="1:17" x14ac:dyDescent="0.2">
      <c r="A5" s="65" t="s">
        <v>33</v>
      </c>
      <c r="B5" s="446">
        <f>'[3]Charter Misc'!$DN$22</f>
        <v>296</v>
      </c>
      <c r="C5" s="188">
        <f>[3]Ryan!$DN$22</f>
        <v>0</v>
      </c>
      <c r="D5" s="188">
        <f>'[3]Charter Misc'!$DN$32</f>
        <v>0</v>
      </c>
      <c r="E5" s="188">
        <f>[3]Omni!$DN$32</f>
        <v>0</v>
      </c>
      <c r="F5" s="188">
        <f>[3]Xtra!$DN$32+[3]Xtra!$DN$22</f>
        <v>0</v>
      </c>
      <c r="G5" s="340">
        <f>SUM(B5:F5)</f>
        <v>296</v>
      </c>
    </row>
    <row r="6" spans="1:17" x14ac:dyDescent="0.2">
      <c r="A6" s="65" t="s">
        <v>34</v>
      </c>
      <c r="B6" s="447">
        <f>'[3]Charter Misc'!$DN$23</f>
        <v>298</v>
      </c>
      <c r="C6" s="191">
        <f>[3]Ryan!$DN$23</f>
        <v>0</v>
      </c>
      <c r="D6" s="191">
        <f>'[3]Charter Misc'!$DN$33</f>
        <v>0</v>
      </c>
      <c r="E6" s="191">
        <f>[3]Omni!$DN$33</f>
        <v>0</v>
      </c>
      <c r="F6" s="191">
        <f>[3]Xtra!$DN$33+[3]Xtra!$DN$23</f>
        <v>0</v>
      </c>
      <c r="G6" s="339">
        <f>SUM(B6:F6)</f>
        <v>298</v>
      </c>
    </row>
    <row r="7" spans="1:17" ht="15.75" thickBot="1" x14ac:dyDescent="0.3">
      <c r="A7" s="187" t="s">
        <v>7</v>
      </c>
      <c r="B7" s="448">
        <f>SUM(B5:B6)</f>
        <v>594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594</v>
      </c>
    </row>
    <row r="8" spans="1:17" ht="13.5" thickBot="1" x14ac:dyDescent="0.25"/>
    <row r="9" spans="1:17" x14ac:dyDescent="0.2">
      <c r="A9" s="185" t="s">
        <v>9</v>
      </c>
      <c r="B9" s="449"/>
      <c r="C9" s="47"/>
      <c r="D9" s="47"/>
      <c r="E9" s="47"/>
      <c r="F9" s="47"/>
      <c r="G9" s="60"/>
    </row>
    <row r="10" spans="1:17" x14ac:dyDescent="0.2">
      <c r="A10" s="186" t="s">
        <v>85</v>
      </c>
      <c r="B10" s="446">
        <f>'[3]Charter Misc'!$DN$4</f>
        <v>2</v>
      </c>
      <c r="C10" s="188">
        <f>[3]Ryan!$DN$4</f>
        <v>0</v>
      </c>
      <c r="D10" s="188">
        <f>'[3]Charter Misc'!$DN$15</f>
        <v>0</v>
      </c>
      <c r="E10" s="188">
        <f>[3]Omni!$DN$15</f>
        <v>0</v>
      </c>
      <c r="F10" s="188">
        <f>[3]Xtra!$DN$15+[3]Xtra!$DN$4</f>
        <v>0</v>
      </c>
      <c r="G10" s="339">
        <f>SUM(B10:F10)</f>
        <v>2</v>
      </c>
    </row>
    <row r="11" spans="1:17" x14ac:dyDescent="0.2">
      <c r="A11" s="186" t="s">
        <v>86</v>
      </c>
      <c r="B11" s="446">
        <f>'[3]Charter Misc'!$DN$5</f>
        <v>4</v>
      </c>
      <c r="C11" s="188">
        <f>[3]Ryan!$DN$5</f>
        <v>0</v>
      </c>
      <c r="D11" s="188">
        <f>'[3]Charter Misc'!$DN$16</f>
        <v>0</v>
      </c>
      <c r="E11" s="188">
        <f>[3]Omni!$DN$16</f>
        <v>0</v>
      </c>
      <c r="F11" s="188">
        <f>[3]Xtra!$DN$16+[3]Xtra!$DN$5</f>
        <v>0</v>
      </c>
      <c r="G11" s="339">
        <f>SUM(B11:F11)</f>
        <v>4</v>
      </c>
    </row>
    <row r="12" spans="1:17" ht="15.75" thickBot="1" x14ac:dyDescent="0.3">
      <c r="A12" s="282" t="s">
        <v>31</v>
      </c>
      <c r="B12" s="450">
        <f>SUM(B10:B11)</f>
        <v>6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6</v>
      </c>
      <c r="Q12" s="134"/>
    </row>
    <row r="17" spans="1:16" x14ac:dyDescent="0.2">
      <c r="B17" s="487" t="s">
        <v>175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90" t="s">
        <v>132</v>
      </c>
      <c r="C19" s="491"/>
      <c r="D19" s="491"/>
      <c r="E19" s="492"/>
      <c r="G19" s="490" t="s">
        <v>133</v>
      </c>
      <c r="H19" s="493"/>
      <c r="I19" s="493"/>
      <c r="J19" s="494"/>
      <c r="L19" s="495" t="s">
        <v>134</v>
      </c>
      <c r="M19" s="496"/>
      <c r="N19" s="496"/>
      <c r="O19" s="497"/>
    </row>
    <row r="20" spans="1:16" ht="13.5" thickBot="1" x14ac:dyDescent="0.25">
      <c r="A20" s="241" t="s">
        <v>111</v>
      </c>
      <c r="B20" s="465" t="s">
        <v>112</v>
      </c>
      <c r="C20" s="8" t="s">
        <v>113</v>
      </c>
      <c r="D20" s="8" t="s">
        <v>196</v>
      </c>
      <c r="E20" s="8" t="s">
        <v>189</v>
      </c>
      <c r="F20" s="476" t="s">
        <v>107</v>
      </c>
      <c r="G20" s="465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5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thickBot="1" x14ac:dyDescent="0.25">
      <c r="A21" s="246" t="s">
        <v>114</v>
      </c>
      <c r="B21" s="462">
        <f>[4]Charter!B21</f>
        <v>109706</v>
      </c>
      <c r="C21" s="461">
        <f>[4]Charter!C21</f>
        <v>106761</v>
      </c>
      <c r="D21" s="461">
        <f t="shared" ref="D21:D32" si="0">SUM(B21:C21)</f>
        <v>216467</v>
      </c>
      <c r="E21" s="475">
        <f>[5]Charter!$D$21</f>
        <v>188869</v>
      </c>
      <c r="F21" s="460">
        <f t="shared" ref="F21:F32" si="1">(D21-E21)/E21</f>
        <v>0.14612244465740803</v>
      </c>
      <c r="G21" s="462">
        <f>[4]Charter!G21</f>
        <v>1158780</v>
      </c>
      <c r="H21" s="461">
        <f>[4]Charter!H21</f>
        <v>1183104</v>
      </c>
      <c r="I21" s="461">
        <f>SUM(G21:H21)</f>
        <v>2341884</v>
      </c>
      <c r="J21" s="463">
        <f>[5]Charter!$I21</f>
        <v>2215560</v>
      </c>
      <c r="K21" s="470">
        <f t="shared" ref="K21:K32" si="2">(I21-J21)/J21</f>
        <v>5.7016736175052811E-2</v>
      </c>
      <c r="L21" s="462">
        <f>[4]Charter!$L$21</f>
        <v>1268486</v>
      </c>
      <c r="M21" s="461">
        <f>[4]Charter!$M$21</f>
        <v>1289865</v>
      </c>
      <c r="N21" s="461">
        <f t="shared" ref="N21:N32" si="3">SUM(L21:M21)</f>
        <v>2558351</v>
      </c>
      <c r="O21" s="473">
        <f>[5]Charter!$N$21</f>
        <v>2404429</v>
      </c>
      <c r="P21" s="247">
        <f>(N21-O21)/O21</f>
        <v>6.4016030417200928E-2</v>
      </c>
    </row>
    <row r="22" spans="1:16" ht="14.1" customHeight="1" thickBot="1" x14ac:dyDescent="0.25">
      <c r="A22" s="248" t="s">
        <v>115</v>
      </c>
      <c r="B22" s="462">
        <f>[6]Charter!B22</f>
        <v>109972</v>
      </c>
      <c r="C22" s="461">
        <f>[6]Charter!C22</f>
        <v>111618</v>
      </c>
      <c r="D22" s="461">
        <f>SUM(B22:C22)</f>
        <v>221590</v>
      </c>
      <c r="E22" s="464">
        <f>[7]Charter!$D22</f>
        <v>206738</v>
      </c>
      <c r="F22" s="466">
        <f t="shared" si="1"/>
        <v>7.1839719838636337E-2</v>
      </c>
      <c r="G22" s="462">
        <f>[6]Charter!G22</f>
        <v>1106888</v>
      </c>
      <c r="H22" s="461">
        <f>[6]Charter!H22</f>
        <v>1123416</v>
      </c>
      <c r="I22" s="461">
        <f>SUM(G22:H22)</f>
        <v>2230304</v>
      </c>
      <c r="J22" s="463">
        <f>[7]Charter!$I22</f>
        <v>2137287</v>
      </c>
      <c r="K22" s="471">
        <f t="shared" si="2"/>
        <v>4.3521061981848949E-2</v>
      </c>
      <c r="L22" s="462">
        <f>[6]Charter!$L22</f>
        <v>1216860</v>
      </c>
      <c r="M22" s="461">
        <f>[6]Charter!$M22</f>
        <v>1235034</v>
      </c>
      <c r="N22" s="461">
        <f>SUM(L22:M22)</f>
        <v>2451894</v>
      </c>
      <c r="O22" s="474">
        <f>[7]Charter!$N22</f>
        <v>2344025</v>
      </c>
      <c r="P22" s="249">
        <f t="shared" ref="P22:P32" si="4">(N22-O22)/O22</f>
        <v>4.6018707138362432E-2</v>
      </c>
    </row>
    <row r="23" spans="1:16" ht="14.1" customHeight="1" thickBot="1" x14ac:dyDescent="0.25">
      <c r="A23" s="248" t="s">
        <v>116</v>
      </c>
      <c r="B23" s="462">
        <f>[8]Charter!B23</f>
        <v>147446</v>
      </c>
      <c r="C23" s="461">
        <f>[8]Charter!C23</f>
        <v>144943</v>
      </c>
      <c r="D23" s="461">
        <f t="shared" si="0"/>
        <v>292389</v>
      </c>
      <c r="E23" s="464">
        <f>[9]Charter!$D23</f>
        <v>270939</v>
      </c>
      <c r="F23" s="467">
        <f t="shared" si="1"/>
        <v>7.9169111866508698E-2</v>
      </c>
      <c r="G23" s="462">
        <f>[8]Charter!G23</f>
        <v>1458223</v>
      </c>
      <c r="H23" s="461">
        <f>[8]Charter!H23</f>
        <v>1470796</v>
      </c>
      <c r="I23" s="461">
        <f>SUM(G23:H23)</f>
        <v>2929019</v>
      </c>
      <c r="J23" s="463">
        <f>[9]Charter!$I23</f>
        <v>2750397</v>
      </c>
      <c r="K23" s="471">
        <f t="shared" si="2"/>
        <v>6.4944078982052414E-2</v>
      </c>
      <c r="L23" s="462">
        <f>[8]Charter!$L23</f>
        <v>1605669</v>
      </c>
      <c r="M23" s="461">
        <f>[8]Charter!$M23</f>
        <v>1615739</v>
      </c>
      <c r="N23" s="461">
        <f>SUM(L23:M23)</f>
        <v>3221408</v>
      </c>
      <c r="O23" s="474">
        <f>[9]Charter!$N23</f>
        <v>3021336</v>
      </c>
      <c r="P23" s="249">
        <f t="shared" si="4"/>
        <v>6.6219712074393575E-2</v>
      </c>
    </row>
    <row r="24" spans="1:16" ht="14.1" customHeight="1" thickBot="1" x14ac:dyDescent="0.25">
      <c r="A24" s="248" t="s">
        <v>117</v>
      </c>
      <c r="B24" s="462">
        <f>[2]Charter!B24</f>
        <v>96003</v>
      </c>
      <c r="C24" s="461">
        <f>[2]Charter!C24</f>
        <v>84563</v>
      </c>
      <c r="D24" s="461">
        <f>SUM(B24:C24)</f>
        <v>180566</v>
      </c>
      <c r="E24" s="464">
        <f>[10]Charter!$D24</f>
        <v>163833</v>
      </c>
      <c r="F24" s="467">
        <f t="shared" si="1"/>
        <v>0.10213449060934</v>
      </c>
      <c r="G24" s="462">
        <f>[2]Charter!G24</f>
        <v>1355032</v>
      </c>
      <c r="H24" s="461">
        <f>[2]Charter!H24</f>
        <v>1280528</v>
      </c>
      <c r="I24" s="461">
        <f>SUM(G24:H24)</f>
        <v>2635560</v>
      </c>
      <c r="J24" s="463">
        <f>[10]Charter!$I24</f>
        <v>2509733</v>
      </c>
      <c r="K24" s="471">
        <f t="shared" si="2"/>
        <v>5.0135612035224465E-2</v>
      </c>
      <c r="L24" s="462">
        <f>[2]Charter!$L24</f>
        <v>1451035</v>
      </c>
      <c r="M24" s="461">
        <f>[2]Charter!$M24</f>
        <v>1365091</v>
      </c>
      <c r="N24" s="461">
        <f>SUM(L24:M24)</f>
        <v>2816126</v>
      </c>
      <c r="O24" s="474">
        <f>[10]Charter!$N24</f>
        <v>2673566</v>
      </c>
      <c r="P24" s="249">
        <f t="shared" si="4"/>
        <v>5.3322042545424352E-2</v>
      </c>
    </row>
    <row r="25" spans="1:16" ht="14.1" customHeight="1" x14ac:dyDescent="0.2">
      <c r="A25" s="239" t="s">
        <v>81</v>
      </c>
      <c r="B25" s="462">
        <f>'Intl Detail'!$M$4+'Intl Detail'!$M$9</f>
        <v>85920</v>
      </c>
      <c r="C25" s="461">
        <f>'Intl Detail'!$M$5+'Intl Detail'!$M$10</f>
        <v>92667</v>
      </c>
      <c r="D25" s="461">
        <f>SUM(B25:C25)</f>
        <v>178587</v>
      </c>
      <c r="E25" s="464">
        <f>[1]Charter!$D25</f>
        <v>177686</v>
      </c>
      <c r="F25" s="468">
        <f t="shared" si="1"/>
        <v>5.0707427709555056E-3</v>
      </c>
      <c r="G25" s="462">
        <f>L25-B25</f>
        <v>1403714</v>
      </c>
      <c r="H25" s="461">
        <f>M25-C25</f>
        <v>1368650</v>
      </c>
      <c r="I25" s="461">
        <f>SUM(G25:H25)</f>
        <v>2772364</v>
      </c>
      <c r="J25" s="463">
        <f>[1]Charter!$I25</f>
        <v>2673501</v>
      </c>
      <c r="K25" s="472">
        <f t="shared" si="2"/>
        <v>3.697885282257235E-2</v>
      </c>
      <c r="L25" s="462">
        <f>'Monthly Summary'!$B$11</f>
        <v>1489634</v>
      </c>
      <c r="M25" s="461">
        <f>+'Monthly Summary'!$C$11</f>
        <v>1461317</v>
      </c>
      <c r="N25" s="461">
        <f>SUM(L25:M25)</f>
        <v>2950951</v>
      </c>
      <c r="O25" s="474">
        <f>[1]Charter!$N25</f>
        <v>2851187</v>
      </c>
      <c r="P25" s="242">
        <f t="shared" si="4"/>
        <v>3.499033911139466E-2</v>
      </c>
    </row>
    <row r="26" spans="1:16" ht="14.1" customHeight="1" x14ac:dyDescent="0.2">
      <c r="A26" s="248" t="s">
        <v>118</v>
      </c>
      <c r="B26" s="462"/>
      <c r="C26" s="461"/>
      <c r="D26" s="461">
        <f t="shared" si="0"/>
        <v>0</v>
      </c>
      <c r="E26" s="464"/>
      <c r="F26" s="467" t="e">
        <f t="shared" si="1"/>
        <v>#DIV/0!</v>
      </c>
      <c r="G26" s="462"/>
      <c r="H26" s="461"/>
      <c r="I26" s="461">
        <f t="shared" ref="I26:I32" si="5">SUM(G26:H26)</f>
        <v>0</v>
      </c>
      <c r="J26" s="464"/>
      <c r="K26" s="471" t="e">
        <f t="shared" si="2"/>
        <v>#DIV/0!</v>
      </c>
      <c r="L26" s="462"/>
      <c r="M26" s="461"/>
      <c r="N26" s="461">
        <f t="shared" si="3"/>
        <v>0</v>
      </c>
      <c r="O26" s="464"/>
      <c r="P26" s="249" t="e">
        <f t="shared" si="4"/>
        <v>#DIV/0!</v>
      </c>
    </row>
    <row r="27" spans="1:16" ht="14.1" customHeight="1" x14ac:dyDescent="0.2">
      <c r="A27" s="239" t="s">
        <v>119</v>
      </c>
      <c r="B27" s="462"/>
      <c r="C27" s="461"/>
      <c r="D27" s="461">
        <f t="shared" si="0"/>
        <v>0</v>
      </c>
      <c r="E27" s="464"/>
      <c r="F27" s="468" t="e">
        <f t="shared" si="1"/>
        <v>#DIV/0!</v>
      </c>
      <c r="G27" s="462"/>
      <c r="H27" s="461"/>
      <c r="I27" s="461">
        <f t="shared" si="5"/>
        <v>0</v>
      </c>
      <c r="J27" s="464"/>
      <c r="K27" s="472" t="e">
        <f t="shared" si="2"/>
        <v>#DIV/0!</v>
      </c>
      <c r="L27" s="462"/>
      <c r="M27" s="461"/>
      <c r="N27" s="461">
        <f t="shared" si="3"/>
        <v>0</v>
      </c>
      <c r="O27" s="464"/>
      <c r="P27" s="242" t="e">
        <f t="shared" si="4"/>
        <v>#DIV/0!</v>
      </c>
    </row>
    <row r="28" spans="1:16" ht="14.1" customHeight="1" x14ac:dyDescent="0.2">
      <c r="A28" s="248" t="s">
        <v>120</v>
      </c>
      <c r="B28" s="462"/>
      <c r="C28" s="461"/>
      <c r="D28" s="461">
        <f t="shared" si="0"/>
        <v>0</v>
      </c>
      <c r="E28" s="464"/>
      <c r="F28" s="467" t="e">
        <f t="shared" si="1"/>
        <v>#DIV/0!</v>
      </c>
      <c r="G28" s="462"/>
      <c r="H28" s="461"/>
      <c r="I28" s="461">
        <f t="shared" si="5"/>
        <v>0</v>
      </c>
      <c r="J28" s="464"/>
      <c r="K28" s="471" t="e">
        <f t="shared" si="2"/>
        <v>#DIV/0!</v>
      </c>
      <c r="L28" s="462"/>
      <c r="M28" s="461"/>
      <c r="N28" s="461">
        <f t="shared" si="3"/>
        <v>0</v>
      </c>
      <c r="O28" s="464"/>
      <c r="P28" s="249" t="e">
        <f t="shared" si="4"/>
        <v>#DIV/0!</v>
      </c>
    </row>
    <row r="29" spans="1:16" ht="14.1" customHeight="1" x14ac:dyDescent="0.2">
      <c r="A29" s="239" t="s">
        <v>121</v>
      </c>
      <c r="B29" s="462"/>
      <c r="C29" s="461"/>
      <c r="D29" s="461">
        <f t="shared" si="0"/>
        <v>0</v>
      </c>
      <c r="E29" s="464"/>
      <c r="F29" s="468" t="e">
        <f t="shared" si="1"/>
        <v>#DIV/0!</v>
      </c>
      <c r="G29" s="462"/>
      <c r="H29" s="461"/>
      <c r="I29" s="461">
        <f t="shared" si="5"/>
        <v>0</v>
      </c>
      <c r="J29" s="464"/>
      <c r="K29" s="472" t="e">
        <f t="shared" si="2"/>
        <v>#DIV/0!</v>
      </c>
      <c r="L29" s="462"/>
      <c r="M29" s="461"/>
      <c r="N29" s="461">
        <f t="shared" si="3"/>
        <v>0</v>
      </c>
      <c r="O29" s="464"/>
      <c r="P29" s="242" t="e">
        <f t="shared" si="4"/>
        <v>#DIV/0!</v>
      </c>
    </row>
    <row r="30" spans="1:16" ht="14.1" customHeight="1" x14ac:dyDescent="0.2">
      <c r="A30" s="248" t="s">
        <v>122</v>
      </c>
      <c r="B30" s="462"/>
      <c r="C30" s="461"/>
      <c r="D30" s="461">
        <f>SUM(B30:C30)</f>
        <v>0</v>
      </c>
      <c r="E30" s="464"/>
      <c r="F30" s="467" t="e">
        <f t="shared" si="1"/>
        <v>#DIV/0!</v>
      </c>
      <c r="G30" s="462"/>
      <c r="H30" s="461"/>
      <c r="I30" s="461">
        <f>SUM(G30:H30)</f>
        <v>0</v>
      </c>
      <c r="J30" s="464"/>
      <c r="K30" s="471" t="e">
        <f t="shared" si="2"/>
        <v>#DIV/0!</v>
      </c>
      <c r="L30" s="462"/>
      <c r="M30" s="461"/>
      <c r="N30" s="461">
        <f>SUM(L30:M30)</f>
        <v>0</v>
      </c>
      <c r="O30" s="464"/>
      <c r="P30" s="249" t="e">
        <f t="shared" si="4"/>
        <v>#DIV/0!</v>
      </c>
    </row>
    <row r="31" spans="1:16" ht="14.1" customHeight="1" x14ac:dyDescent="0.2">
      <c r="A31" s="239" t="s">
        <v>123</v>
      </c>
      <c r="B31" s="462"/>
      <c r="C31" s="461"/>
      <c r="D31" s="461">
        <f>SUM(B31:C31)</f>
        <v>0</v>
      </c>
      <c r="E31" s="464"/>
      <c r="F31" s="468" t="e">
        <f t="shared" si="1"/>
        <v>#DIV/0!</v>
      </c>
      <c r="G31" s="462"/>
      <c r="H31" s="461"/>
      <c r="I31" s="461">
        <f t="shared" si="5"/>
        <v>0</v>
      </c>
      <c r="J31" s="464"/>
      <c r="K31" s="472" t="e">
        <f t="shared" si="2"/>
        <v>#DIV/0!</v>
      </c>
      <c r="L31" s="462"/>
      <c r="M31" s="461"/>
      <c r="N31" s="461">
        <f>SUM(L31:M31)</f>
        <v>0</v>
      </c>
      <c r="O31" s="464"/>
      <c r="P31" s="242" t="e">
        <f t="shared" si="4"/>
        <v>#DIV/0!</v>
      </c>
    </row>
    <row r="32" spans="1:16" ht="14.1" customHeight="1" x14ac:dyDescent="0.2">
      <c r="A32" s="250" t="s">
        <v>124</v>
      </c>
      <c r="B32" s="462"/>
      <c r="C32" s="461"/>
      <c r="D32" s="461">
        <f t="shared" si="0"/>
        <v>0</v>
      </c>
      <c r="E32" s="464"/>
      <c r="F32" s="469" t="e">
        <f t="shared" si="1"/>
        <v>#DIV/0!</v>
      </c>
      <c r="G32" s="462"/>
      <c r="H32" s="461"/>
      <c r="I32" s="461">
        <f t="shared" si="5"/>
        <v>0</v>
      </c>
      <c r="J32" s="464"/>
      <c r="K32" s="469" t="e">
        <f t="shared" si="2"/>
        <v>#DIV/0!</v>
      </c>
      <c r="L32" s="462"/>
      <c r="M32" s="461"/>
      <c r="N32" s="461">
        <f t="shared" si="3"/>
        <v>0</v>
      </c>
      <c r="O32" s="464"/>
      <c r="P32" s="251" t="e">
        <f t="shared" si="4"/>
        <v>#DIV/0!</v>
      </c>
    </row>
    <row r="33" spans="1:16" ht="13.5" thickBot="1" x14ac:dyDescent="0.25">
      <c r="A33" s="245" t="s">
        <v>82</v>
      </c>
      <c r="B33" s="254">
        <f>SUM(B21:B32)</f>
        <v>549047</v>
      </c>
      <c r="C33" s="255">
        <f>SUM(C21:C32)</f>
        <v>540552</v>
      </c>
      <c r="D33" s="255">
        <f>SUM(D21:D32)</f>
        <v>1089599</v>
      </c>
      <c r="E33" s="256">
        <f>SUM(E21:E32)</f>
        <v>1008065</v>
      </c>
      <c r="F33" s="477">
        <f>(D33-E33)/E33</f>
        <v>8.0881689176789201E-2</v>
      </c>
      <c r="G33" s="257">
        <f>SUM(G21:G32)</f>
        <v>6482637</v>
      </c>
      <c r="H33" s="255">
        <f>SUM(H21:H32)</f>
        <v>6426494</v>
      </c>
      <c r="I33" s="255">
        <f>SUM(I21:I32)</f>
        <v>12909131</v>
      </c>
      <c r="J33" s="258">
        <f>SUM(J21:J32)</f>
        <v>12286478</v>
      </c>
      <c r="K33" s="478">
        <f>(I33-J33)/J33</f>
        <v>5.067790785935563E-2</v>
      </c>
      <c r="L33" s="257">
        <f>SUM(L21:L32)</f>
        <v>7031684</v>
      </c>
      <c r="M33" s="255">
        <f>SUM(M21:M32)</f>
        <v>6967046</v>
      </c>
      <c r="N33" s="255">
        <f>SUM(N21:N32)</f>
        <v>13998730</v>
      </c>
      <c r="O33" s="256">
        <f>SUM(O21:O32)</f>
        <v>13294543</v>
      </c>
      <c r="P33" s="243">
        <f>(N33-O33)/O33</f>
        <v>5.2968123838480194E-2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May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A30" sqref="A30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501" t="s">
        <v>102</v>
      </c>
      <c r="C1" s="502"/>
      <c r="D1" s="502"/>
      <c r="E1" s="502"/>
      <c r="F1" s="264"/>
      <c r="G1" s="501" t="s">
        <v>101</v>
      </c>
      <c r="H1" s="503"/>
      <c r="I1" s="503"/>
      <c r="J1" s="503"/>
      <c r="K1" s="503"/>
      <c r="L1" s="504"/>
    </row>
    <row r="2" spans="1:20" s="195" customFormat="1" ht="30.75" customHeight="1" thickBot="1" x14ac:dyDescent="0.25">
      <c r="A2" s="399">
        <v>41760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216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[3]Airborne!$DN$4</f>
        <v>0</v>
      </c>
      <c r="C4" s="165">
        <f>[3]DHL!$DN$4</f>
        <v>21</v>
      </c>
      <c r="D4" s="165">
        <f>[3]FedEx!$DN$4+[3]FedEx!$DN$15</f>
        <v>94</v>
      </c>
      <c r="E4" s="165">
        <f>[3]UPS!$DN$4</f>
        <v>96</v>
      </c>
      <c r="F4" s="196"/>
      <c r="G4" s="122">
        <f>[3]ATI_BAX!$DN$4</f>
        <v>0</v>
      </c>
      <c r="H4" s="480">
        <f>'[3]Suburban Air Freight'!$DN$15</f>
        <v>21</v>
      </c>
      <c r="I4" s="122">
        <f>[3]Bemidji!$DN$4</f>
        <v>231</v>
      </c>
      <c r="J4" s="122">
        <f>'[3]CSA Air'!$DN$4</f>
        <v>0</v>
      </c>
      <c r="K4" s="122">
        <f>'[3]Mountain Cargo'!$DN$4</f>
        <v>21</v>
      </c>
      <c r="L4" s="122">
        <f>'[3]Misc Cargo'!$DN$4</f>
        <v>26</v>
      </c>
      <c r="M4" s="208">
        <f>SUM(B4:L4)</f>
        <v>510</v>
      </c>
    </row>
    <row r="5" spans="1:20" x14ac:dyDescent="0.2">
      <c r="A5" s="55" t="s">
        <v>59</v>
      </c>
      <c r="B5" s="426">
        <f>[3]Airborne!$DN$5</f>
        <v>0</v>
      </c>
      <c r="C5" s="202">
        <f>[3]DHL!$DN$5</f>
        <v>21</v>
      </c>
      <c r="D5" s="202">
        <f>[3]FedEx!$DN$5</f>
        <v>94</v>
      </c>
      <c r="E5" s="202">
        <f>[3]UPS!$DN$5</f>
        <v>96</v>
      </c>
      <c r="F5" s="196"/>
      <c r="G5" s="124">
        <f>[3]ATI_BAX!$DN$5</f>
        <v>0</v>
      </c>
      <c r="H5" s="124">
        <f>'[3]Suburban Air Freight'!$DN$16</f>
        <v>21</v>
      </c>
      <c r="I5" s="124">
        <f>[3]Bemidji!$DN$5</f>
        <v>231</v>
      </c>
      <c r="J5" s="124">
        <f>'[3]CSA Air'!$DN$5</f>
        <v>0</v>
      </c>
      <c r="K5" s="124">
        <f>'[3]Mountain Cargo'!$DN$5</f>
        <v>21</v>
      </c>
      <c r="L5" s="124">
        <f>'[3]Misc Cargo'!$DN$5</f>
        <v>26</v>
      </c>
      <c r="M5" s="212">
        <f>SUM(B5:L5)</f>
        <v>510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42</v>
      </c>
      <c r="D6" s="210">
        <f>SUM(D4:D5)</f>
        <v>188</v>
      </c>
      <c r="E6" s="210">
        <f>SUM(E4:E5)</f>
        <v>192</v>
      </c>
      <c r="F6" s="197"/>
      <c r="G6" s="192">
        <f t="shared" ref="G6:L6" si="0">SUM(G4:G5)</f>
        <v>0</v>
      </c>
      <c r="H6" s="192">
        <f t="shared" si="0"/>
        <v>42</v>
      </c>
      <c r="I6" s="192">
        <f t="shared" si="0"/>
        <v>462</v>
      </c>
      <c r="J6" s="192">
        <f t="shared" si="0"/>
        <v>0</v>
      </c>
      <c r="K6" s="192">
        <f t="shared" si="0"/>
        <v>42</v>
      </c>
      <c r="L6" s="192">
        <f t="shared" si="0"/>
        <v>52</v>
      </c>
      <c r="M6" s="211">
        <f>SUM(B6:L6)</f>
        <v>1020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[3]Airborne!$DN$8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Cargo'!$DN$8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[3]Airborne!$DN$9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Cargo'!$DN$9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42</v>
      </c>
      <c r="D12" s="214">
        <f>D6+D10</f>
        <v>188</v>
      </c>
      <c r="E12" s="214">
        <f>E6+E10</f>
        <v>192</v>
      </c>
      <c r="F12" s="215"/>
      <c r="G12" s="216">
        <f t="shared" ref="G12:L12" si="2">G6+G10</f>
        <v>0</v>
      </c>
      <c r="H12" s="216">
        <f t="shared" si="2"/>
        <v>42</v>
      </c>
      <c r="I12" s="216">
        <f t="shared" si="2"/>
        <v>462</v>
      </c>
      <c r="J12" s="216">
        <f t="shared" si="2"/>
        <v>0</v>
      </c>
      <c r="K12" s="216">
        <f t="shared" si="2"/>
        <v>42</v>
      </c>
      <c r="L12" s="216">
        <f t="shared" si="2"/>
        <v>52</v>
      </c>
      <c r="M12" s="217">
        <f>SUM(B12:L12)</f>
        <v>1020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[3]Airborne!$DN$47</f>
        <v>0</v>
      </c>
      <c r="C16" s="165">
        <f>[3]DHL!$DN$47</f>
        <v>640586</v>
      </c>
      <c r="D16" s="165">
        <f>[3]FedEx!$DN$47</f>
        <v>5924657</v>
      </c>
      <c r="E16" s="165">
        <f>[3]UPS!$DN$47</f>
        <v>5393153</v>
      </c>
      <c r="F16" s="196"/>
      <c r="G16" s="122">
        <f>[3]ATI_BAX!$DN$47</f>
        <v>0</v>
      </c>
      <c r="H16" s="122">
        <f>'[3]Suburban Air Freight'!$DN$47</f>
        <v>22042</v>
      </c>
      <c r="I16" s="498" t="s">
        <v>95</v>
      </c>
      <c r="J16" s="122">
        <f>'[3]CSA Air'!$DN$47</f>
        <v>0</v>
      </c>
      <c r="K16" s="122">
        <f>'[3]Mountain Cargo'!$DN$47</f>
        <v>134430</v>
      </c>
      <c r="L16" s="122">
        <f>'[3]Misc Cargo'!$DN$47</f>
        <v>30143</v>
      </c>
      <c r="M16" s="208">
        <f>SUM(B16:H16)+SUM(J16:L16)</f>
        <v>12145011</v>
      </c>
    </row>
    <row r="17" spans="1:14" x14ac:dyDescent="0.2">
      <c r="A17" s="55" t="s">
        <v>41</v>
      </c>
      <c r="B17" s="252">
        <f>[3]Airborne!$DN$48</f>
        <v>0</v>
      </c>
      <c r="C17" s="165">
        <f>[3]DHL!$DN$48</f>
        <v>0</v>
      </c>
      <c r="D17" s="165">
        <f>[3]FedEx!$DN$48</f>
        <v>0</v>
      </c>
      <c r="E17" s="165">
        <f>[3]UPS!$DN$48</f>
        <v>9948</v>
      </c>
      <c r="F17" s="196"/>
      <c r="G17" s="122">
        <f>[3]ATI_BAX!$DN$48</f>
        <v>0</v>
      </c>
      <c r="H17" s="122">
        <f>'[3]Suburban Air Freight'!$DN$48</f>
        <v>0</v>
      </c>
      <c r="I17" s="499"/>
      <c r="J17" s="122">
        <f>'[3]CSA Air'!$DN$48</f>
        <v>0</v>
      </c>
      <c r="K17" s="122">
        <f>'[3]Mountain Cargo'!$DN$48</f>
        <v>0</v>
      </c>
      <c r="L17" s="122">
        <f>'[3]Misc Cargo'!$DN$48</f>
        <v>0</v>
      </c>
      <c r="M17" s="208">
        <f t="shared" ref="M17:M18" si="3">SUM(B17:H17)+SUM(J17:L17)</f>
        <v>9948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640586</v>
      </c>
      <c r="D18" s="308">
        <f>SUM(D16:D17)</f>
        <v>5924657</v>
      </c>
      <c r="E18" s="308">
        <f>SUM(E16:E17)</f>
        <v>5403101</v>
      </c>
      <c r="F18" s="201"/>
      <c r="G18" s="309">
        <f>SUM(G16:G17)</f>
        <v>0</v>
      </c>
      <c r="H18" s="309">
        <f>SUM(H16:H17)</f>
        <v>22042</v>
      </c>
      <c r="I18" s="499"/>
      <c r="J18" s="309">
        <f>SUM(J16:J17)</f>
        <v>0</v>
      </c>
      <c r="K18" s="309">
        <f>SUM(K16:K17)</f>
        <v>134430</v>
      </c>
      <c r="L18" s="309">
        <f>SUM(L16:L17)</f>
        <v>30143</v>
      </c>
      <c r="M18" s="224">
        <f t="shared" si="3"/>
        <v>12154959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9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9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[3]Airborne!$DN$52</f>
        <v>0</v>
      </c>
      <c r="C21" s="165">
        <f>[3]DHL!$DN$52</f>
        <v>424392</v>
      </c>
      <c r="D21" s="165">
        <f>[3]FedEx!$DN$52</f>
        <v>8739983</v>
      </c>
      <c r="E21" s="165">
        <f>[3]UPS!$DN$52</f>
        <v>4970978</v>
      </c>
      <c r="F21" s="196"/>
      <c r="G21" s="122">
        <f>[3]ATI_BAX!$DN$52</f>
        <v>0</v>
      </c>
      <c r="H21" s="122">
        <f>'[3]Suburban Air Freight'!$DN$52</f>
        <v>56530</v>
      </c>
      <c r="I21" s="499"/>
      <c r="J21" s="122">
        <f>'[3]CSA Air'!$DN$52</f>
        <v>0</v>
      </c>
      <c r="K21" s="122">
        <f>'[3]Mountain Cargo'!$DN$52</f>
        <v>37420</v>
      </c>
      <c r="L21" s="122">
        <f>'[3]Misc Cargo'!$DN$52</f>
        <v>38796</v>
      </c>
      <c r="M21" s="208">
        <f t="shared" ref="M21:M23" si="4">SUM(B21:H21)+SUM(J21:L21)</f>
        <v>14268099</v>
      </c>
    </row>
    <row r="22" spans="1:14" x14ac:dyDescent="0.2">
      <c r="A22" s="55" t="s">
        <v>65</v>
      </c>
      <c r="B22" s="252">
        <f>[3]Airborne!$DN$53</f>
        <v>0</v>
      </c>
      <c r="C22" s="165">
        <f>[3]DHL!$DN$53</f>
        <v>0</v>
      </c>
      <c r="D22" s="165">
        <f>[3]FedEx!$DN$53</f>
        <v>0</v>
      </c>
      <c r="E22" s="165">
        <f>[3]UPS!$DN$53</f>
        <v>82482</v>
      </c>
      <c r="F22" s="196"/>
      <c r="G22" s="122">
        <f>[3]ATI_BAX!$DN$53</f>
        <v>0</v>
      </c>
      <c r="H22" s="122">
        <f>'[3]Suburban Air Freight'!$DN$53</f>
        <v>0</v>
      </c>
      <c r="I22" s="499"/>
      <c r="J22" s="122">
        <f>'[3]CSA Air'!$DN$53</f>
        <v>0</v>
      </c>
      <c r="K22" s="122">
        <f>'[3]Mountain Cargo'!$DN$53</f>
        <v>0</v>
      </c>
      <c r="L22" s="122">
        <f>'[3]Misc Cargo'!$DN$53</f>
        <v>0</v>
      </c>
      <c r="M22" s="208">
        <f t="shared" si="4"/>
        <v>82482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424392</v>
      </c>
      <c r="D23" s="308">
        <f>SUM(D21:D22)</f>
        <v>8739983</v>
      </c>
      <c r="E23" s="308">
        <f>SUM(E21:E22)</f>
        <v>5053460</v>
      </c>
      <c r="F23" s="201"/>
      <c r="G23" s="309">
        <f>SUM(G21:G22)</f>
        <v>0</v>
      </c>
      <c r="H23" s="309">
        <f>SUM(H21:H22)</f>
        <v>56530</v>
      </c>
      <c r="I23" s="499"/>
      <c r="J23" s="309">
        <f>SUM(J21:J22)</f>
        <v>0</v>
      </c>
      <c r="K23" s="309">
        <f>SUM(K21:K22)</f>
        <v>37420</v>
      </c>
      <c r="L23" s="309">
        <f>SUM(L21:L22)</f>
        <v>38796</v>
      </c>
      <c r="M23" s="224">
        <f t="shared" si="4"/>
        <v>14350581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9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9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[3]Airborne!$DN$57</f>
        <v>0</v>
      </c>
      <c r="C26" s="165">
        <f>[3]DHL!$DN$57</f>
        <v>0</v>
      </c>
      <c r="D26" s="165">
        <f>[3]FedEx!$DN$57</f>
        <v>0</v>
      </c>
      <c r="E26" s="165">
        <f>[3]UPS!$DN$57</f>
        <v>0</v>
      </c>
      <c r="F26" s="196"/>
      <c r="G26" s="122">
        <f>[3]ATI_BAX!$DN$57</f>
        <v>0</v>
      </c>
      <c r="H26" s="122">
        <f>'[3]Suburban Air Freight'!$DN$57</f>
        <v>0</v>
      </c>
      <c r="I26" s="499"/>
      <c r="J26" s="122">
        <f>'[3]CSA Air'!$DN$57</f>
        <v>0</v>
      </c>
      <c r="K26" s="122">
        <f>'[3]Mountain Cargo'!$DN$57</f>
        <v>0</v>
      </c>
      <c r="L26" s="122">
        <f>'[3]Misc Cargo'!$DN$57</f>
        <v>0</v>
      </c>
      <c r="M26" s="208">
        <f t="shared" ref="M26:M28" si="5">SUM(B26:H26)+SUM(J26:L26)</f>
        <v>0</v>
      </c>
    </row>
    <row r="27" spans="1:14" x14ac:dyDescent="0.2">
      <c r="A27" s="55" t="s">
        <v>65</v>
      </c>
      <c r="B27" s="252">
        <f>[3]Airborne!$DN$58</f>
        <v>0</v>
      </c>
      <c r="C27" s="165">
        <f>[3]DHL!$DN$58</f>
        <v>0</v>
      </c>
      <c r="D27" s="165">
        <f>[3]FedEx!$DN$58</f>
        <v>0</v>
      </c>
      <c r="E27" s="165">
        <f>[3]UPS!$DN$58</f>
        <v>0</v>
      </c>
      <c r="F27" s="196"/>
      <c r="G27" s="122">
        <f>[3]ATI_BAX!$DN$58</f>
        <v>0</v>
      </c>
      <c r="H27" s="122">
        <f>'[3]Suburban Air Freight'!$DN$58</f>
        <v>0</v>
      </c>
      <c r="I27" s="499"/>
      <c r="J27" s="122">
        <f>'[3]CSA Air'!$DN$58</f>
        <v>0</v>
      </c>
      <c r="K27" s="122">
        <f>'[3]Mountain Cargo'!$DN$58</f>
        <v>0</v>
      </c>
      <c r="L27" s="122">
        <f>'[3]Misc Cargo'!$DN$58</f>
        <v>0</v>
      </c>
      <c r="M27" s="208">
        <f t="shared" si="5"/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9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 t="shared" si="5"/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9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9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6">B26+B21+B16</f>
        <v>0</v>
      </c>
      <c r="C31" s="165">
        <f t="shared" si="6"/>
        <v>1064978</v>
      </c>
      <c r="D31" s="165">
        <f t="shared" si="6"/>
        <v>14664640</v>
      </c>
      <c r="E31" s="165">
        <f t="shared" si="6"/>
        <v>10364131</v>
      </c>
      <c r="F31" s="196"/>
      <c r="G31" s="122">
        <f t="shared" ref="G31:H33" si="7">G26+G21+G16</f>
        <v>0</v>
      </c>
      <c r="H31" s="122">
        <f t="shared" si="7"/>
        <v>78572</v>
      </c>
      <c r="I31" s="499"/>
      <c r="J31" s="122">
        <f t="shared" ref="J31:L33" si="8">J26+J21+J16</f>
        <v>0</v>
      </c>
      <c r="K31" s="122">
        <f t="shared" si="8"/>
        <v>171850</v>
      </c>
      <c r="L31" s="122">
        <f>L26+L21+L16</f>
        <v>68939</v>
      </c>
      <c r="M31" s="208">
        <f t="shared" ref="M31:M32" si="9">SUM(B31:H31)+SUM(J31:L31)</f>
        <v>26413110</v>
      </c>
    </row>
    <row r="32" spans="1:14" x14ac:dyDescent="0.2">
      <c r="A32" s="55" t="s">
        <v>65</v>
      </c>
      <c r="B32" s="252">
        <f t="shared" si="6"/>
        <v>0</v>
      </c>
      <c r="C32" s="165">
        <f t="shared" si="6"/>
        <v>0</v>
      </c>
      <c r="D32" s="165">
        <f t="shared" si="6"/>
        <v>0</v>
      </c>
      <c r="E32" s="165">
        <f t="shared" si="6"/>
        <v>92430</v>
      </c>
      <c r="F32" s="196"/>
      <c r="G32" s="122">
        <f t="shared" si="7"/>
        <v>0</v>
      </c>
      <c r="H32" s="122">
        <f t="shared" si="7"/>
        <v>0</v>
      </c>
      <c r="I32" s="500"/>
      <c r="J32" s="122">
        <f t="shared" si="8"/>
        <v>0</v>
      </c>
      <c r="K32" s="122">
        <f t="shared" si="8"/>
        <v>0</v>
      </c>
      <c r="L32" s="122">
        <f>L27+L22+L17</f>
        <v>0</v>
      </c>
      <c r="M32" s="212">
        <f t="shared" si="9"/>
        <v>92430</v>
      </c>
    </row>
    <row r="33" spans="1:13" ht="18" customHeight="1" thickBot="1" x14ac:dyDescent="0.25">
      <c r="A33" s="213" t="s">
        <v>49</v>
      </c>
      <c r="B33" s="428">
        <f t="shared" si="6"/>
        <v>0</v>
      </c>
      <c r="C33" s="214">
        <f t="shared" si="6"/>
        <v>1064978</v>
      </c>
      <c r="D33" s="214">
        <f t="shared" si="6"/>
        <v>14664640</v>
      </c>
      <c r="E33" s="214">
        <f t="shared" si="6"/>
        <v>10456561</v>
      </c>
      <c r="F33" s="227"/>
      <c r="G33" s="216">
        <f t="shared" si="7"/>
        <v>0</v>
      </c>
      <c r="H33" s="216">
        <f t="shared" si="7"/>
        <v>78572</v>
      </c>
      <c r="I33" s="310">
        <f>I28+I23+I18</f>
        <v>0</v>
      </c>
      <c r="J33" s="216">
        <f t="shared" si="8"/>
        <v>0</v>
      </c>
      <c r="K33" s="216">
        <f t="shared" si="8"/>
        <v>171850</v>
      </c>
      <c r="L33" s="216">
        <f t="shared" si="8"/>
        <v>68939</v>
      </c>
      <c r="M33" s="217">
        <f>SUM(B33:H33)+SUM(J33:L33)</f>
        <v>26505540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May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41760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Stats'!H28</f>
        <v>4167747</v>
      </c>
      <c r="C5" s="122">
        <f>'Regional Major'!L25</f>
        <v>0</v>
      </c>
      <c r="D5" s="122">
        <f>Cargo!M16</f>
        <v>12145011</v>
      </c>
      <c r="E5" s="122">
        <f>SUM(B5:D5)</f>
        <v>16312758</v>
      </c>
      <c r="F5" s="122">
        <f>E5*0.00045359237</f>
        <v>7399.3425624564597</v>
      </c>
      <c r="G5" s="150">
        <f>'[1]Cargo Summary'!F5</f>
        <v>7979.4463803731596</v>
      </c>
      <c r="H5" s="101">
        <f>(F5-G5)/G5</f>
        <v>-7.2699757635262319E-2</v>
      </c>
      <c r="I5" s="150">
        <f>+F5+'[2]Cargo Summary'!I5</f>
        <v>35651.667646451009</v>
      </c>
      <c r="J5" s="150">
        <f>'[1]Cargo Summary'!I5</f>
        <v>38175.630226193462</v>
      </c>
      <c r="K5" s="88">
        <f>(I5-J5)/J5</f>
        <v>-6.6114496729661978E-2</v>
      </c>
      <c r="M5" s="37"/>
    </row>
    <row r="6" spans="1:18" x14ac:dyDescent="0.2">
      <c r="A6" s="65" t="s">
        <v>18</v>
      </c>
      <c r="B6" s="173">
        <f>'Major Airline Stats'!H29</f>
        <v>1159843</v>
      </c>
      <c r="C6" s="122">
        <f>'Regional Major'!L26</f>
        <v>0</v>
      </c>
      <c r="D6" s="122">
        <f>Cargo!M17</f>
        <v>9948</v>
      </c>
      <c r="E6" s="122">
        <f>SUM(B6:D6)</f>
        <v>1169791</v>
      </c>
      <c r="F6" s="122">
        <f>E6*0.00045359237</f>
        <v>530.60827209467004</v>
      </c>
      <c r="G6" s="150">
        <f>'[1]Cargo Summary'!F6</f>
        <v>440.75615952136997</v>
      </c>
      <c r="H6" s="39">
        <f>(F6-G6)/G6</f>
        <v>0.20385900601110854</v>
      </c>
      <c r="I6" s="150">
        <f>+F6+'[2]Cargo Summary'!I6</f>
        <v>3016.0912503129098</v>
      </c>
      <c r="J6" s="150">
        <f>'[1]Cargo Summary'!I6</f>
        <v>2310.2724926812298</v>
      </c>
      <c r="K6" s="88">
        <f>(I6-J6)/J6</f>
        <v>0.30551320671810833</v>
      </c>
      <c r="M6" s="37"/>
    </row>
    <row r="7" spans="1:18" ht="18" customHeight="1" thickBot="1" x14ac:dyDescent="0.25">
      <c r="A7" s="76" t="s">
        <v>77</v>
      </c>
      <c r="B7" s="175">
        <f>SUM(B5:B6)</f>
        <v>5327590</v>
      </c>
      <c r="C7" s="137">
        <f t="shared" ref="C7:J7" si="0">SUM(C5:C6)</f>
        <v>0</v>
      </c>
      <c r="D7" s="137">
        <f t="shared" si="0"/>
        <v>12154959</v>
      </c>
      <c r="E7" s="137">
        <f t="shared" si="0"/>
        <v>17482549</v>
      </c>
      <c r="F7" s="137">
        <f t="shared" si="0"/>
        <v>7929.9508345511294</v>
      </c>
      <c r="G7" s="137">
        <f t="shared" si="0"/>
        <v>8420.2025398945298</v>
      </c>
      <c r="H7" s="46">
        <f>(F7-G7)/G7</f>
        <v>-5.8223267554504826E-2</v>
      </c>
      <c r="I7" s="137">
        <f t="shared" si="0"/>
        <v>38667.758896763917</v>
      </c>
      <c r="J7" s="137">
        <f t="shared" si="0"/>
        <v>40485.902718874691</v>
      </c>
      <c r="K7" s="324">
        <f>(I7-J7)/J7</f>
        <v>-4.4908071699316432E-2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Stats'!H33</f>
        <v>4172973</v>
      </c>
      <c r="C10" s="122">
        <f>'Regional Major'!L30</f>
        <v>0</v>
      </c>
      <c r="D10" s="122">
        <f>Cargo!M21</f>
        <v>14268099</v>
      </c>
      <c r="E10" s="122">
        <f>SUM(B10:D10)</f>
        <v>18441072</v>
      </c>
      <c r="F10" s="122">
        <f>E10*0.00045359237</f>
        <v>8364.7295538206399</v>
      </c>
      <c r="G10" s="150">
        <f>'[1]Cargo Summary'!F10</f>
        <v>8644.573366492139</v>
      </c>
      <c r="H10" s="39">
        <f>(F10-G10)/G10</f>
        <v>-3.2372194763968583E-2</v>
      </c>
      <c r="I10" s="150">
        <f>+F10+'[2]Cargo Summary'!I10</f>
        <v>40260.816577109588</v>
      </c>
      <c r="J10" s="150">
        <f>'[1]Cargo Summary'!I10</f>
        <v>37861.028537393606</v>
      </c>
      <c r="K10" s="88">
        <f>(I10-J10)/J10</f>
        <v>6.3384121679257124E-2</v>
      </c>
      <c r="M10" s="37"/>
    </row>
    <row r="11" spans="1:18" x14ac:dyDescent="0.2">
      <c r="A11" s="65" t="s">
        <v>18</v>
      </c>
      <c r="B11" s="173">
        <f>'Major Airline Stats'!H34</f>
        <v>531356</v>
      </c>
      <c r="C11" s="122">
        <f>'Regional Major'!L31</f>
        <v>0</v>
      </c>
      <c r="D11" s="122">
        <f>Cargo!M22</f>
        <v>82482</v>
      </c>
      <c r="E11" s="122">
        <f>SUM(B11:D11)</f>
        <v>613838</v>
      </c>
      <c r="F11" s="122">
        <f>E11*0.00045359237</f>
        <v>278.43223321606001</v>
      </c>
      <c r="G11" s="150">
        <f>'[1]Cargo Summary'!F11</f>
        <v>314.54589693834998</v>
      </c>
      <c r="H11" s="37">
        <f>(F11-G11)/G11</f>
        <v>-0.11481206422911355</v>
      </c>
      <c r="I11" s="150">
        <f>+F11+'[2]Cargo Summary'!I11</f>
        <v>4230.6528598434106</v>
      </c>
      <c r="J11" s="150">
        <f>'[1]Cargo Summary'!I11</f>
        <v>4122.5708699198103</v>
      </c>
      <c r="K11" s="88">
        <f>(I11-J11)/J11</f>
        <v>2.6217133272884802E-2</v>
      </c>
      <c r="M11" s="37"/>
    </row>
    <row r="12" spans="1:18" ht="18" customHeight="1" thickBot="1" x14ac:dyDescent="0.25">
      <c r="A12" s="76" t="s">
        <v>78</v>
      </c>
      <c r="B12" s="175">
        <f>SUM(B10:B11)</f>
        <v>4704329</v>
      </c>
      <c r="C12" s="137">
        <f t="shared" ref="C12:J12" si="1">SUM(C10:C11)</f>
        <v>0</v>
      </c>
      <c r="D12" s="137">
        <f t="shared" si="1"/>
        <v>14350581</v>
      </c>
      <c r="E12" s="137">
        <f t="shared" si="1"/>
        <v>19054910</v>
      </c>
      <c r="F12" s="137">
        <f t="shared" si="1"/>
        <v>8643.1617870367008</v>
      </c>
      <c r="G12" s="137">
        <f t="shared" si="1"/>
        <v>8959.1192634304898</v>
      </c>
      <c r="H12" s="46">
        <f>(F12-G12)/G12</f>
        <v>-3.5266577785549799E-2</v>
      </c>
      <c r="I12" s="137">
        <f t="shared" si="1"/>
        <v>44491.469436952997</v>
      </c>
      <c r="J12" s="137">
        <f t="shared" si="1"/>
        <v>41983.599407313413</v>
      </c>
      <c r="K12" s="324">
        <f>(I12-J12)/J12</f>
        <v>5.9734516931454915E-2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Stats'!H38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1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Stats'!H39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8340720</v>
      </c>
      <c r="C20" s="122">
        <f t="shared" si="3"/>
        <v>0</v>
      </c>
      <c r="D20" s="122">
        <f t="shared" si="3"/>
        <v>26413110</v>
      </c>
      <c r="E20" s="122">
        <f>SUM(B20:D20)</f>
        <v>34753830</v>
      </c>
      <c r="F20" s="122">
        <f>E20*0.00045359237</f>
        <v>15764.072116277099</v>
      </c>
      <c r="G20" s="150">
        <f>'[1]Cargo Summary'!F20</f>
        <v>16624.019746865299</v>
      </c>
      <c r="H20" s="39">
        <f>(F20-G20)/G20</f>
        <v>-5.1729223357687336E-2</v>
      </c>
      <c r="I20" s="150">
        <f>+I5+I10+I15</f>
        <v>75912.484223560605</v>
      </c>
      <c r="J20" s="150">
        <f>+J5+J10+J15</f>
        <v>76036.658763587067</v>
      </c>
      <c r="K20" s="88">
        <f>(I20-J20)/J20</f>
        <v>-1.6330878032469274E-3</v>
      </c>
      <c r="M20" s="37"/>
    </row>
    <row r="21" spans="1:13" x14ac:dyDescent="0.2">
      <c r="A21" s="65" t="s">
        <v>18</v>
      </c>
      <c r="B21" s="173">
        <f t="shared" si="3"/>
        <v>1691199</v>
      </c>
      <c r="C21" s="124">
        <f t="shared" si="3"/>
        <v>0</v>
      </c>
      <c r="D21" s="124">
        <f t="shared" si="3"/>
        <v>92430</v>
      </c>
      <c r="E21" s="122">
        <f>SUM(B21:D21)</f>
        <v>1783629</v>
      </c>
      <c r="F21" s="122">
        <f>E21*0.00045359237</f>
        <v>809.04050531072994</v>
      </c>
      <c r="G21" s="150">
        <f>'[1]Cargo Summary'!F21</f>
        <v>755.30205645972001</v>
      </c>
      <c r="H21" s="39">
        <f>(F21-G21)/G21</f>
        <v>7.1148288808976362E-2</v>
      </c>
      <c r="I21" s="150">
        <f>+I6+I11+I16</f>
        <v>7246.7441101563199</v>
      </c>
      <c r="J21" s="150">
        <f>+J6+J11+J16</f>
        <v>6432.8433626010401</v>
      </c>
      <c r="K21" s="88">
        <f>(I21-J21)/J21</f>
        <v>0.12652270569606863</v>
      </c>
      <c r="M21" s="37"/>
    </row>
    <row r="22" spans="1:13" ht="18" customHeight="1" thickBot="1" x14ac:dyDescent="0.25">
      <c r="A22" s="91" t="s">
        <v>67</v>
      </c>
      <c r="B22" s="176">
        <f>SUM(B20:B21)</f>
        <v>10031919</v>
      </c>
      <c r="C22" s="177">
        <f t="shared" ref="C22:J22" si="4">SUM(C20:C21)</f>
        <v>0</v>
      </c>
      <c r="D22" s="177">
        <f t="shared" si="4"/>
        <v>26505540</v>
      </c>
      <c r="E22" s="177">
        <f t="shared" si="4"/>
        <v>36537459</v>
      </c>
      <c r="F22" s="177">
        <f t="shared" si="4"/>
        <v>16573.112621587828</v>
      </c>
      <c r="G22" s="177">
        <f t="shared" si="4"/>
        <v>17379.32180332502</v>
      </c>
      <c r="H22" s="330">
        <f>(F22-G22)/G22</f>
        <v>-4.6388989792625096E-2</v>
      </c>
      <c r="I22" s="177">
        <f t="shared" si="4"/>
        <v>83159.228333716921</v>
      </c>
      <c r="J22" s="177">
        <f t="shared" si="4"/>
        <v>82469.502126188105</v>
      </c>
      <c r="K22" s="331">
        <f>(I22-J22)/J22</f>
        <v>8.3634093785779559E-3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May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zoomScaleSheetLayoutView="100" workbookViewId="0">
      <selection activeCell="M23" activeCellId="1" sqref="M18 M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1" width="11.28515625" customWidth="1"/>
    <col min="12" max="12" width="8.5703125" bestFit="1" customWidth="1"/>
    <col min="13" max="13" width="13.85546875" customWidth="1"/>
  </cols>
  <sheetData>
    <row r="1" spans="1:13" ht="39" thickBot="1" x14ac:dyDescent="0.25">
      <c r="A1" s="399">
        <v>41760</v>
      </c>
      <c r="B1" s="459" t="s">
        <v>20</v>
      </c>
      <c r="C1" s="458" t="s">
        <v>209</v>
      </c>
      <c r="D1" s="19" t="s">
        <v>203</v>
      </c>
      <c r="E1" s="19" t="s">
        <v>212</v>
      </c>
      <c r="F1" s="479" t="s">
        <v>210</v>
      </c>
      <c r="G1" s="459" t="s">
        <v>53</v>
      </c>
      <c r="H1" s="459" t="s">
        <v>125</v>
      </c>
      <c r="I1" s="459" t="s">
        <v>110</v>
      </c>
      <c r="J1" s="459" t="s">
        <v>198</v>
      </c>
      <c r="K1" s="479" t="s">
        <v>211</v>
      </c>
      <c r="L1" s="459" t="s">
        <v>158</v>
      </c>
      <c r="M1" s="277" t="s">
        <v>24</v>
      </c>
    </row>
    <row r="2" spans="1:13" ht="15" x14ac:dyDescent="0.25">
      <c r="A2" s="505" t="s">
        <v>159</v>
      </c>
      <c r="B2" s="506"/>
      <c r="C2" s="506"/>
      <c r="D2" s="507"/>
      <c r="E2" s="506"/>
      <c r="F2" s="506"/>
      <c r="G2" s="506"/>
      <c r="H2" s="506"/>
      <c r="I2" s="506"/>
      <c r="J2" s="506"/>
      <c r="K2" s="506"/>
      <c r="L2" s="506"/>
      <c r="M2" s="508"/>
    </row>
    <row r="3" spans="1:13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58"/>
    </row>
    <row r="4" spans="1:13" x14ac:dyDescent="0.2">
      <c r="A4" s="65" t="s">
        <v>33</v>
      </c>
      <c r="B4" s="22">
        <f>[3]Delta!$DN$32</f>
        <v>46203</v>
      </c>
      <c r="C4" s="22">
        <f>'[3]Atlantic Southeast'!$DN$32</f>
        <v>0</v>
      </c>
      <c r="D4" s="22">
        <f>[3]Pinnacle!$DN$32</f>
        <v>14297</v>
      </c>
      <c r="E4" s="22">
        <f>[3]Compass!$DN$32</f>
        <v>12524</v>
      </c>
      <c r="F4" s="22">
        <f>'[3]Sky West'!$DN$32</f>
        <v>3780</v>
      </c>
      <c r="G4" s="22">
        <f>'[3]Sun Country'!$DN$32</f>
        <v>2345</v>
      </c>
      <c r="H4" s="22">
        <f>[3]Icelandair!$DN$32</f>
        <v>1353</v>
      </c>
      <c r="I4" s="22">
        <f>[3]AirCanada!$DN$32</f>
        <v>3763</v>
      </c>
      <c r="J4" s="22">
        <f>'[3]Air France'!$DN$32</f>
        <v>0</v>
      </c>
      <c r="K4" s="22">
        <f>[3]Comair!$DN$32</f>
        <v>0</v>
      </c>
      <c r="L4" s="22">
        <f>'[3]Charter Misc'!$DN$32+[3]Ryan!$DN$32+[3]Omni!$DN$32</f>
        <v>0</v>
      </c>
      <c r="M4" s="286">
        <f>SUM(B4:L4)</f>
        <v>84265</v>
      </c>
    </row>
    <row r="5" spans="1:13" x14ac:dyDescent="0.2">
      <c r="A5" s="65" t="s">
        <v>34</v>
      </c>
      <c r="B5" s="14">
        <f>[3]Delta!$DN$33</f>
        <v>48182</v>
      </c>
      <c r="C5" s="14">
        <f>'[3]Atlantic Southeast'!$DN$33</f>
        <v>96</v>
      </c>
      <c r="D5" s="14">
        <f>[3]Pinnacle!$DN$33</f>
        <v>16029</v>
      </c>
      <c r="E5" s="14">
        <f>[3]Compass!$DN$33</f>
        <v>13396</v>
      </c>
      <c r="F5" s="14">
        <f>'[3]Sky West'!$DN$33</f>
        <v>4281</v>
      </c>
      <c r="G5" s="14">
        <f>'[3]Sun Country'!$DN$33</f>
        <v>2709</v>
      </c>
      <c r="H5" s="14">
        <f>[3]Icelandair!$DN$33</f>
        <v>2209</v>
      </c>
      <c r="I5" s="14">
        <f>[3]AirCanada!$DN$33</f>
        <v>4119</v>
      </c>
      <c r="J5" s="14">
        <f>'[3]Air France'!$DN$33</f>
        <v>0</v>
      </c>
      <c r="K5" s="14">
        <f>[3]Comair!$DN$33</f>
        <v>0</v>
      </c>
      <c r="L5" s="14">
        <f>'[3]Charter Misc'!$DN$33++[3]Ryan!$DN$33+[3]Omni!$DN$33</f>
        <v>0</v>
      </c>
      <c r="M5" s="287">
        <f>SUM(B5:L5)</f>
        <v>91021</v>
      </c>
    </row>
    <row r="6" spans="1:13" ht="15" x14ac:dyDescent="0.25">
      <c r="A6" s="63" t="s">
        <v>7</v>
      </c>
      <c r="B6" s="36">
        <f t="shared" ref="B6:L6" si="0">SUM(B4:B5)</f>
        <v>94385</v>
      </c>
      <c r="C6" s="36">
        <f t="shared" si="0"/>
        <v>96</v>
      </c>
      <c r="D6" s="36">
        <f t="shared" si="0"/>
        <v>30326</v>
      </c>
      <c r="E6" s="36">
        <f t="shared" si="0"/>
        <v>25920</v>
      </c>
      <c r="F6" s="36">
        <f t="shared" si="0"/>
        <v>8061</v>
      </c>
      <c r="G6" s="36">
        <f t="shared" si="0"/>
        <v>5054</v>
      </c>
      <c r="H6" s="36">
        <f t="shared" si="0"/>
        <v>3562</v>
      </c>
      <c r="I6" s="36">
        <f t="shared" si="0"/>
        <v>7882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288">
        <f>SUM(B6:L6)</f>
        <v>175286</v>
      </c>
    </row>
    <row r="7" spans="1:13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86"/>
    </row>
    <row r="8" spans="1:13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86">
        <f>SUM(B8:L8)</f>
        <v>0</v>
      </c>
    </row>
    <row r="9" spans="1:13" x14ac:dyDescent="0.2">
      <c r="A9" s="65" t="s">
        <v>33</v>
      </c>
      <c r="B9" s="22">
        <f>[3]Delta!$DN$37</f>
        <v>1099</v>
      </c>
      <c r="C9" s="22">
        <f>'[3]Atlantic Southeast'!$DN$37</f>
        <v>0</v>
      </c>
      <c r="D9" s="22">
        <f>[3]Pinnacle!$DN$37</f>
        <v>202</v>
      </c>
      <c r="E9" s="22">
        <f>[3]Compass!$DN$37</f>
        <v>217</v>
      </c>
      <c r="F9" s="22">
        <f>'[3]Sky West'!$DN$37</f>
        <v>35</v>
      </c>
      <c r="G9" s="22">
        <f>'[3]Sun Country'!$DN$37</f>
        <v>14</v>
      </c>
      <c r="H9" s="22">
        <f>[3]Icelandair!$DN$37</f>
        <v>48</v>
      </c>
      <c r="I9" s="22">
        <f>[3]AirCanada!$DN$37</f>
        <v>40</v>
      </c>
      <c r="J9" s="22">
        <f>'[3]Air France'!$DN$37</f>
        <v>0</v>
      </c>
      <c r="K9" s="22">
        <f>[3]Comair!$DN$37</f>
        <v>0</v>
      </c>
      <c r="L9" s="22">
        <f>'[3]Charter Misc'!$DN$37+[3]Ryan!$DN$37+[3]Omni!$DN$37</f>
        <v>0</v>
      </c>
      <c r="M9" s="286">
        <f>SUM(B9:L9)</f>
        <v>1655</v>
      </c>
    </row>
    <row r="10" spans="1:13" x14ac:dyDescent="0.2">
      <c r="A10" s="65" t="s">
        <v>36</v>
      </c>
      <c r="B10" s="14">
        <f>[3]Delta!$DN$38</f>
        <v>1026</v>
      </c>
      <c r="C10" s="14">
        <f>'[3]Atlantic Southeast'!$DN$38</f>
        <v>4</v>
      </c>
      <c r="D10" s="14">
        <f>[3]Pinnacle!$DN$38</f>
        <v>287</v>
      </c>
      <c r="E10" s="14">
        <f>[3]Compass!$DN$38</f>
        <v>196</v>
      </c>
      <c r="F10" s="14">
        <f>'[3]Sky West'!$DN$38</f>
        <v>38</v>
      </c>
      <c r="G10" s="14">
        <f>'[3]Sun Country'!$DN$38</f>
        <v>17</v>
      </c>
      <c r="H10" s="14">
        <f>[3]Icelandair!$DN$38</f>
        <v>42</v>
      </c>
      <c r="I10" s="14">
        <f>[3]AirCanada!$DN$38</f>
        <v>36</v>
      </c>
      <c r="J10" s="14">
        <f>'[3]Air France'!$DN$38</f>
        <v>0</v>
      </c>
      <c r="K10" s="14">
        <f>[3]Comair!$DN$38</f>
        <v>0</v>
      </c>
      <c r="L10" s="14">
        <f>'[3]Charter Misc'!$DN$38+[3]Ryan!$DN$38+[3]Omni!$DN$38</f>
        <v>0</v>
      </c>
      <c r="M10" s="287">
        <f>SUM(B10:L10)</f>
        <v>1646</v>
      </c>
    </row>
    <row r="11" spans="1:13" ht="15.75" thickBot="1" x14ac:dyDescent="0.3">
      <c r="A11" s="66" t="s">
        <v>37</v>
      </c>
      <c r="B11" s="289">
        <f t="shared" ref="B11:G11" si="1">SUM(B9:B10)</f>
        <v>2125</v>
      </c>
      <c r="C11" s="289">
        <f t="shared" si="1"/>
        <v>4</v>
      </c>
      <c r="D11" s="289">
        <f t="shared" si="1"/>
        <v>489</v>
      </c>
      <c r="E11" s="289">
        <f t="shared" si="1"/>
        <v>413</v>
      </c>
      <c r="F11" s="289">
        <f t="shared" si="1"/>
        <v>73</v>
      </c>
      <c r="G11" s="289">
        <f t="shared" si="1"/>
        <v>31</v>
      </c>
      <c r="H11" s="289">
        <f>SUM(H9:H10)</f>
        <v>90</v>
      </c>
      <c r="I11" s="289">
        <f>SUM(I9:I10)</f>
        <v>76</v>
      </c>
      <c r="J11" s="289">
        <f>SUM(J9:J10)</f>
        <v>0</v>
      </c>
      <c r="K11" s="289">
        <f>SUM(K9:K10)</f>
        <v>0</v>
      </c>
      <c r="L11" s="289">
        <f>SUM(L9:L10)</f>
        <v>0</v>
      </c>
      <c r="M11" s="290">
        <f>SUM(B11:L11)</f>
        <v>3301</v>
      </c>
    </row>
    <row r="12" spans="1:13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1"/>
    </row>
    <row r="13" spans="1:13" ht="39" thickBot="1" x14ac:dyDescent="0.25">
      <c r="B13" s="459" t="s">
        <v>20</v>
      </c>
      <c r="C13" s="458" t="s">
        <v>209</v>
      </c>
      <c r="D13" s="19" t="s">
        <v>203</v>
      </c>
      <c r="E13" s="19" t="s">
        <v>212</v>
      </c>
      <c r="F13" s="479" t="s">
        <v>210</v>
      </c>
      <c r="G13" s="459" t="s">
        <v>157</v>
      </c>
      <c r="H13" s="459" t="s">
        <v>125</v>
      </c>
      <c r="I13" s="459" t="s">
        <v>110</v>
      </c>
      <c r="J13" s="459" t="s">
        <v>198</v>
      </c>
      <c r="K13" s="479" t="s">
        <v>211</v>
      </c>
      <c r="L13" s="459" t="s">
        <v>158</v>
      </c>
      <c r="M13" s="277" t="s">
        <v>160</v>
      </c>
    </row>
    <row r="14" spans="1:13" ht="15" x14ac:dyDescent="0.25">
      <c r="A14" s="509" t="s">
        <v>161</v>
      </c>
      <c r="B14" s="510"/>
      <c r="C14" s="510"/>
      <c r="D14" s="511"/>
      <c r="E14" s="510"/>
      <c r="F14" s="510"/>
      <c r="G14" s="510"/>
      <c r="H14" s="510"/>
      <c r="I14" s="510"/>
      <c r="J14" s="510"/>
      <c r="K14" s="510"/>
      <c r="L14" s="510"/>
      <c r="M14" s="512"/>
    </row>
    <row r="15" spans="1:13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58"/>
    </row>
    <row r="16" spans="1:13" x14ac:dyDescent="0.2">
      <c r="A16" s="65" t="s">
        <v>33</v>
      </c>
      <c r="B16" s="22">
        <f>SUM([3]Delta!$DJ$32:$DN$32)</f>
        <v>294515</v>
      </c>
      <c r="C16" s="22">
        <f>SUM('[3]Atlantic Southeast'!$DJ$32:$DN$32)</f>
        <v>0</v>
      </c>
      <c r="D16" s="22">
        <f>SUM([3]Pinnacle!$DJ$32:$DN$32)</f>
        <v>50055</v>
      </c>
      <c r="E16" s="22">
        <f>SUM([3]Compass!$DJ$32:$DN$32)</f>
        <v>72837</v>
      </c>
      <c r="F16" s="22">
        <f>SUM('[3]Sky West'!$DJ$32:$DN$32)</f>
        <v>20812</v>
      </c>
      <c r="G16" s="22">
        <f>SUM('[3]Sun Country'!$DJ$32:$DN$32)</f>
        <v>85830</v>
      </c>
      <c r="H16" s="22">
        <f>SUM([3]Icelandair!$DJ$32:$DN$32)</f>
        <v>1353</v>
      </c>
      <c r="I16" s="22">
        <f>SUM([3]AirCanada!$DJ$32:$DN$32)</f>
        <v>13099</v>
      </c>
      <c r="J16" s="22">
        <f>SUM('[3]Air France'!$DJ$32:$DN$32)</f>
        <v>0</v>
      </c>
      <c r="K16" s="22">
        <f>SUM([3]Comair!$DJ$32:$DN$32)</f>
        <v>0</v>
      </c>
      <c r="L16" s="22">
        <f>SUM('[3]Charter Misc'!$DJ$32:$DN$32)+SUM([3]Ryan!$DJ$32:$DN$32)+SUM([3]Omni!$DJ$32:$DN$32)</f>
        <v>0</v>
      </c>
      <c r="M16" s="286">
        <f>SUM(B16:L16)</f>
        <v>538501</v>
      </c>
    </row>
    <row r="17" spans="1:13" x14ac:dyDescent="0.2">
      <c r="A17" s="65" t="s">
        <v>34</v>
      </c>
      <c r="B17" s="14">
        <f>SUM([3]Delta!$DJ$33:$DN$33)</f>
        <v>287651</v>
      </c>
      <c r="C17" s="14">
        <f>SUM('[3]Atlantic Southeast'!$DJ$33:$DN$33)</f>
        <v>96</v>
      </c>
      <c r="D17" s="14">
        <f>SUM([3]Pinnacle!$DJ$33:$DN$33)</f>
        <v>50177</v>
      </c>
      <c r="E17" s="14">
        <f>SUM([3]Compass!$DJ$33:$DN$33)</f>
        <v>73836</v>
      </c>
      <c r="F17" s="14">
        <f>SUM('[3]Sky West'!$DJ$33:$DN$33)</f>
        <v>21589</v>
      </c>
      <c r="G17" s="14">
        <f>SUM('[3]Sun Country'!$DJ$33:$DN$33)</f>
        <v>82032</v>
      </c>
      <c r="H17" s="14">
        <f>SUM([3]Icelandair!$DJ$33:$DN$33)</f>
        <v>2209</v>
      </c>
      <c r="I17" s="14">
        <f>SUM([3]AirCanada!$DJ$33:$DN$33)</f>
        <v>12618</v>
      </c>
      <c r="J17" s="14">
        <f>SUM('[3]Air France'!$DJ$33:$DN$33)</f>
        <v>0</v>
      </c>
      <c r="K17" s="14">
        <f>SUM([3]Comair!$DJ$33:$DN$33)</f>
        <v>0</v>
      </c>
      <c r="L17" s="14">
        <f>SUM('[3]Charter Misc'!$DJ$33:$DN$33)++SUM([3]Ryan!$DJ$33:$DN$33)+SUM([3]Omni!$DJ$33:$DN$33)</f>
        <v>0</v>
      </c>
      <c r="M17" s="287">
        <f>SUM(B17:L17)</f>
        <v>530208</v>
      </c>
    </row>
    <row r="18" spans="1:13" ht="15" x14ac:dyDescent="0.25">
      <c r="A18" s="63" t="s">
        <v>7</v>
      </c>
      <c r="B18" s="36">
        <f t="shared" ref="B18:L18" si="2">SUM(B16:B17)</f>
        <v>582166</v>
      </c>
      <c r="C18" s="36">
        <f t="shared" si="2"/>
        <v>96</v>
      </c>
      <c r="D18" s="36">
        <f t="shared" si="2"/>
        <v>100232</v>
      </c>
      <c r="E18" s="36">
        <f t="shared" si="2"/>
        <v>146673</v>
      </c>
      <c r="F18" s="36">
        <f t="shared" si="2"/>
        <v>42401</v>
      </c>
      <c r="G18" s="36">
        <f t="shared" si="2"/>
        <v>167862</v>
      </c>
      <c r="H18" s="36">
        <f t="shared" si="2"/>
        <v>3562</v>
      </c>
      <c r="I18" s="36">
        <f t="shared" si="2"/>
        <v>25717</v>
      </c>
      <c r="J18" s="36">
        <f t="shared" si="2"/>
        <v>0</v>
      </c>
      <c r="K18" s="36">
        <f t="shared" si="2"/>
        <v>0</v>
      </c>
      <c r="L18" s="36">
        <f t="shared" si="2"/>
        <v>0</v>
      </c>
      <c r="M18" s="288">
        <f>SUM(B18:L18)</f>
        <v>1068709</v>
      </c>
    </row>
    <row r="19" spans="1:13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86"/>
    </row>
    <row r="20" spans="1:13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86">
        <f>SUM(B20:L20)</f>
        <v>0</v>
      </c>
    </row>
    <row r="21" spans="1:13" x14ac:dyDescent="0.2">
      <c r="A21" s="65" t="s">
        <v>33</v>
      </c>
      <c r="B21" s="22">
        <f>SUM([3]Delta!$DJ$37:$DN$37)</f>
        <v>7700</v>
      </c>
      <c r="C21" s="22">
        <f>SUM('[3]Atlantic Southeast'!$DJ$37:$DN$37)</f>
        <v>0</v>
      </c>
      <c r="D21" s="22">
        <f>SUM([3]Pinnacle!$DJ$37:$DN$37)</f>
        <v>883</v>
      </c>
      <c r="E21" s="22">
        <f>SUM([3]Compass!$DJ$37:$DN$37)</f>
        <v>991</v>
      </c>
      <c r="F21" s="22">
        <f>SUM('[3]Sky West'!$DJ$37:$DN$37)</f>
        <v>174</v>
      </c>
      <c r="G21" s="22">
        <f>SUM('[3]Sun Country'!$DJ$37:$DN$37)</f>
        <v>571</v>
      </c>
      <c r="H21" s="22">
        <f>SUM([3]Icelandair!$DJ$37:$DN$37)</f>
        <v>48</v>
      </c>
      <c r="I21" s="22">
        <f>SUM([3]AirCanada!$DJ$37:$DN$37)</f>
        <v>179</v>
      </c>
      <c r="J21" s="22">
        <f>SUM('[3]Air France'!$DJ$37:$DN$37)</f>
        <v>0</v>
      </c>
      <c r="K21" s="22">
        <f>SUM([3]Comair!$DJ$37:$DN$37)</f>
        <v>0</v>
      </c>
      <c r="L21" s="22">
        <f>SUM('[3]Charter Misc'!$DJ$37:$DN$37)++SUM([3]Ryan!$DJ$37:$DN$37)+SUM([3]Omni!$DJ$37:$DN$37)</f>
        <v>0</v>
      </c>
      <c r="M21" s="286">
        <f>SUM(B21:L21)</f>
        <v>10546</v>
      </c>
    </row>
    <row r="22" spans="1:13" x14ac:dyDescent="0.2">
      <c r="A22" s="65" t="s">
        <v>36</v>
      </c>
      <c r="B22" s="14">
        <f>SUM([3]Delta!$DJ$38:$DN$38)</f>
        <v>7451</v>
      </c>
      <c r="C22" s="14">
        <f>SUM('[3]Atlantic Southeast'!$DJ$38:$DN$38)</f>
        <v>4</v>
      </c>
      <c r="D22" s="14">
        <f>SUM([3]Pinnacle!$DJ$38:$DN$38)</f>
        <v>873</v>
      </c>
      <c r="E22" s="14">
        <f>SUM([3]Compass!$DJ$38:$DN$38)</f>
        <v>926</v>
      </c>
      <c r="F22" s="14">
        <f>SUM('[3]Sky West'!$DJ$38:$DN$38)</f>
        <v>207</v>
      </c>
      <c r="G22" s="14">
        <f>SUM('[3]Sun Country'!$DJ$38:$DN$38)</f>
        <v>681</v>
      </c>
      <c r="H22" s="14">
        <f>SUM([3]Icelandair!$DJ$38:$DN$38)</f>
        <v>42</v>
      </c>
      <c r="I22" s="14">
        <f>SUM([3]AirCanada!$DJ$38:$DN$38)</f>
        <v>160</v>
      </c>
      <c r="J22" s="14">
        <f>SUM('[3]Air France'!$DJ$38:$DN$38)</f>
        <v>0</v>
      </c>
      <c r="K22" s="14">
        <f>SUM([3]Comair!$DJ$38:$DN$38)</f>
        <v>0</v>
      </c>
      <c r="L22" s="14">
        <f>SUM('[3]Charter Misc'!$DJ$38:$DN$38)++SUM([3]Ryan!$DJ$38:$DN$38)+SUM([3]Omni!$DJ$38:$DN$38)</f>
        <v>0</v>
      </c>
      <c r="M22" s="287">
        <f>SUM(B22:L22)</f>
        <v>10344</v>
      </c>
    </row>
    <row r="23" spans="1:13" ht="15.75" thickBot="1" x14ac:dyDescent="0.3">
      <c r="A23" s="66" t="s">
        <v>37</v>
      </c>
      <c r="B23" s="289">
        <f t="shared" ref="B23:L23" si="3">SUM(B21:B22)</f>
        <v>15151</v>
      </c>
      <c r="C23" s="289">
        <f t="shared" si="3"/>
        <v>4</v>
      </c>
      <c r="D23" s="289">
        <f t="shared" si="3"/>
        <v>1756</v>
      </c>
      <c r="E23" s="289">
        <f t="shared" si="3"/>
        <v>1917</v>
      </c>
      <c r="F23" s="289">
        <f t="shared" si="3"/>
        <v>381</v>
      </c>
      <c r="G23" s="289">
        <f t="shared" si="3"/>
        <v>1252</v>
      </c>
      <c r="H23" s="289">
        <f t="shared" si="3"/>
        <v>90</v>
      </c>
      <c r="I23" s="289">
        <f t="shared" si="3"/>
        <v>339</v>
      </c>
      <c r="J23" s="289">
        <f t="shared" si="3"/>
        <v>0</v>
      </c>
      <c r="K23" s="289">
        <f t="shared" si="3"/>
        <v>0</v>
      </c>
      <c r="L23" s="289">
        <f t="shared" si="3"/>
        <v>0</v>
      </c>
      <c r="M23" s="290">
        <f>SUM(B23:L23)</f>
        <v>20890</v>
      </c>
    </row>
    <row r="25" spans="1:13" ht="39" thickBot="1" x14ac:dyDescent="0.25">
      <c r="B25" s="459" t="s">
        <v>20</v>
      </c>
      <c r="C25" s="458" t="s">
        <v>209</v>
      </c>
      <c r="D25" s="19" t="s">
        <v>203</v>
      </c>
      <c r="E25" s="19" t="s">
        <v>212</v>
      </c>
      <c r="F25" s="479" t="s">
        <v>210</v>
      </c>
      <c r="G25" s="459" t="s">
        <v>157</v>
      </c>
      <c r="H25" s="459" t="s">
        <v>125</v>
      </c>
      <c r="I25" s="459" t="s">
        <v>110</v>
      </c>
      <c r="J25" s="459" t="s">
        <v>198</v>
      </c>
      <c r="K25" s="479" t="s">
        <v>211</v>
      </c>
      <c r="L25" s="459" t="s">
        <v>158</v>
      </c>
      <c r="M25" s="277" t="s">
        <v>24</v>
      </c>
    </row>
    <row r="26" spans="1:13" ht="15" x14ac:dyDescent="0.25">
      <c r="A26" s="513" t="s">
        <v>162</v>
      </c>
      <c r="B26" s="514"/>
      <c r="C26" s="514"/>
      <c r="D26" s="515"/>
      <c r="E26" s="514"/>
      <c r="F26" s="514"/>
      <c r="G26" s="514"/>
      <c r="H26" s="514"/>
      <c r="I26" s="514"/>
      <c r="J26" s="514"/>
      <c r="K26" s="514"/>
      <c r="L26" s="514"/>
      <c r="M26" s="516"/>
    </row>
    <row r="27" spans="1:13" x14ac:dyDescent="0.2">
      <c r="A27" s="65" t="s">
        <v>25</v>
      </c>
      <c r="B27" s="22">
        <f>[3]Delta!$DN$15</f>
        <v>220</v>
      </c>
      <c r="C27" s="22">
        <f>'[3]Atlantic Southeast'!$DN$15</f>
        <v>1</v>
      </c>
      <c r="D27" s="22">
        <f>[3]Pinnacle!$DN$15</f>
        <v>309</v>
      </c>
      <c r="E27" s="22">
        <f>[3]Compass!$DN$15</f>
        <v>211</v>
      </c>
      <c r="F27" s="22">
        <f>'[3]Sky West'!$DN$15</f>
        <v>85</v>
      </c>
      <c r="G27" s="22">
        <f>'[3]Sun Country'!$DN$15</f>
        <v>18</v>
      </c>
      <c r="H27" s="22">
        <f>[3]Icelandair!$DN$15</f>
        <v>13</v>
      </c>
      <c r="I27" s="22">
        <f>[3]AirCanada!$DN$15</f>
        <v>88</v>
      </c>
      <c r="J27" s="22">
        <f>'[3]Air France'!$DN$15</f>
        <v>0</v>
      </c>
      <c r="K27" s="22">
        <f>[3]Comair!$DN$15</f>
        <v>0</v>
      </c>
      <c r="L27" s="22">
        <f>'[3]Charter Misc'!$DN$15+[3]Ryan!$DN$15+[3]Omni!$DN$15</f>
        <v>0</v>
      </c>
      <c r="M27" s="286">
        <f>SUM(B27:L27)</f>
        <v>945</v>
      </c>
    </row>
    <row r="28" spans="1:13" x14ac:dyDescent="0.2">
      <c r="A28" s="65" t="s">
        <v>26</v>
      </c>
      <c r="B28" s="22">
        <f>[3]Delta!$DN$16</f>
        <v>222</v>
      </c>
      <c r="C28" s="22">
        <f>'[3]Atlantic Southeast'!$DN$16</f>
        <v>2</v>
      </c>
      <c r="D28" s="22">
        <f>[3]Pinnacle!$DN$16</f>
        <v>307</v>
      </c>
      <c r="E28" s="22">
        <f>[3]Compass!$DN$16</f>
        <v>210</v>
      </c>
      <c r="F28" s="22">
        <f>'[3]Sky West'!$DN$16</f>
        <v>85</v>
      </c>
      <c r="G28" s="22">
        <f>'[3]Sun Country'!$DN$16</f>
        <v>17</v>
      </c>
      <c r="H28" s="22">
        <f>[3]Icelandair!$DN$16</f>
        <v>13</v>
      </c>
      <c r="I28" s="22">
        <f>[3]AirCanada!$DN$16</f>
        <v>88</v>
      </c>
      <c r="J28" s="22">
        <f>'[3]Air France'!$DN$16</f>
        <v>0</v>
      </c>
      <c r="K28" s="22">
        <f>[3]Comair!$DN$16</f>
        <v>0</v>
      </c>
      <c r="L28" s="22">
        <f>'[3]Charter Misc'!$DN$16+[3]Ryan!$DN$16+[3]Omni!$DN$16</f>
        <v>0</v>
      </c>
      <c r="M28" s="286">
        <f>SUM(B28:L28)</f>
        <v>944</v>
      </c>
    </row>
    <row r="29" spans="1:13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86"/>
    </row>
    <row r="30" spans="1:13" ht="15.75" thickBot="1" x14ac:dyDescent="0.3">
      <c r="A30" s="66" t="s">
        <v>31</v>
      </c>
      <c r="B30" s="402">
        <f t="shared" ref="B30:I30" si="4">SUM(B27:B28)</f>
        <v>442</v>
      </c>
      <c r="C30" s="402">
        <f t="shared" si="4"/>
        <v>3</v>
      </c>
      <c r="D30" s="402">
        <f t="shared" si="4"/>
        <v>616</v>
      </c>
      <c r="E30" s="402">
        <f t="shared" si="4"/>
        <v>421</v>
      </c>
      <c r="F30" s="402">
        <f>SUM(F27:F28)</f>
        <v>170</v>
      </c>
      <c r="G30" s="402">
        <f t="shared" si="4"/>
        <v>35</v>
      </c>
      <c r="H30" s="402">
        <f t="shared" si="4"/>
        <v>26</v>
      </c>
      <c r="I30" s="402">
        <f t="shared" si="4"/>
        <v>176</v>
      </c>
      <c r="J30" s="402">
        <f>SUM(J27:J28)</f>
        <v>0</v>
      </c>
      <c r="K30" s="402">
        <f>SUM(K27:K28)</f>
        <v>0</v>
      </c>
      <c r="L30" s="402">
        <f>SUM(L27:L28)</f>
        <v>0</v>
      </c>
      <c r="M30" s="403">
        <f>SUM(B30:L30)</f>
        <v>1889</v>
      </c>
    </row>
    <row r="31" spans="1:13" ht="15" x14ac:dyDescent="0.25">
      <c r="A31" s="404"/>
    </row>
    <row r="32" spans="1:13" ht="39" thickBot="1" x14ac:dyDescent="0.25">
      <c r="B32" s="459" t="s">
        <v>20</v>
      </c>
      <c r="C32" s="458" t="s">
        <v>209</v>
      </c>
      <c r="D32" s="19" t="s">
        <v>203</v>
      </c>
      <c r="E32" s="19" t="s">
        <v>212</v>
      </c>
      <c r="F32" s="479" t="s">
        <v>210</v>
      </c>
      <c r="G32" s="459" t="s">
        <v>157</v>
      </c>
      <c r="H32" s="459" t="s">
        <v>125</v>
      </c>
      <c r="I32" s="459" t="s">
        <v>110</v>
      </c>
      <c r="J32" s="459" t="s">
        <v>198</v>
      </c>
      <c r="K32" s="479" t="s">
        <v>211</v>
      </c>
      <c r="L32" s="459" t="s">
        <v>158</v>
      </c>
      <c r="M32" s="277" t="s">
        <v>160</v>
      </c>
    </row>
    <row r="33" spans="1:13" ht="15" x14ac:dyDescent="0.25">
      <c r="A33" s="517" t="s">
        <v>163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9"/>
    </row>
    <row r="34" spans="1:13" x14ac:dyDescent="0.2">
      <c r="A34" s="65" t="s">
        <v>25</v>
      </c>
      <c r="B34" s="22">
        <f>SUM([3]Delta!$DJ$15:$DN$15)</f>
        <v>1713</v>
      </c>
      <c r="C34" s="22">
        <f>SUM('[3]Atlantic Southeast'!$DJ$15:$DN$15)</f>
        <v>1</v>
      </c>
      <c r="D34" s="22">
        <f>SUM([3]Pinnacle!$DJ$15:$DN$15)</f>
        <v>1138</v>
      </c>
      <c r="E34" s="22">
        <f>SUM([3]Compass!$DJ$15:$DN$15)</f>
        <v>1206</v>
      </c>
      <c r="F34" s="22">
        <f>SUM('[3]Sky West'!$DJ$15:$DN$15)</f>
        <v>476</v>
      </c>
      <c r="G34" s="22">
        <f>SUM('[3]Sun Country'!$DJ$15:$DN$15)</f>
        <v>648</v>
      </c>
      <c r="H34" s="22">
        <f>SUM([3]Icelandair!$DJ$15:$DN$15)</f>
        <v>13</v>
      </c>
      <c r="I34" s="22">
        <f>SUM([3]AirCanada!$DJ$15:$DN$15)</f>
        <v>413</v>
      </c>
      <c r="J34" s="22">
        <f>SUM('[3]Air France'!$DJ$15:$DN$15)</f>
        <v>0</v>
      </c>
      <c r="K34" s="22">
        <f>SUM([3]Comair!$DJ$15:$DN$15)</f>
        <v>0</v>
      </c>
      <c r="L34" s="22">
        <f>SUM('[3]Charter Misc'!$DJ$15:$DN$15)+SUM([3]Ryan!$DJ$15:$DN$15)+SUM([3]Omni!$DJ$15:$DN$15)</f>
        <v>0</v>
      </c>
      <c r="M34" s="286">
        <f>SUM(B34:L34)</f>
        <v>5608</v>
      </c>
    </row>
    <row r="35" spans="1:13" x14ac:dyDescent="0.2">
      <c r="A35" s="65" t="s">
        <v>26</v>
      </c>
      <c r="B35" s="22">
        <f>SUM([3]Delta!$DJ$16:$DN$16)</f>
        <v>1718</v>
      </c>
      <c r="C35" s="14">
        <f>SUM('[3]Atlantic Southeast'!$DJ$16:$DN$16)</f>
        <v>2</v>
      </c>
      <c r="D35" s="14">
        <f>SUM([3]Pinnacle!$DJ$16:$DN$16)</f>
        <v>1130</v>
      </c>
      <c r="E35" s="14">
        <f>SUM([3]Compass!$DJ$16:$DN$16)</f>
        <v>1198</v>
      </c>
      <c r="F35" s="14">
        <f>SUM('[3]Sky West'!$DJ$16:$DN$16)</f>
        <v>477</v>
      </c>
      <c r="G35" s="14">
        <f>SUM('[3]Sun Country'!$DJ$16:$DN$16)</f>
        <v>660</v>
      </c>
      <c r="H35" s="14">
        <f>SUM([3]Icelandair!$DJ$16:$DN$16)</f>
        <v>13</v>
      </c>
      <c r="I35" s="14">
        <f>SUM([3]AirCanada!$DJ$16:$DN$16)</f>
        <v>412</v>
      </c>
      <c r="J35" s="14">
        <f>SUM('[3]Air France'!$DJ$16:$DN$16)</f>
        <v>0</v>
      </c>
      <c r="K35" s="14">
        <f>SUM([3]Comair!$DJ$16:$DN$16)</f>
        <v>0</v>
      </c>
      <c r="L35" s="14">
        <f>SUM('[3]Charter Misc'!$DJ$16:$DN$16)++SUM([3]Ryan!$DJ$16:$DN$16)+SUM([3]Omni!$DJ$16:$DN$16)</f>
        <v>0</v>
      </c>
      <c r="M35" s="286">
        <f>SUM(B35:L35)</f>
        <v>5610</v>
      </c>
    </row>
    <row r="36" spans="1:13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86"/>
    </row>
    <row r="37" spans="1:13" ht="15.75" thickBot="1" x14ac:dyDescent="0.3">
      <c r="A37" s="66" t="s">
        <v>31</v>
      </c>
      <c r="B37" s="402">
        <f t="shared" ref="B37:I37" si="5">+SUM(B34:B35)</f>
        <v>3431</v>
      </c>
      <c r="C37" s="402">
        <f t="shared" si="5"/>
        <v>3</v>
      </c>
      <c r="D37" s="402">
        <f t="shared" si="5"/>
        <v>2268</v>
      </c>
      <c r="E37" s="402">
        <f t="shared" si="5"/>
        <v>2404</v>
      </c>
      <c r="F37" s="402">
        <f>+SUM(F34:F35)</f>
        <v>953</v>
      </c>
      <c r="G37" s="402">
        <f t="shared" si="5"/>
        <v>1308</v>
      </c>
      <c r="H37" s="402">
        <f t="shared" si="5"/>
        <v>26</v>
      </c>
      <c r="I37" s="402">
        <f t="shared" si="5"/>
        <v>825</v>
      </c>
      <c r="J37" s="402">
        <f>+SUM(J34:J35)</f>
        <v>0</v>
      </c>
      <c r="K37" s="402">
        <f>+SUM(K34:K35)</f>
        <v>0</v>
      </c>
      <c r="L37" s="402">
        <f>+SUM(L34:L35)</f>
        <v>0</v>
      </c>
      <c r="M37" s="403">
        <f>SUM(B37:L37)</f>
        <v>11218</v>
      </c>
    </row>
  </sheetData>
  <mergeCells count="4">
    <mergeCell ref="A2:M2"/>
    <mergeCell ref="A14:M14"/>
    <mergeCell ref="A26:M26"/>
    <mergeCell ref="A33:M33"/>
  </mergeCells>
  <phoneticPr fontId="6" type="noConversion"/>
  <pageMargins left="0.75" right="0.75" top="1" bottom="1" header="0.5" footer="0.5"/>
  <pageSetup scale="76" orientation="landscape" r:id="rId1"/>
  <headerFooter alignWithMargins="0">
    <oddHeader>&amp;LSchedule 9&amp;CMinneapolis-St. Paul International Airport
&amp;"Arial,Bold"International Detail&amp;"Arial,Regular"
&amp;"Arial,Bold"May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2014-06-25T14:52:56Z</cp:lastPrinted>
  <dcterms:created xsi:type="dcterms:W3CDTF">2007-09-24T12:26:24Z</dcterms:created>
  <dcterms:modified xsi:type="dcterms:W3CDTF">2018-11-14T00:50:31Z</dcterms:modified>
</cp:coreProperties>
</file>