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89C7D746-58E4-4E65-B641-DE200FC9A2E0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Activity'!$A$1:$R$58</definedName>
    <definedName name="_xlnm.Print_Area" localSheetId="2">'Other Major Airline Stats'!$A$2:$H$49</definedName>
    <definedName name="_xlnm.Print_Area" localSheetId="4">'Other Regional'!$A$1:$M$47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B20" i="1"/>
  <c r="E11" i="7" l="1"/>
  <c r="E10" i="7"/>
  <c r="J36" i="15" l="1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J7" i="15" l="1"/>
  <c r="J17" i="15"/>
  <c r="J27" i="15"/>
  <c r="I20" i="9"/>
  <c r="R20" i="9"/>
  <c r="J12" i="15"/>
  <c r="J32" i="15"/>
  <c r="J40" i="15"/>
  <c r="J20" i="15"/>
  <c r="F20" i="9"/>
  <c r="J37" i="15"/>
  <c r="J41" i="15"/>
  <c r="O20" i="9"/>
  <c r="G20" i="2"/>
  <c r="G19" i="2"/>
  <c r="G16" i="2"/>
  <c r="G15" i="2"/>
  <c r="G10" i="2"/>
  <c r="G9" i="2"/>
  <c r="G5" i="2"/>
  <c r="G4" i="2"/>
  <c r="J42" i="15" l="1"/>
  <c r="J21" i="15"/>
  <c r="G21" i="2"/>
  <c r="G6" i="2"/>
  <c r="G11" i="2"/>
  <c r="G17" i="2"/>
  <c r="Q53" i="9"/>
  <c r="N53" i="9"/>
  <c r="H53" i="9"/>
  <c r="E53" i="9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8" i="9"/>
  <c r="N48" i="9"/>
  <c r="H48" i="9"/>
  <c r="E48" i="9"/>
  <c r="Q47" i="9"/>
  <c r="N47" i="9"/>
  <c r="H47" i="9"/>
  <c r="E47" i="9"/>
  <c r="Q44" i="9"/>
  <c r="N44" i="9"/>
  <c r="H44" i="9"/>
  <c r="E44" i="9"/>
  <c r="Q42" i="9"/>
  <c r="N42" i="9"/>
  <c r="H42" i="9"/>
  <c r="E42" i="9"/>
  <c r="Q40" i="9"/>
  <c r="N40" i="9"/>
  <c r="H40" i="9"/>
  <c r="E40" i="9"/>
  <c r="Q37" i="9"/>
  <c r="N37" i="9"/>
  <c r="H37" i="9"/>
  <c r="E37" i="9"/>
  <c r="Q35" i="9"/>
  <c r="N35" i="9"/>
  <c r="H35" i="9"/>
  <c r="E35" i="9"/>
  <c r="Q33" i="9"/>
  <c r="N33" i="9"/>
  <c r="H33" i="9"/>
  <c r="E33" i="9"/>
  <c r="Q31" i="9"/>
  <c r="N31" i="9"/>
  <c r="H31" i="9"/>
  <c r="E31" i="9"/>
  <c r="Q30" i="9"/>
  <c r="N30" i="9"/>
  <c r="H30" i="9"/>
  <c r="E30" i="9"/>
  <c r="Q29" i="9"/>
  <c r="N29" i="9"/>
  <c r="H29" i="9"/>
  <c r="E29" i="9"/>
  <c r="Q28" i="9"/>
  <c r="N28" i="9"/>
  <c r="H28" i="9"/>
  <c r="E28" i="9"/>
  <c r="Q27" i="9"/>
  <c r="N27" i="9"/>
  <c r="H27" i="9"/>
  <c r="E27" i="9"/>
  <c r="Q26" i="9"/>
  <c r="N26" i="9"/>
  <c r="H26" i="9"/>
  <c r="E26" i="9"/>
  <c r="Q25" i="9"/>
  <c r="N25" i="9"/>
  <c r="H25" i="9"/>
  <c r="E25" i="9"/>
  <c r="Q22" i="9"/>
  <c r="N22" i="9"/>
  <c r="H22" i="9"/>
  <c r="E22" i="9"/>
  <c r="Q21" i="9"/>
  <c r="N21" i="9"/>
  <c r="H21" i="9"/>
  <c r="E21" i="9"/>
  <c r="Q19" i="9"/>
  <c r="N19" i="9"/>
  <c r="H19" i="9"/>
  <c r="E19" i="9"/>
  <c r="Q18" i="9"/>
  <c r="N18" i="9"/>
  <c r="H18" i="9"/>
  <c r="E18" i="9"/>
  <c r="Q17" i="9"/>
  <c r="N17" i="9"/>
  <c r="H17" i="9"/>
  <c r="E17" i="9"/>
  <c r="Q16" i="9"/>
  <c r="N16" i="9"/>
  <c r="H16" i="9"/>
  <c r="E16" i="9"/>
  <c r="Q13" i="9"/>
  <c r="N13" i="9"/>
  <c r="H13" i="9"/>
  <c r="E13" i="9"/>
  <c r="Q12" i="9"/>
  <c r="N12" i="9"/>
  <c r="H12" i="9"/>
  <c r="E12" i="9"/>
  <c r="Q9" i="9"/>
  <c r="N9" i="9"/>
  <c r="H9" i="9"/>
  <c r="E9" i="9"/>
  <c r="Q7" i="9"/>
  <c r="N7" i="9"/>
  <c r="H7" i="9"/>
  <c r="E7" i="9"/>
  <c r="Q6" i="9"/>
  <c r="N6" i="9"/>
  <c r="H6" i="9"/>
  <c r="E6" i="9"/>
  <c r="P53" i="9"/>
  <c r="L53" i="9"/>
  <c r="G53" i="9"/>
  <c r="C53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8" i="9"/>
  <c r="L48" i="9"/>
  <c r="G48" i="9"/>
  <c r="C48" i="9"/>
  <c r="P47" i="9"/>
  <c r="L47" i="9"/>
  <c r="G47" i="9"/>
  <c r="C47" i="9"/>
  <c r="P44" i="9"/>
  <c r="L44" i="9"/>
  <c r="G44" i="9"/>
  <c r="C44" i="9"/>
  <c r="P42" i="9"/>
  <c r="L42" i="9"/>
  <c r="G42" i="9"/>
  <c r="C42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1" i="9"/>
  <c r="L31" i="9"/>
  <c r="G31" i="9"/>
  <c r="C31" i="9"/>
  <c r="P30" i="9"/>
  <c r="L30" i="9"/>
  <c r="G30" i="9"/>
  <c r="C30" i="9"/>
  <c r="P29" i="9"/>
  <c r="L29" i="9"/>
  <c r="G29" i="9"/>
  <c r="C29" i="9"/>
  <c r="P28" i="9"/>
  <c r="L28" i="9"/>
  <c r="G28" i="9"/>
  <c r="C28" i="9"/>
  <c r="P27" i="9"/>
  <c r="L27" i="9"/>
  <c r="G27" i="9"/>
  <c r="C27" i="9"/>
  <c r="P26" i="9"/>
  <c r="L26" i="9"/>
  <c r="G26" i="9"/>
  <c r="C26" i="9"/>
  <c r="P25" i="9"/>
  <c r="L25" i="9"/>
  <c r="G25" i="9"/>
  <c r="C25" i="9"/>
  <c r="P22" i="9"/>
  <c r="L22" i="9"/>
  <c r="G22" i="9"/>
  <c r="C22" i="9"/>
  <c r="P21" i="9"/>
  <c r="L21" i="9"/>
  <c r="G21" i="9"/>
  <c r="C21" i="9"/>
  <c r="P19" i="9"/>
  <c r="L19" i="9"/>
  <c r="G19" i="9"/>
  <c r="C19" i="9"/>
  <c r="P18" i="9"/>
  <c r="L18" i="9"/>
  <c r="G18" i="9"/>
  <c r="C18" i="9"/>
  <c r="P17" i="9"/>
  <c r="L17" i="9"/>
  <c r="G17" i="9"/>
  <c r="C17" i="9"/>
  <c r="P16" i="9"/>
  <c r="L16" i="9"/>
  <c r="G16" i="9"/>
  <c r="C16" i="9"/>
  <c r="P13" i="9"/>
  <c r="L13" i="9"/>
  <c r="G13" i="9"/>
  <c r="C13" i="9"/>
  <c r="P12" i="9"/>
  <c r="L12" i="9"/>
  <c r="G12" i="9"/>
  <c r="C12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5" i="7"/>
  <c r="J24" i="7"/>
  <c r="J25" i="7"/>
  <c r="E25" i="7"/>
  <c r="F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L31" i="15"/>
  <c r="K31" i="15"/>
  <c r="I31" i="15"/>
  <c r="H31" i="15"/>
  <c r="G31" i="15"/>
  <c r="F31" i="15"/>
  <c r="E31" i="15"/>
  <c r="D31" i="15"/>
  <c r="C31" i="15"/>
  <c r="B31" i="15"/>
  <c r="L30" i="15"/>
  <c r="I30" i="15"/>
  <c r="H30" i="15"/>
  <c r="G30" i="15"/>
  <c r="F30" i="15"/>
  <c r="E30" i="15"/>
  <c r="D30" i="15"/>
  <c r="C30" i="15"/>
  <c r="B30" i="15"/>
  <c r="L26" i="15"/>
  <c r="K26" i="15"/>
  <c r="I26" i="15"/>
  <c r="H26" i="15"/>
  <c r="G26" i="15"/>
  <c r="F26" i="15"/>
  <c r="E26" i="15"/>
  <c r="D26" i="15"/>
  <c r="C26" i="15"/>
  <c r="B26" i="15"/>
  <c r="L25" i="15"/>
  <c r="K25" i="15"/>
  <c r="I25" i="15"/>
  <c r="H25" i="15"/>
  <c r="G25" i="15"/>
  <c r="F25" i="15"/>
  <c r="E25" i="15"/>
  <c r="D25" i="15"/>
  <c r="C25" i="15"/>
  <c r="B25" i="15"/>
  <c r="L19" i="15"/>
  <c r="K19" i="15"/>
  <c r="I19" i="15"/>
  <c r="H19" i="15"/>
  <c r="G19" i="15"/>
  <c r="F19" i="15"/>
  <c r="E19" i="15"/>
  <c r="D19" i="15"/>
  <c r="C19" i="15"/>
  <c r="B19" i="15"/>
  <c r="L18" i="15"/>
  <c r="K18" i="15"/>
  <c r="I18" i="15"/>
  <c r="H18" i="15"/>
  <c r="G18" i="15"/>
  <c r="F18" i="15"/>
  <c r="E18" i="15"/>
  <c r="D18" i="15"/>
  <c r="C18" i="15"/>
  <c r="B18" i="15"/>
  <c r="L16" i="15"/>
  <c r="K16" i="15"/>
  <c r="I16" i="15"/>
  <c r="H16" i="15"/>
  <c r="G16" i="15"/>
  <c r="F16" i="15"/>
  <c r="E16" i="15"/>
  <c r="D16" i="15"/>
  <c r="C16" i="15"/>
  <c r="B16" i="15"/>
  <c r="L15" i="15"/>
  <c r="K15" i="15"/>
  <c r="I15" i="15"/>
  <c r="H15" i="15"/>
  <c r="G15" i="15"/>
  <c r="F15" i="15"/>
  <c r="E15" i="15"/>
  <c r="D15" i="15"/>
  <c r="C15" i="15"/>
  <c r="B15" i="15"/>
  <c r="L11" i="15"/>
  <c r="K11" i="15"/>
  <c r="I11" i="15"/>
  <c r="H11" i="15"/>
  <c r="G11" i="15"/>
  <c r="F11" i="15"/>
  <c r="E11" i="15"/>
  <c r="D11" i="15"/>
  <c r="C11" i="15"/>
  <c r="B11" i="15"/>
  <c r="L10" i="15"/>
  <c r="K10" i="15"/>
  <c r="I10" i="15"/>
  <c r="H10" i="15"/>
  <c r="G10" i="15"/>
  <c r="F10" i="15"/>
  <c r="E10" i="15"/>
  <c r="D10" i="15"/>
  <c r="C10" i="15"/>
  <c r="B10" i="15"/>
  <c r="L6" i="15"/>
  <c r="K6" i="15"/>
  <c r="I6" i="15"/>
  <c r="H6" i="15"/>
  <c r="G6" i="15"/>
  <c r="F6" i="15"/>
  <c r="E6" i="15"/>
  <c r="D6" i="15"/>
  <c r="C6" i="15"/>
  <c r="B6" i="15"/>
  <c r="L5" i="15"/>
  <c r="K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G23" i="2" l="1"/>
  <c r="L57" i="9"/>
  <c r="P57" i="9"/>
  <c r="E57" i="9"/>
  <c r="H57" i="9"/>
  <c r="Q57" i="9"/>
  <c r="C57" i="9"/>
  <c r="G57" i="9"/>
  <c r="F49" i="3"/>
  <c r="E49" i="3"/>
  <c r="F48" i="3"/>
  <c r="E48" i="3"/>
  <c r="G39" i="3"/>
  <c r="F39" i="3"/>
  <c r="E39" i="3"/>
  <c r="D39" i="3"/>
  <c r="C39" i="3"/>
  <c r="B39" i="3"/>
  <c r="G38" i="3"/>
  <c r="F38" i="3"/>
  <c r="E38" i="3"/>
  <c r="D38" i="3"/>
  <c r="C38" i="3"/>
  <c r="B38" i="3"/>
  <c r="G34" i="3"/>
  <c r="F34" i="3"/>
  <c r="E34" i="3"/>
  <c r="D34" i="3"/>
  <c r="C34" i="3"/>
  <c r="B34" i="3"/>
  <c r="G33" i="3"/>
  <c r="F33" i="3"/>
  <c r="E33" i="3"/>
  <c r="D33" i="3"/>
  <c r="C33" i="3"/>
  <c r="B33" i="3"/>
  <c r="G29" i="3"/>
  <c r="F29" i="3"/>
  <c r="E29" i="3"/>
  <c r="D29" i="3"/>
  <c r="C29" i="3"/>
  <c r="B29" i="3"/>
  <c r="G28" i="3"/>
  <c r="F28" i="3"/>
  <c r="E28" i="3"/>
  <c r="D28" i="3"/>
  <c r="C28" i="3"/>
  <c r="B28" i="3"/>
  <c r="G21" i="3"/>
  <c r="F21" i="3"/>
  <c r="E21" i="3"/>
  <c r="D21" i="3"/>
  <c r="C21" i="3"/>
  <c r="B21" i="3"/>
  <c r="G20" i="3"/>
  <c r="F20" i="3"/>
  <c r="E20" i="3"/>
  <c r="D20" i="3"/>
  <c r="C20" i="3"/>
  <c r="B20" i="3"/>
  <c r="G17" i="3"/>
  <c r="F17" i="3"/>
  <c r="E17" i="3"/>
  <c r="D17" i="3"/>
  <c r="C17" i="3"/>
  <c r="B17" i="3"/>
  <c r="G16" i="3"/>
  <c r="F16" i="3"/>
  <c r="E16" i="3"/>
  <c r="D16" i="3"/>
  <c r="C16" i="3"/>
  <c r="B16" i="3"/>
  <c r="G11" i="3"/>
  <c r="F11" i="3"/>
  <c r="E11" i="3"/>
  <c r="D11" i="3"/>
  <c r="C11" i="3"/>
  <c r="B11" i="3"/>
  <c r="G10" i="3"/>
  <c r="F10" i="3"/>
  <c r="E10" i="3"/>
  <c r="D10" i="3"/>
  <c r="C10" i="3"/>
  <c r="B10" i="3"/>
  <c r="G6" i="3"/>
  <c r="F6" i="3"/>
  <c r="E6" i="3"/>
  <c r="D6" i="3"/>
  <c r="C6" i="3"/>
  <c r="B6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F20" i="2"/>
  <c r="E20" i="2"/>
  <c r="D20" i="2"/>
  <c r="C20" i="2"/>
  <c r="B20" i="2"/>
  <c r="F19" i="2"/>
  <c r="E19" i="2"/>
  <c r="D19" i="2"/>
  <c r="C19" i="2"/>
  <c r="B19" i="2"/>
  <c r="F16" i="2"/>
  <c r="E16" i="2"/>
  <c r="D16" i="2"/>
  <c r="C16" i="2"/>
  <c r="B16" i="2"/>
  <c r="F15" i="2"/>
  <c r="E15" i="2"/>
  <c r="D15" i="2"/>
  <c r="C15" i="2"/>
  <c r="B15" i="2"/>
  <c r="F10" i="2"/>
  <c r="E10" i="2"/>
  <c r="D10" i="2"/>
  <c r="C10" i="2"/>
  <c r="B10" i="2"/>
  <c r="F9" i="2"/>
  <c r="E9" i="2"/>
  <c r="D9" i="2"/>
  <c r="C9" i="2"/>
  <c r="B9" i="2"/>
  <c r="F5" i="2"/>
  <c r="E5" i="2"/>
  <c r="D5" i="2"/>
  <c r="C5" i="2"/>
  <c r="B5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J30" i="16" l="1"/>
  <c r="J18" i="16"/>
  <c r="J6" i="16"/>
  <c r="J23" i="16"/>
  <c r="J11" i="16" l="1"/>
  <c r="J37" i="16"/>
  <c r="O24" i="7"/>
  <c r="E24" i="7"/>
  <c r="N16" i="16" l="1"/>
  <c r="G18" i="8" l="1"/>
  <c r="G10" i="8"/>
  <c r="G28" i="8" l="1"/>
  <c r="G6" i="8"/>
  <c r="G12" i="8" s="1"/>
  <c r="G32" i="8"/>
  <c r="G23" i="8"/>
  <c r="G31" i="8"/>
  <c r="G33" i="8" l="1"/>
  <c r="O23" i="7"/>
  <c r="J23" i="7"/>
  <c r="E23" i="7"/>
  <c r="M5" i="8" l="1"/>
  <c r="I7" i="9"/>
  <c r="I7" i="4" l="1"/>
  <c r="I12" i="4"/>
  <c r="I20" i="4"/>
  <c r="I32" i="4"/>
  <c r="I41" i="4"/>
  <c r="I37" i="4" l="1"/>
  <c r="I40" i="4"/>
  <c r="I17" i="4"/>
  <c r="I21" i="4" s="1"/>
  <c r="I27" i="4"/>
  <c r="I42" i="4" l="1"/>
  <c r="R51" i="9"/>
  <c r="I51" i="9"/>
  <c r="O22" i="7"/>
  <c r="J22" i="7"/>
  <c r="F51" i="9" l="1"/>
  <c r="N57" i="9"/>
  <c r="O51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D36" i="15"/>
  <c r="F41" i="4" l="1"/>
  <c r="F20" i="4"/>
  <c r="F17" i="4"/>
  <c r="F40" i="4"/>
  <c r="F7" i="4"/>
  <c r="F27" i="4"/>
  <c r="F12" i="4"/>
  <c r="F32" i="4"/>
  <c r="F37" i="4"/>
  <c r="F21" i="4" l="1"/>
  <c r="F42" i="4"/>
  <c r="N11" i="9"/>
  <c r="E11" i="9"/>
  <c r="R5" i="9"/>
  <c r="O5" i="9"/>
  <c r="I5" i="9"/>
  <c r="F5" i="9"/>
  <c r="P4" i="9"/>
  <c r="H4" i="9"/>
  <c r="F18" i="9"/>
  <c r="F16" i="9"/>
  <c r="O21" i="7"/>
  <c r="J21" i="7"/>
  <c r="E21" i="7"/>
  <c r="E45" i="15"/>
  <c r="E44" i="15"/>
  <c r="L36" i="15"/>
  <c r="K36" i="15"/>
  <c r="I36" i="15"/>
  <c r="H36" i="15"/>
  <c r="G36" i="15"/>
  <c r="F36" i="15"/>
  <c r="E36" i="15"/>
  <c r="C36" i="15"/>
  <c r="B36" i="15"/>
  <c r="L35" i="15"/>
  <c r="K35" i="15"/>
  <c r="I35" i="15"/>
  <c r="H35" i="15"/>
  <c r="K30" i="15"/>
  <c r="O17" i="9" l="1"/>
  <c r="Q11" i="9"/>
  <c r="G15" i="9"/>
  <c r="H15" i="9"/>
  <c r="O7" i="9"/>
  <c r="H11" i="9"/>
  <c r="P15" i="9"/>
  <c r="Q15" i="9"/>
  <c r="F19" i="9"/>
  <c r="F21" i="9"/>
  <c r="F22" i="9"/>
  <c r="R17" i="9"/>
  <c r="I19" i="9"/>
  <c r="R19" i="9"/>
  <c r="I21" i="9"/>
  <c r="R21" i="9"/>
  <c r="I22" i="9"/>
  <c r="R22" i="9"/>
  <c r="I17" i="9"/>
  <c r="I6" i="9"/>
  <c r="F7" i="9"/>
  <c r="F17" i="9"/>
  <c r="O6" i="9"/>
  <c r="C15" i="9"/>
  <c r="L4" i="9"/>
  <c r="F12" i="9"/>
  <c r="R12" i="9"/>
  <c r="G4" i="9"/>
  <c r="L15" i="9"/>
  <c r="N15" i="9"/>
  <c r="E15" i="9"/>
  <c r="R7" i="9"/>
  <c r="I12" i="9"/>
  <c r="O12" i="9"/>
  <c r="Q4" i="9"/>
  <c r="E4" i="9"/>
  <c r="C4" i="9"/>
  <c r="R6" i="9"/>
  <c r="N4" i="9"/>
  <c r="F6" i="9"/>
  <c r="O19" i="9"/>
  <c r="O21" i="9"/>
  <c r="O22" i="9"/>
  <c r="K7" i="15"/>
  <c r="K23" i="16"/>
  <c r="I40" i="15"/>
  <c r="F11" i="2"/>
  <c r="F21" i="2"/>
  <c r="F35" i="2"/>
  <c r="G30" i="2"/>
  <c r="G40" i="2"/>
  <c r="K37" i="15"/>
  <c r="K30" i="16"/>
  <c r="K6" i="16"/>
  <c r="I17" i="15"/>
  <c r="I27" i="15"/>
  <c r="I37" i="15"/>
  <c r="G43" i="2"/>
  <c r="I12" i="15"/>
  <c r="I32" i="15"/>
  <c r="K37" i="16"/>
  <c r="F6" i="2"/>
  <c r="F17" i="2"/>
  <c r="F30" i="2"/>
  <c r="F40" i="2"/>
  <c r="K32" i="15"/>
  <c r="K12" i="15"/>
  <c r="I7" i="15"/>
  <c r="K27" i="15"/>
  <c r="K17" i="15"/>
  <c r="I41" i="15"/>
  <c r="G35" i="2"/>
  <c r="K18" i="16"/>
  <c r="I20" i="15"/>
  <c r="K40" i="15"/>
  <c r="K20" i="15"/>
  <c r="K11" i="16"/>
  <c r="K41" i="15"/>
  <c r="F43" i="2"/>
  <c r="G44" i="2"/>
  <c r="F44" i="2"/>
  <c r="F4" i="9" l="1"/>
  <c r="F15" i="9"/>
  <c r="I21" i="15"/>
  <c r="F45" i="2"/>
  <c r="I42" i="15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D35" i="3"/>
  <c r="F35" i="3"/>
  <c r="E32" i="4"/>
  <c r="B32" i="15"/>
  <c r="D32" i="15"/>
  <c r="H32" i="15"/>
  <c r="L32" i="15"/>
  <c r="J31" i="8"/>
  <c r="D17" i="4"/>
  <c r="F17" i="15"/>
  <c r="L17" i="15"/>
  <c r="D20" i="4"/>
  <c r="B20" i="15"/>
  <c r="C17" i="2"/>
  <c r="D18" i="3"/>
  <c r="G18" i="3"/>
  <c r="D21" i="2"/>
  <c r="F22" i="3"/>
  <c r="C11" i="2"/>
  <c r="D11" i="2"/>
  <c r="J12" i="4"/>
  <c r="C12" i="15"/>
  <c r="E12" i="15"/>
  <c r="B7" i="15"/>
  <c r="L7" i="15"/>
  <c r="H49" i="3"/>
  <c r="H51" i="2" s="1"/>
  <c r="R31" i="9"/>
  <c r="R52" i="9"/>
  <c r="O26" i="9"/>
  <c r="I25" i="9"/>
  <c r="I42" i="9"/>
  <c r="F37" i="9"/>
  <c r="O33" i="7"/>
  <c r="J33" i="7"/>
  <c r="E33" i="7"/>
  <c r="I47" i="2"/>
  <c r="N30" i="7"/>
  <c r="P30" i="7"/>
  <c r="N31" i="7"/>
  <c r="P31" i="7"/>
  <c r="D30" i="7"/>
  <c r="F30" i="7" s="1"/>
  <c r="D31" i="7"/>
  <c r="N29" i="7"/>
  <c r="D29" i="7"/>
  <c r="N27" i="7"/>
  <c r="P27" i="7"/>
  <c r="N28" i="7"/>
  <c r="P28" i="7" s="1"/>
  <c r="D27" i="7"/>
  <c r="F27" i="7" s="1"/>
  <c r="D28" i="7"/>
  <c r="N32" i="7"/>
  <c r="P32" i="7"/>
  <c r="I32" i="7"/>
  <c r="K32" i="7"/>
  <c r="D32" i="7"/>
  <c r="F32" i="7"/>
  <c r="I31" i="7"/>
  <c r="K31" i="7" s="1"/>
  <c r="F31" i="7"/>
  <c r="I30" i="7"/>
  <c r="K30" i="7"/>
  <c r="P29" i="7"/>
  <c r="I29" i="7"/>
  <c r="K29" i="7"/>
  <c r="F29" i="7"/>
  <c r="I28" i="7"/>
  <c r="K28" i="7"/>
  <c r="F28" i="7"/>
  <c r="I27" i="7"/>
  <c r="K27" i="7"/>
  <c r="N26" i="7"/>
  <c r="P26" i="7" s="1"/>
  <c r="I26" i="7"/>
  <c r="K26" i="7" s="1"/>
  <c r="D26" i="7"/>
  <c r="F26" i="7"/>
  <c r="M45" i="15"/>
  <c r="M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F18" i="3"/>
  <c r="F23" i="3" s="1"/>
  <c r="C17" i="4"/>
  <c r="J37" i="4"/>
  <c r="I37" i="16"/>
  <c r="D32" i="8"/>
  <c r="H37" i="16"/>
  <c r="R53" i="9"/>
  <c r="B18" i="3"/>
  <c r="E17" i="15"/>
  <c r="B37" i="16"/>
  <c r="F37" i="16"/>
  <c r="H39" i="9"/>
  <c r="F44" i="3"/>
  <c r="H48" i="3"/>
  <c r="H50" i="2" s="1"/>
  <c r="I50" i="2" s="1"/>
  <c r="D30" i="16"/>
  <c r="H30" i="16"/>
  <c r="F28" i="9"/>
  <c r="O50" i="9"/>
  <c r="F52" i="9"/>
  <c r="F26" i="9"/>
  <c r="M11" i="16"/>
  <c r="E41" i="15"/>
  <c r="J41" i="4"/>
  <c r="O25" i="9"/>
  <c r="C23" i="16"/>
  <c r="K28" i="8"/>
  <c r="B22" i="3"/>
  <c r="J20" i="4"/>
  <c r="J17" i="4"/>
  <c r="B46" i="4"/>
  <c r="B47" i="4" s="1"/>
  <c r="N39" i="9"/>
  <c r="B44" i="3"/>
  <c r="D44" i="2"/>
  <c r="B18" i="8"/>
  <c r="O18" i="9"/>
  <c r="L18" i="16"/>
  <c r="O29" i="9"/>
  <c r="R47" i="9"/>
  <c r="D6" i="16"/>
  <c r="C7" i="7"/>
  <c r="E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35" i="9"/>
  <c r="R35" i="9"/>
  <c r="R33" i="9"/>
  <c r="R44" i="9"/>
  <c r="F33" i="9"/>
  <c r="I29" i="9"/>
  <c r="F48" i="9"/>
  <c r="E6" i="2"/>
  <c r="D7" i="15"/>
  <c r="F12" i="15"/>
  <c r="G22" i="3"/>
  <c r="G23" i="3" s="1"/>
  <c r="B17" i="15"/>
  <c r="B21" i="15" s="1"/>
  <c r="F12" i="7"/>
  <c r="B12" i="7"/>
  <c r="J6" i="8"/>
  <c r="J12" i="8" s="1"/>
  <c r="D20" i="1"/>
  <c r="L32" i="8"/>
  <c r="L41" i="15"/>
  <c r="F41" i="15"/>
  <c r="B41" i="15"/>
  <c r="D41" i="4"/>
  <c r="C28" i="8"/>
  <c r="E40" i="15"/>
  <c r="J40" i="4"/>
  <c r="H18" i="16"/>
  <c r="F47" i="9"/>
  <c r="O37" i="9"/>
  <c r="E43" i="2"/>
  <c r="B43" i="2"/>
  <c r="G32" i="15"/>
  <c r="C32" i="15"/>
  <c r="E44" i="3"/>
  <c r="B23" i="16"/>
  <c r="I16" i="9"/>
  <c r="R48" i="9"/>
  <c r="R18" i="9"/>
  <c r="G11" i="16"/>
  <c r="F6" i="16"/>
  <c r="B6" i="16"/>
  <c r="I11" i="16"/>
  <c r="E11" i="16"/>
  <c r="H6" i="16"/>
  <c r="H12" i="15"/>
  <c r="G12" i="4"/>
  <c r="E12" i="3"/>
  <c r="C21" i="2"/>
  <c r="C23" i="2" s="1"/>
  <c r="G20" i="4"/>
  <c r="H17" i="15"/>
  <c r="D17" i="15"/>
  <c r="D21" i="15" s="1"/>
  <c r="D32" i="4"/>
  <c r="G35" i="3"/>
  <c r="C35" i="3"/>
  <c r="L23" i="8"/>
  <c r="D23" i="8"/>
  <c r="L27" i="15"/>
  <c r="F27" i="15"/>
  <c r="H28" i="3"/>
  <c r="H28" i="2" s="1"/>
  <c r="I28" i="2" s="1"/>
  <c r="B5" i="5" s="1"/>
  <c r="J23" i="8"/>
  <c r="H33" i="8"/>
  <c r="C30" i="16"/>
  <c r="G30" i="16"/>
  <c r="R25" i="9"/>
  <c r="H46" i="9"/>
  <c r="I53" i="9"/>
  <c r="E7" i="3"/>
  <c r="E7" i="7"/>
  <c r="C12" i="7"/>
  <c r="K6" i="8"/>
  <c r="K12" i="8" s="1"/>
  <c r="C44" i="3"/>
  <c r="E32" i="15"/>
  <c r="J32" i="4"/>
  <c r="D27" i="4"/>
  <c r="L18" i="8"/>
  <c r="D18" i="8"/>
  <c r="F31" i="8"/>
  <c r="H23" i="16"/>
  <c r="I9" i="9"/>
  <c r="I52" i="9"/>
  <c r="I26" i="9"/>
  <c r="G6" i="16"/>
  <c r="C6" i="16"/>
  <c r="E6" i="16"/>
  <c r="D7" i="3"/>
  <c r="G7" i="3"/>
  <c r="C7" i="3"/>
  <c r="B6" i="8"/>
  <c r="B12" i="8" s="1"/>
  <c r="B40" i="4"/>
  <c r="E23" i="16"/>
  <c r="I23" i="16"/>
  <c r="I37" i="9"/>
  <c r="F31" i="9"/>
  <c r="O27" i="9"/>
  <c r="O53" i="9"/>
  <c r="O48" i="9"/>
  <c r="R9" i="9"/>
  <c r="R30" i="9"/>
  <c r="J7" i="4"/>
  <c r="C7" i="4"/>
  <c r="H10" i="3"/>
  <c r="H9" i="2" s="1"/>
  <c r="B17" i="2"/>
  <c r="D21" i="1"/>
  <c r="G41" i="15"/>
  <c r="M36" i="15"/>
  <c r="K36" i="4" s="1"/>
  <c r="L36" i="4" s="1"/>
  <c r="C16" i="5" s="1"/>
  <c r="B37" i="4"/>
  <c r="L31" i="8"/>
  <c r="D28" i="8"/>
  <c r="L40" i="15"/>
  <c r="D40" i="4"/>
  <c r="F40" i="3"/>
  <c r="B40" i="3"/>
  <c r="D40" i="2"/>
  <c r="D44" i="3"/>
  <c r="B32" i="8"/>
  <c r="L10" i="8"/>
  <c r="R37" i="9"/>
  <c r="R42" i="9"/>
  <c r="H7" i="15"/>
  <c r="L12" i="15"/>
  <c r="D12" i="4"/>
  <c r="C12" i="3"/>
  <c r="C22" i="3"/>
  <c r="E40" i="3"/>
  <c r="C40" i="2"/>
  <c r="O31" i="9"/>
  <c r="C46" i="9"/>
  <c r="R28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24" i="9"/>
  <c r="L46" i="9"/>
  <c r="G6" i="7"/>
  <c r="C7" i="1" s="1"/>
  <c r="H11" i="3"/>
  <c r="H10" i="2" s="1"/>
  <c r="I10" i="2" s="1"/>
  <c r="G11" i="7"/>
  <c r="C18" i="1" s="1"/>
  <c r="N4" i="16"/>
  <c r="N5" i="16"/>
  <c r="M26" i="15"/>
  <c r="K26" i="4" s="1"/>
  <c r="L26" i="4" s="1"/>
  <c r="C6" i="5" s="1"/>
  <c r="C40" i="3"/>
  <c r="B23" i="8"/>
  <c r="L23" i="16"/>
  <c r="P24" i="9"/>
  <c r="R50" i="9"/>
  <c r="D37" i="4"/>
  <c r="B40" i="15"/>
  <c r="H20" i="3"/>
  <c r="H19" i="2" s="1"/>
  <c r="I19" i="2" s="1"/>
  <c r="M8" i="8"/>
  <c r="E43" i="3"/>
  <c r="B27" i="4"/>
  <c r="M19" i="15"/>
  <c r="K19" i="4" s="1"/>
  <c r="L19" i="4" s="1"/>
  <c r="D31" i="8"/>
  <c r="I35" i="9"/>
  <c r="I44" i="9"/>
  <c r="Q39" i="9"/>
  <c r="I48" i="9"/>
  <c r="R27" i="9"/>
  <c r="D7" i="4"/>
  <c r="H39" i="3"/>
  <c r="H39" i="2" s="1"/>
  <c r="I39" i="2" s="1"/>
  <c r="B16" i="5" s="1"/>
  <c r="B32" i="4"/>
  <c r="E35" i="2"/>
  <c r="B35" i="2"/>
  <c r="F23" i="8"/>
  <c r="D43" i="2"/>
  <c r="F23" i="16"/>
  <c r="L11" i="16"/>
  <c r="L20" i="15"/>
  <c r="L21" i="15" s="1"/>
  <c r="C40" i="4"/>
  <c r="C31" i="8"/>
  <c r="D43" i="3"/>
  <c r="B41" i="4"/>
  <c r="C32" i="4"/>
  <c r="B18" i="16"/>
  <c r="F18" i="16"/>
  <c r="N21" i="16"/>
  <c r="I49" i="9"/>
  <c r="N24" i="9"/>
  <c r="O30" i="9"/>
  <c r="Q46" i="9"/>
  <c r="O47" i="9"/>
  <c r="F29" i="9"/>
  <c r="F7" i="3"/>
  <c r="C6" i="2"/>
  <c r="E7" i="15"/>
  <c r="G7" i="15"/>
  <c r="E7" i="4"/>
  <c r="H16" i="3"/>
  <c r="H15" i="2" s="1"/>
  <c r="I15" i="2" s="1"/>
  <c r="H40" i="15"/>
  <c r="R49" i="9"/>
  <c r="P46" i="9"/>
  <c r="D6" i="8"/>
  <c r="D12" i="8" s="1"/>
  <c r="C19" i="1"/>
  <c r="M27" i="8"/>
  <c r="D16" i="5" s="1"/>
  <c r="C44" i="2"/>
  <c r="G23" i="16"/>
  <c r="R26" i="9"/>
  <c r="Q24" i="9"/>
  <c r="H5" i="3"/>
  <c r="H4" i="2" s="1"/>
  <c r="I4" i="2" s="1"/>
  <c r="B5" i="1" s="1"/>
  <c r="C7" i="15"/>
  <c r="M5" i="15"/>
  <c r="K5" i="4" s="1"/>
  <c r="L5" i="4" s="1"/>
  <c r="B6" i="1" s="1"/>
  <c r="M16" i="15"/>
  <c r="K16" i="4" s="1"/>
  <c r="L16" i="4" s="1"/>
  <c r="F20" i="15"/>
  <c r="F21" i="15" s="1"/>
  <c r="G30" i="3"/>
  <c r="G43" i="3"/>
  <c r="E24" i="9"/>
  <c r="F25" i="9"/>
  <c r="H34" i="3"/>
  <c r="H34" i="2" s="1"/>
  <c r="I34" i="2" s="1"/>
  <c r="B11" i="5" s="1"/>
  <c r="H29" i="3"/>
  <c r="H29" i="2" s="1"/>
  <c r="D12" i="3"/>
  <c r="E35" i="3"/>
  <c r="M31" i="15"/>
  <c r="K31" i="4" s="1"/>
  <c r="F18" i="8"/>
  <c r="C30" i="2"/>
  <c r="G40" i="3"/>
  <c r="G44" i="3"/>
  <c r="M9" i="8"/>
  <c r="I30" i="16"/>
  <c r="N28" i="16"/>
  <c r="N17" i="16"/>
  <c r="G18" i="16"/>
  <c r="D23" i="16"/>
  <c r="G40" i="4"/>
  <c r="G37" i="4"/>
  <c r="H38" i="3"/>
  <c r="H38" i="2" s="1"/>
  <c r="D40" i="3"/>
  <c r="F28" i="8"/>
  <c r="F32" i="8"/>
  <c r="M16" i="8"/>
  <c r="D5" i="5" s="1"/>
  <c r="G37" i="15"/>
  <c r="M18" i="15"/>
  <c r="K18" i="4" s="1"/>
  <c r="J32" i="8"/>
  <c r="F35" i="9"/>
  <c r="N10" i="16"/>
  <c r="B11" i="16"/>
  <c r="I51" i="2"/>
  <c r="H21" i="3"/>
  <c r="H20" i="2" s="1"/>
  <c r="I20" i="2" s="1"/>
  <c r="E22" i="3"/>
  <c r="G41" i="4"/>
  <c r="M26" i="8"/>
  <c r="D15" i="5" s="1"/>
  <c r="C37" i="15"/>
  <c r="E30" i="3"/>
  <c r="M46" i="15"/>
  <c r="K44" i="4" s="1"/>
  <c r="L44" i="4" s="1"/>
  <c r="L37" i="16"/>
  <c r="F44" i="9"/>
  <c r="I33" i="9"/>
  <c r="O28" i="9"/>
  <c r="O49" i="9"/>
  <c r="F50" i="9"/>
  <c r="F49" i="9"/>
  <c r="F11" i="16"/>
  <c r="M47" i="15"/>
  <c r="K45" i="4" s="1"/>
  <c r="L45" i="4" s="1"/>
  <c r="D22" i="3"/>
  <c r="D23" i="3" s="1"/>
  <c r="B21" i="2"/>
  <c r="L37" i="15"/>
  <c r="E37" i="4"/>
  <c r="M30" i="15"/>
  <c r="K30" i="4" s="1"/>
  <c r="L30" i="4" s="1"/>
  <c r="C10" i="5" s="1"/>
  <c r="H27" i="15"/>
  <c r="M22" i="8"/>
  <c r="D11" i="5" s="1"/>
  <c r="G27" i="15"/>
  <c r="C41" i="15"/>
  <c r="E41" i="4"/>
  <c r="D30" i="3"/>
  <c r="M17" i="8"/>
  <c r="E30" i="16"/>
  <c r="O9" i="9"/>
  <c r="G37" i="16"/>
  <c r="O42" i="9"/>
  <c r="R29" i="9"/>
  <c r="I6" i="16"/>
  <c r="H11" i="16"/>
  <c r="D11" i="16"/>
  <c r="D6" i="2"/>
  <c r="M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47" i="9"/>
  <c r="F42" i="9"/>
  <c r="I31" i="9"/>
  <c r="O52" i="9"/>
  <c r="F27" i="9"/>
  <c r="M6" i="16"/>
  <c r="H6" i="3"/>
  <c r="H5" i="2" s="1"/>
  <c r="I5" i="2" s="1"/>
  <c r="C5" i="1" s="1"/>
  <c r="B7" i="3"/>
  <c r="F7" i="15"/>
  <c r="G7" i="4"/>
  <c r="D7" i="7"/>
  <c r="G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3" i="9"/>
  <c r="I50" i="9"/>
  <c r="G46" i="9"/>
  <c r="I30" i="9"/>
  <c r="G24" i="9"/>
  <c r="I27" i="9"/>
  <c r="H24" i="9"/>
  <c r="B6" i="2"/>
  <c r="H17" i="3"/>
  <c r="H16" i="2" s="1"/>
  <c r="D41" i="15"/>
  <c r="D37" i="15"/>
  <c r="C41" i="4"/>
  <c r="C40" i="15"/>
  <c r="M25" i="15"/>
  <c r="K25" i="4" s="1"/>
  <c r="C27" i="15"/>
  <c r="E40" i="4"/>
  <c r="E27" i="4"/>
  <c r="M30" i="16"/>
  <c r="N27" i="16"/>
  <c r="D18" i="16"/>
  <c r="M23" i="16"/>
  <c r="N22" i="16"/>
  <c r="E37" i="16"/>
  <c r="N34" i="16"/>
  <c r="E46" i="9"/>
  <c r="J12" i="5"/>
  <c r="J21" i="5"/>
  <c r="M4" i="8"/>
  <c r="B19" i="1" s="1"/>
  <c r="C6" i="8"/>
  <c r="K31" i="8"/>
  <c r="K23" i="8"/>
  <c r="C32" i="8"/>
  <c r="F9" i="9"/>
  <c r="B43" i="3"/>
  <c r="C11" i="16"/>
  <c r="N9" i="16"/>
  <c r="B12" i="15"/>
  <c r="M10" i="15"/>
  <c r="K10" i="4" s="1"/>
  <c r="F40" i="15"/>
  <c r="M35" i="15"/>
  <c r="K35" i="4" s="1"/>
  <c r="F37" i="15"/>
  <c r="E44" i="2"/>
  <c r="E30" i="2"/>
  <c r="B44" i="2"/>
  <c r="B30" i="2"/>
  <c r="H33" i="3"/>
  <c r="H33" i="2" s="1"/>
  <c r="C18" i="8"/>
  <c r="D37" i="16"/>
  <c r="C37" i="16"/>
  <c r="N35" i="16"/>
  <c r="O16" i="9"/>
  <c r="O33" i="9"/>
  <c r="O44" i="9"/>
  <c r="M11" i="15"/>
  <c r="K11" i="4" s="1"/>
  <c r="L11" i="4" s="1"/>
  <c r="D12" i="15"/>
  <c r="F30" i="9"/>
  <c r="R16" i="9"/>
  <c r="M15" i="15"/>
  <c r="K15" i="4" s="1"/>
  <c r="C24" i="9"/>
  <c r="E39" i="9"/>
  <c r="N46" i="9"/>
  <c r="L6" i="16"/>
  <c r="B7" i="7"/>
  <c r="F32" i="15"/>
  <c r="C43" i="2"/>
  <c r="C35" i="2"/>
  <c r="D21" i="4"/>
  <c r="C18" i="16"/>
  <c r="I28" i="9"/>
  <c r="I18" i="9"/>
  <c r="B7" i="4"/>
  <c r="C12" i="4"/>
  <c r="F12" i="3"/>
  <c r="C18" i="3"/>
  <c r="G10" i="7"/>
  <c r="B18" i="1" s="1"/>
  <c r="C37" i="4"/>
  <c r="F43" i="3"/>
  <c r="F30" i="3"/>
  <c r="C30" i="3"/>
  <c r="C43" i="3"/>
  <c r="Q58" i="9" l="1"/>
  <c r="Q56" i="9" s="1"/>
  <c r="N58" i="9"/>
  <c r="N56" i="9" s="1"/>
  <c r="E58" i="9"/>
  <c r="E56" i="9" s="1"/>
  <c r="H58" i="9"/>
  <c r="H56" i="9" s="1"/>
  <c r="C25" i="7"/>
  <c r="B25" i="7"/>
  <c r="F20" i="1"/>
  <c r="F21" i="1"/>
  <c r="G21" i="4"/>
  <c r="O24" i="9"/>
  <c r="F46" i="9"/>
  <c r="G21" i="15"/>
  <c r="B23" i="3"/>
  <c r="B42" i="15"/>
  <c r="J42" i="4"/>
  <c r="L42" i="15"/>
  <c r="K7" i="4"/>
  <c r="L7" i="4" s="1"/>
  <c r="J21" i="4"/>
  <c r="G45" i="3"/>
  <c r="O46" i="9"/>
  <c r="R15" i="9"/>
  <c r="C21" i="4"/>
  <c r="B23" i="2"/>
  <c r="B33" i="1"/>
  <c r="M10" i="8"/>
  <c r="F45" i="3"/>
  <c r="I15" i="9"/>
  <c r="J33" i="8"/>
  <c r="E21" i="15"/>
  <c r="E45" i="3"/>
  <c r="D45" i="2"/>
  <c r="C45" i="3"/>
  <c r="L12" i="8"/>
  <c r="E23" i="3"/>
  <c r="B33" i="8"/>
  <c r="G42" i="15"/>
  <c r="H21" i="15"/>
  <c r="E42" i="15"/>
  <c r="B42" i="4"/>
  <c r="D7" i="1"/>
  <c r="H17" i="2"/>
  <c r="I17" i="2" s="1"/>
  <c r="R24" i="9"/>
  <c r="H12" i="3"/>
  <c r="H44" i="3"/>
  <c r="E45" i="2"/>
  <c r="L33" i="8"/>
  <c r="E21" i="4"/>
  <c r="D17" i="5"/>
  <c r="D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H35" i="3"/>
  <c r="H40" i="3"/>
  <c r="H44" i="2"/>
  <c r="I44" i="2" s="1"/>
  <c r="M32" i="15"/>
  <c r="L25" i="4"/>
  <c r="C5" i="5" s="1"/>
  <c r="H30" i="3"/>
  <c r="N6" i="16"/>
  <c r="H7" i="3"/>
  <c r="M23" i="8"/>
  <c r="B21" i="4"/>
  <c r="M18" i="8"/>
  <c r="M20" i="15"/>
  <c r="D6" i="1"/>
  <c r="M31" i="8"/>
  <c r="G12" i="7"/>
  <c r="C8" i="1"/>
  <c r="N11" i="16"/>
  <c r="J22" i="5"/>
  <c r="I29" i="2"/>
  <c r="B6" i="5" s="1"/>
  <c r="B7" i="5" s="1"/>
  <c r="M7" i="15"/>
  <c r="H21" i="2"/>
  <c r="I21" i="2" s="1"/>
  <c r="G42" i="4"/>
  <c r="N23" i="16"/>
  <c r="K32" i="4"/>
  <c r="L32" i="4" s="1"/>
  <c r="C37" i="1"/>
  <c r="H42" i="15"/>
  <c r="H22" i="3"/>
  <c r="R46" i="9"/>
  <c r="E23" i="2"/>
  <c r="M27" i="15"/>
  <c r="B16" i="1"/>
  <c r="C17" i="1"/>
  <c r="N37" i="16"/>
  <c r="K41" i="4"/>
  <c r="L41" i="4" s="1"/>
  <c r="N18" i="16"/>
  <c r="D19" i="1"/>
  <c r="H6" i="2"/>
  <c r="I6" i="2" s="1"/>
  <c r="D5" i="1" s="1"/>
  <c r="B8" i="1"/>
  <c r="I24" i="9"/>
  <c r="M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24" i="9"/>
  <c r="H35" i="2"/>
  <c r="I35" i="2" s="1"/>
  <c r="H43" i="2"/>
  <c r="D6" i="5"/>
  <c r="I33" i="2"/>
  <c r="B10" i="5" s="1"/>
  <c r="K33" i="8"/>
  <c r="M37" i="15"/>
  <c r="H18" i="3"/>
  <c r="C23" i="3"/>
  <c r="K17" i="4"/>
  <c r="L15" i="4"/>
  <c r="D10" i="5"/>
  <c r="C12" i="8"/>
  <c r="M6" i="8"/>
  <c r="E42" i="4"/>
  <c r="C42" i="15"/>
  <c r="M40" i="15"/>
  <c r="D42" i="15"/>
  <c r="M41" i="15"/>
  <c r="C33" i="8"/>
  <c r="O15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M12" i="15"/>
  <c r="B45" i="3"/>
  <c r="H43" i="3"/>
  <c r="I46" i="9"/>
  <c r="D25" i="7" l="1"/>
  <c r="F25" i="7" s="1"/>
  <c r="F18" i="1"/>
  <c r="M12" i="8"/>
  <c r="B10" i="1"/>
  <c r="D10" i="1" s="1"/>
  <c r="M21" i="15"/>
  <c r="D21" i="7"/>
  <c r="F21" i="7" s="1"/>
  <c r="F19" i="1"/>
  <c r="F6" i="1"/>
  <c r="H45" i="2"/>
  <c r="I45" i="2" s="1"/>
  <c r="B32" i="1"/>
  <c r="H45" i="3"/>
  <c r="F7" i="1"/>
  <c r="H23" i="2"/>
  <c r="I23" i="2" s="1"/>
  <c r="B27" i="1"/>
  <c r="B21" i="5"/>
  <c r="B28" i="1"/>
  <c r="K42" i="4"/>
  <c r="L42" i="4" s="1"/>
  <c r="M42" i="15"/>
  <c r="H23" i="3"/>
  <c r="C11" i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M25" i="7" l="1"/>
  <c r="C32" i="1"/>
  <c r="B11" i="1"/>
  <c r="L25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D11" i="1"/>
  <c r="F11" i="1" s="1"/>
  <c r="F10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H25" i="7" l="1"/>
  <c r="N25" i="7"/>
  <c r="P25" i="7" s="1"/>
  <c r="G25" i="7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5" i="7" l="1"/>
  <c r="K25" i="7" s="1"/>
  <c r="I21" i="7"/>
  <c r="F22" i="5"/>
  <c r="H22" i="5" s="1"/>
  <c r="H20" i="5"/>
  <c r="K21" i="7" l="1"/>
  <c r="R4" i="9" l="1"/>
  <c r="O4" i="9"/>
  <c r="I4" i="9" l="1"/>
  <c r="F13" i="9" l="1"/>
  <c r="C11" i="9"/>
  <c r="F11" i="9" s="1"/>
  <c r="G11" i="9"/>
  <c r="I11" i="9" s="1"/>
  <c r="I13" i="9"/>
  <c r="I57" i="9" l="1"/>
  <c r="L11" i="9"/>
  <c r="O11" i="9" s="1"/>
  <c r="O13" i="9"/>
  <c r="R57" i="9"/>
  <c r="R13" i="9"/>
  <c r="P11" i="9"/>
  <c r="R11" i="9" s="1"/>
  <c r="F57" i="9"/>
  <c r="D48" i="9"/>
  <c r="M48" i="9" l="1"/>
  <c r="O57" i="9"/>
  <c r="O40" i="9" l="1"/>
  <c r="L39" i="9"/>
  <c r="L58" i="9" s="1"/>
  <c r="M20" i="9" s="1"/>
  <c r="R40" i="9"/>
  <c r="P39" i="9"/>
  <c r="P58" i="9" s="1"/>
  <c r="I40" i="9"/>
  <c r="G39" i="9"/>
  <c r="G58" i="9" s="1"/>
  <c r="C39" i="9"/>
  <c r="C58" i="9" s="1"/>
  <c r="D20" i="9" s="1"/>
  <c r="F40" i="9"/>
  <c r="R39" i="9" l="1"/>
  <c r="O39" i="9"/>
  <c r="F39" i="9"/>
  <c r="D39" i="9"/>
  <c r="I39" i="9"/>
  <c r="M51" i="9" l="1"/>
  <c r="M13" i="9"/>
  <c r="M11" i="9"/>
  <c r="M6" i="9"/>
  <c r="M25" i="9"/>
  <c r="M5" i="9"/>
  <c r="M42" i="9"/>
  <c r="M35" i="9"/>
  <c r="M12" i="9"/>
  <c r="M33" i="9"/>
  <c r="M17" i="9"/>
  <c r="M16" i="9"/>
  <c r="M44" i="9"/>
  <c r="O58" i="9"/>
  <c r="M47" i="9"/>
  <c r="M49" i="9"/>
  <c r="M21" i="9"/>
  <c r="M46" i="9"/>
  <c r="M19" i="9"/>
  <c r="M31" i="9"/>
  <c r="M4" i="9"/>
  <c r="L56" i="9"/>
  <c r="M18" i="9"/>
  <c r="M50" i="9"/>
  <c r="M37" i="9"/>
  <c r="M24" i="9"/>
  <c r="M53" i="9"/>
  <c r="M58" i="9"/>
  <c r="M30" i="9"/>
  <c r="M57" i="9"/>
  <c r="M9" i="9"/>
  <c r="M22" i="9"/>
  <c r="M27" i="9"/>
  <c r="M28" i="9"/>
  <c r="M7" i="9"/>
  <c r="M52" i="9"/>
  <c r="M15" i="9"/>
  <c r="M29" i="9"/>
  <c r="M26" i="9"/>
  <c r="M40" i="9"/>
  <c r="R58" i="9"/>
  <c r="P56" i="9"/>
  <c r="M39" i="9"/>
  <c r="I58" i="9"/>
  <c r="G56" i="9"/>
  <c r="D11" i="9"/>
  <c r="D58" i="9"/>
  <c r="D53" i="9"/>
  <c r="D44" i="9"/>
  <c r="D51" i="9"/>
  <c r="D50" i="9"/>
  <c r="D26" i="9"/>
  <c r="D19" i="9"/>
  <c r="D13" i="9"/>
  <c r="D15" i="9"/>
  <c r="D46" i="9"/>
  <c r="D35" i="9"/>
  <c r="D33" i="9"/>
  <c r="D5" i="9"/>
  <c r="D17" i="9"/>
  <c r="D24" i="9"/>
  <c r="D30" i="9"/>
  <c r="D16" i="9"/>
  <c r="D7" i="9"/>
  <c r="C56" i="9"/>
  <c r="D52" i="9"/>
  <c r="D49" i="9"/>
  <c r="D4" i="9"/>
  <c r="D47" i="9"/>
  <c r="D27" i="9"/>
  <c r="F58" i="9"/>
  <c r="D57" i="9"/>
  <c r="D6" i="9"/>
  <c r="D25" i="9"/>
  <c r="D28" i="9"/>
  <c r="D29" i="9"/>
  <c r="D31" i="9"/>
  <c r="D42" i="9"/>
  <c r="D18" i="9"/>
  <c r="D22" i="9"/>
  <c r="D9" i="9"/>
  <c r="D12" i="9"/>
  <c r="D37" i="9"/>
  <c r="D21" i="9"/>
  <c r="D40" i="9"/>
  <c r="R56" i="9" l="1"/>
  <c r="I56" i="9"/>
  <c r="M56" i="9"/>
  <c r="O56" i="9"/>
  <c r="F56" i="9"/>
  <c r="D56" i="9"/>
  <c r="B23" i="7" l="1"/>
  <c r="C23" i="7"/>
  <c r="D23" i="7" l="1"/>
  <c r="F23" i="7" s="1"/>
  <c r="M23" i="7" l="1"/>
  <c r="H23" i="7" s="1"/>
  <c r="L23" i="7"/>
  <c r="N23" i="7" l="1"/>
  <c r="P23" i="7" s="1"/>
  <c r="G23" i="7"/>
  <c r="I23" i="7" s="1"/>
  <c r="K23" i="7" s="1"/>
  <c r="B22" i="7" l="1"/>
  <c r="C22" i="7"/>
  <c r="M22" i="7" l="1"/>
  <c r="D22" i="7"/>
  <c r="F22" i="7" l="1"/>
  <c r="H22" i="7"/>
  <c r="L22" i="7" l="1"/>
  <c r="N22" i="7" l="1"/>
  <c r="G22" i="7"/>
  <c r="I22" i="7" l="1"/>
  <c r="P22" i="7"/>
  <c r="K22" i="7" l="1"/>
  <c r="G20" i="1" l="1"/>
  <c r="I20" i="1" l="1"/>
  <c r="G21" i="1"/>
  <c r="D33" i="1"/>
  <c r="I16" i="5"/>
  <c r="C24" i="7" l="1"/>
  <c r="C33" i="7" s="1"/>
  <c r="B24" i="7"/>
  <c r="B33" i="7" s="1"/>
  <c r="I21" i="1"/>
  <c r="G7" i="1"/>
  <c r="G5" i="1"/>
  <c r="G19" i="1"/>
  <c r="G18" i="1"/>
  <c r="D32" i="1"/>
  <c r="G17" i="1"/>
  <c r="I6" i="5"/>
  <c r="D24" i="7" l="1"/>
  <c r="I19" i="1"/>
  <c r="K6" i="5"/>
  <c r="I5" i="1"/>
  <c r="D34" i="1"/>
  <c r="E33" i="1" s="1"/>
  <c r="I7" i="1"/>
  <c r="I17" i="1"/>
  <c r="M24" i="7"/>
  <c r="I18" i="1"/>
  <c r="G6" i="1"/>
  <c r="G8" i="1" s="1"/>
  <c r="F24" i="7"/>
  <c r="D33" i="7"/>
  <c r="F33" i="7" s="1"/>
  <c r="G16" i="1"/>
  <c r="G28" i="1"/>
  <c r="I11" i="5"/>
  <c r="I21" i="5" s="1"/>
  <c r="K21" i="5" s="1"/>
  <c r="I5" i="5"/>
  <c r="I15" i="5"/>
  <c r="G27" i="1"/>
  <c r="I10" i="5"/>
  <c r="L24" i="7" l="1"/>
  <c r="G24" i="7" s="1"/>
  <c r="G29" i="1"/>
  <c r="I29" i="1" s="1"/>
  <c r="I27" i="1"/>
  <c r="I28" i="1"/>
  <c r="K15" i="5"/>
  <c r="I17" i="5"/>
  <c r="K17" i="5" s="1"/>
  <c r="I8" i="1"/>
  <c r="K11" i="5"/>
  <c r="L33" i="7"/>
  <c r="G10" i="1"/>
  <c r="G11" i="1" s="1"/>
  <c r="I11" i="1" s="1"/>
  <c r="E32" i="1"/>
  <c r="K10" i="5"/>
  <c r="I12" i="5"/>
  <c r="K12" i="5" s="1"/>
  <c r="I7" i="5"/>
  <c r="K7" i="5" s="1"/>
  <c r="K5" i="5"/>
  <c r="I20" i="5"/>
  <c r="I16" i="1"/>
  <c r="G22" i="1"/>
  <c r="I22" i="1" s="1"/>
  <c r="I6" i="1"/>
  <c r="H24" i="7"/>
  <c r="H33" i="7" s="1"/>
  <c r="M33" i="7"/>
  <c r="N24" i="7" l="1"/>
  <c r="N33" i="7" s="1"/>
  <c r="P33" i="7" s="1"/>
  <c r="I22" i="5"/>
  <c r="K22" i="5" s="1"/>
  <c r="K20" i="5"/>
  <c r="I24" i="7"/>
  <c r="G33" i="7"/>
  <c r="I10" i="1"/>
  <c r="P24" i="7"/>
  <c r="K24" i="7" l="1"/>
  <c r="I33" i="7"/>
  <c r="K33" i="7" s="1"/>
</calcChain>
</file>

<file path=xl/sharedStrings.xml><?xml version="1.0" encoding="utf-8"?>
<sst xmlns="http://schemas.openxmlformats.org/spreadsheetml/2006/main" count="538" uniqueCount="221">
  <si>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</si>
  <si>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</si>
  <si>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</si>
  <si>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</si>
  <si>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</si>
  <si>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</si>
  <si>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</si>
  <si>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</si>
  <si>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</si>
  <si>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</si>
  <si>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</si>
  <si>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</si>
  <si>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</si>
  <si>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</si>
  <si>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</si>
  <si>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</si>
  <si>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</si>
  <si>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</si>
  <si>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</si>
  <si>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</si>
  <si>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</si>
  <si>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</si>
  <si>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</si>
  <si>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</si>
  <si>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</si>
  <si>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</si>
  <si>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</si>
  <si>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</si>
  <si>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</si>
  <si>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</si>
  <si>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</si>
  <si>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</si>
  <si>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</si>
  <si>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</si>
  <si>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</si>
  <si>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</si>
  <si>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</si>
  <si>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</si>
  <si>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</si>
  <si>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</si>
  <si>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</si>
  <si>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</si>
  <si>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</si>
  <si>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</si>
  <si>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</si>
  <si>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</si>
  <si>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</si>
  <si>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</si>
  <si>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</si>
  <si>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</si>
  <si>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</si>
  <si>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</si>
  <si>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</si>
  <si>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</si>
  <si>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</si>
  <si>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</si>
  <si>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</si>
  <si>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</si>
  <si>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</si>
  <si>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</si>
  <si>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</si>
  <si>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</si>
  <si>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</si>
  <si>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</si>
  <si>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</si>
  <si>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</si>
  <si>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</si>
  <si>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</si>
  <si>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</si>
  <si>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</si>
  <si>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</si>
  <si>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</si>
  <si>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</si>
  <si>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</si>
  <si>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</si>
  <si>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</si>
  <si>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</si>
  <si>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</si>
  <si>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</si>
  <si>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</si>
  <si>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</si>
  <si>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</si>
  <si>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</si>
  <si>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</si>
  <si>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</si>
  <si>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</si>
  <si>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</si>
  <si>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</si>
  <si>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</si>
  <si>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</si>
  <si>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</si>
  <si>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</si>
  <si>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</si>
  <si>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</si>
  <si>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</si>
  <si>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</si>
  <si>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</si>
  <si>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</si>
  <si>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</si>
  <si>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</si>
  <si>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</si>
  <si>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</si>
  <si>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</si>
  <si>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</si>
  <si>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</si>
  <si>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</si>
  <si>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</si>
  <si>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</si>
  <si>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</si>
  <si>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</si>
  <si>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</si>
  <si>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</si>
  <si>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</si>
  <si>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</si>
  <si>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</si>
  <si>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</si>
  <si>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</si>
  <si>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</si>
  <si>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</si>
  <si>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</si>
  <si>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</si>
  <si>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</si>
  <si>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</si>
  <si>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</si>
  <si>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</si>
  <si>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</si>
  <si>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</si>
  <si>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</si>
  <si>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</si>
  <si>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</si>
  <si>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</si>
  <si>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</si>
  <si>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</si>
  <si>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</si>
  <si>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</si>
  <si>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</si>
  <si>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</si>
  <si>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</si>
  <si>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</si>
  <si>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</si>
  <si>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</si>
  <si>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</si>
  <si>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</si>
  <si>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</si>
  <si>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</si>
  <si>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</si>
  <si>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</si>
  <si>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</si>
  <si>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</si>
  <si>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</si>
  <si>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</si>
  <si>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</si>
  <si>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</si>
  <si>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</si>
  <si>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</si>
  <si>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</si>
  <si>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</si>
  <si>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</si>
  <si>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</si>
  <si>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</si>
  <si>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</si>
  <si>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</si>
  <si>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</si>
  <si>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</si>
  <si>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</si>
  <si>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</si>
  <si>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</si>
  <si>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</si>
  <si>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</si>
  <si>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</si>
  <si>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</si>
  <si>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</si>
  <si>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</si>
  <si>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</si>
  <si>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</si>
  <si>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</si>
  <si>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</si>
  <si>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</si>
  <si>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</si>
  <si>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</si>
  <si>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</si>
  <si>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</si>
  <si>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</si>
  <si>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</si>
  <si>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</si>
  <si>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</si>
  <si>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</si>
  <si>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</si>
  <si>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</si>
  <si>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</si>
  <si>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</si>
  <si>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</si>
  <si>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</si>
  <si>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</si>
  <si>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</si>
  <si>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</si>
  <si>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</si>
  <si>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</si>
  <si>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</si>
  <si>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</si>
  <si>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</si>
  <si>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</si>
  <si>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</si>
  <si>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</si>
  <si>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Jazz - Air Canada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</si>
  <si>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</si>
  <si>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</si>
  <si>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</si>
  <si>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</si>
  <si>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</si>
  <si>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</si>
  <si>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</si>
  <si>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</si>
  <si>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</si>
  <si>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</si>
  <si>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</si>
  <si>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</si>
  <si>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</si>
  <si>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May 2015</t>
  </si>
  <si>
    <t>PSA</t>
  </si>
  <si>
    <t>PSA - American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</si>
</sst>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6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6" xfId="0" applyNumberFormat="1" applyFont="1" applyBorder="1"/>
    <xf numFmtId="10" fontId="13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2242261</v>
          </cell>
          <cell r="G5">
            <v>10359725</v>
          </cell>
        </row>
        <row r="6">
          <cell r="D6">
            <v>700997</v>
          </cell>
          <cell r="G6">
            <v>3493235</v>
          </cell>
        </row>
        <row r="7">
          <cell r="D7">
            <v>549</v>
          </cell>
          <cell r="G7">
            <v>2566</v>
          </cell>
        </row>
        <row r="10">
          <cell r="D10">
            <v>90086</v>
          </cell>
          <cell r="G10">
            <v>431881</v>
          </cell>
        </row>
        <row r="16">
          <cell r="D16">
            <v>17153</v>
          </cell>
          <cell r="G16">
            <v>79770</v>
          </cell>
        </row>
        <row r="17">
          <cell r="D17">
            <v>13343</v>
          </cell>
          <cell r="G17">
            <v>68670</v>
          </cell>
        </row>
        <row r="18">
          <cell r="D18">
            <v>8</v>
          </cell>
          <cell r="G18">
            <v>39</v>
          </cell>
        </row>
        <row r="19">
          <cell r="D19">
            <v>984</v>
          </cell>
          <cell r="G19">
            <v>4981</v>
          </cell>
        </row>
        <row r="20">
          <cell r="D20">
            <v>1865</v>
          </cell>
          <cell r="G20">
            <v>8613</v>
          </cell>
        </row>
        <row r="21">
          <cell r="D21">
            <v>106</v>
          </cell>
          <cell r="G21">
            <v>532</v>
          </cell>
        </row>
        <row r="27">
          <cell r="D27">
            <v>15184.10346888666</v>
          </cell>
          <cell r="G27">
            <v>75550.726164790802</v>
          </cell>
        </row>
        <row r="28">
          <cell r="D28">
            <v>1060.1682922222699</v>
          </cell>
          <cell r="G28">
            <v>5667.7555043509401</v>
          </cell>
        </row>
        <row r="32">
          <cell r="B32">
            <v>769112</v>
          </cell>
          <cell r="D32">
            <v>3951395</v>
          </cell>
        </row>
        <row r="33">
          <cell r="B33">
            <v>691592</v>
          </cell>
          <cell r="D33">
            <v>2945928</v>
          </cell>
        </row>
      </sheetData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>
        <row r="5">
          <cell r="F5">
            <v>7266.5248198196496</v>
          </cell>
          <cell r="I5">
            <v>36386.108082629689</v>
          </cell>
        </row>
        <row r="6">
          <cell r="F6">
            <v>649.31747765499995</v>
          </cell>
          <cell r="I6">
            <v>2988.4779076044201</v>
          </cell>
        </row>
        <row r="10">
          <cell r="F10">
            <v>7917.5786490670098</v>
          </cell>
          <cell r="I10">
            <v>39164.618082161112</v>
          </cell>
        </row>
        <row r="11">
          <cell r="F11">
            <v>410.85081456726999</v>
          </cell>
          <cell r="I11">
            <v>2679.27759674652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15184.10346888666</v>
          </cell>
        </row>
        <row r="21">
          <cell r="F21">
            <v>1060.1682922222699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8616059</v>
          </cell>
        </row>
        <row r="6">
          <cell r="G6">
            <v>2674663</v>
          </cell>
        </row>
        <row r="7">
          <cell r="G7">
            <v>1264</v>
          </cell>
        </row>
        <row r="10">
          <cell r="G10">
            <v>366390</v>
          </cell>
        </row>
        <row r="16">
          <cell r="G16">
            <v>66381</v>
          </cell>
        </row>
        <row r="17">
          <cell r="G17">
            <v>52600</v>
          </cell>
        </row>
        <row r="18">
          <cell r="G18">
            <v>11</v>
          </cell>
        </row>
        <row r="19">
          <cell r="G19">
            <v>4402</v>
          </cell>
        </row>
        <row r="20">
          <cell r="G20">
            <v>6678</v>
          </cell>
        </row>
        <row r="21">
          <cell r="G21">
            <v>391</v>
          </cell>
        </row>
        <row r="27">
          <cell r="G27">
            <v>58581.440524136531</v>
          </cell>
        </row>
        <row r="28">
          <cell r="G28">
            <v>3774.3355545458835</v>
          </cell>
        </row>
        <row r="32">
          <cell r="D32">
            <v>3370538</v>
          </cell>
        </row>
        <row r="33">
          <cell r="D33">
            <v>2255890</v>
          </cell>
        </row>
      </sheetData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>
        <row r="5">
          <cell r="I5">
            <v>28282.932589937409</v>
          </cell>
        </row>
        <row r="6">
          <cell r="I6">
            <v>1820.083177153954</v>
          </cell>
        </row>
        <row r="10">
          <cell r="I10">
            <v>30298.507934199115</v>
          </cell>
        </row>
        <row r="11">
          <cell r="I11">
            <v>1954.2523773919299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EP4"/>
        </row>
        <row r="5">
          <cell r="EP5"/>
        </row>
        <row r="8">
          <cell r="EP8"/>
        </row>
        <row r="9">
          <cell r="EP9"/>
        </row>
        <row r="15">
          <cell r="EL15"/>
          <cell r="EM15"/>
          <cell r="EN15"/>
          <cell r="EO15"/>
          <cell r="EP15">
            <v>18</v>
          </cell>
        </row>
        <row r="16">
          <cell r="EL16"/>
          <cell r="EM16"/>
          <cell r="EN16"/>
          <cell r="EO16"/>
          <cell r="EP16">
            <v>18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</row>
        <row r="22">
          <cell r="EP22"/>
        </row>
        <row r="23">
          <cell r="EP23"/>
        </row>
        <row r="27">
          <cell r="EP27"/>
        </row>
        <row r="28">
          <cell r="EP28"/>
        </row>
        <row r="32">
          <cell r="EL32"/>
          <cell r="EM32"/>
          <cell r="EN32"/>
          <cell r="EO32"/>
          <cell r="EP32">
            <v>4037</v>
          </cell>
        </row>
        <row r="33">
          <cell r="EL33"/>
          <cell r="EM33"/>
          <cell r="EN33"/>
          <cell r="EO33"/>
          <cell r="EP33"/>
        </row>
        <row r="37">
          <cell r="EL37"/>
          <cell r="EM37"/>
          <cell r="EN37"/>
          <cell r="EO37"/>
          <cell r="EP37">
            <v>9</v>
          </cell>
        </row>
        <row r="38">
          <cell r="EL38"/>
          <cell r="EM38"/>
          <cell r="EN38"/>
          <cell r="EO38"/>
          <cell r="EP38">
            <v>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</row>
        <row r="47">
          <cell r="EP47">
            <v>89668</v>
          </cell>
        </row>
        <row r="48">
          <cell r="EP48"/>
        </row>
        <row r="52">
          <cell r="EP52">
            <v>7418</v>
          </cell>
        </row>
        <row r="53">
          <cell r="EP53"/>
        </row>
        <row r="57">
          <cell r="EP57"/>
        </row>
        <row r="58">
          <cell r="EP58"/>
        </row>
      </sheetData>
      <sheetData sheetId="5"/>
      <sheetData sheetId="6">
        <row r="4">
          <cell r="EP4">
            <v>63</v>
          </cell>
        </row>
        <row r="5">
          <cell r="EP5">
            <v>63</v>
          </cell>
        </row>
        <row r="8">
          <cell r="EP8"/>
        </row>
        <row r="9">
          <cell r="EP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</row>
        <row r="22">
          <cell r="EP22">
            <v>9049</v>
          </cell>
        </row>
        <row r="23">
          <cell r="EP23">
            <v>9371</v>
          </cell>
        </row>
        <row r="27">
          <cell r="EP27">
            <v>338</v>
          </cell>
        </row>
        <row r="28">
          <cell r="EP28">
            <v>388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</row>
        <row r="47">
          <cell r="EP47">
            <v>42944</v>
          </cell>
        </row>
        <row r="48">
          <cell r="EP48"/>
        </row>
        <row r="52">
          <cell r="EP52">
            <v>8838</v>
          </cell>
        </row>
        <row r="53">
          <cell r="EP53"/>
        </row>
        <row r="57">
          <cell r="EP57"/>
        </row>
        <row r="58">
          <cell r="EP58"/>
        </row>
      </sheetData>
      <sheetData sheetId="7"/>
      <sheetData sheetId="8">
        <row r="4">
          <cell r="EP4">
            <v>744</v>
          </cell>
        </row>
        <row r="5">
          <cell r="EP5">
            <v>750</v>
          </cell>
        </row>
        <row r="8">
          <cell r="EP8"/>
        </row>
        <row r="9">
          <cell r="EP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</row>
        <row r="22">
          <cell r="EP22">
            <v>100917</v>
          </cell>
        </row>
        <row r="23">
          <cell r="EP23">
            <v>96880</v>
          </cell>
        </row>
        <row r="27">
          <cell r="EP27">
            <v>2771</v>
          </cell>
        </row>
        <row r="28">
          <cell r="EP28">
            <v>2984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</row>
        <row r="47">
          <cell r="EP47">
            <v>41104</v>
          </cell>
        </row>
        <row r="48">
          <cell r="EP48">
            <v>64644</v>
          </cell>
        </row>
        <row r="52">
          <cell r="EP52">
            <v>22150</v>
          </cell>
        </row>
        <row r="53">
          <cell r="EP53">
            <v>75551</v>
          </cell>
        </row>
        <row r="57">
          <cell r="EP57"/>
        </row>
        <row r="58">
          <cell r="EP58"/>
        </row>
      </sheetData>
      <sheetData sheetId="9"/>
      <sheetData sheetId="10">
        <row r="4">
          <cell r="EP4">
            <v>646</v>
          </cell>
        </row>
        <row r="5">
          <cell r="EP5">
            <v>653</v>
          </cell>
        </row>
        <row r="8">
          <cell r="EP8">
            <v>51</v>
          </cell>
        </row>
        <row r="9">
          <cell r="EP9">
            <v>48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</row>
        <row r="22">
          <cell r="EP22">
            <v>77414</v>
          </cell>
        </row>
        <row r="23">
          <cell r="EP23">
            <v>76268</v>
          </cell>
        </row>
        <row r="27">
          <cell r="EP27">
            <v>1689</v>
          </cell>
        </row>
        <row r="28">
          <cell r="EP28">
            <v>1792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</row>
        <row r="47">
          <cell r="EP47">
            <v>1719897</v>
          </cell>
        </row>
        <row r="48">
          <cell r="EP48">
            <v>278563</v>
          </cell>
        </row>
        <row r="52">
          <cell r="EP52">
            <v>115476</v>
          </cell>
        </row>
        <row r="53">
          <cell r="EP53">
            <v>293275</v>
          </cell>
        </row>
        <row r="57">
          <cell r="EP57"/>
        </row>
        <row r="58">
          <cell r="EP58"/>
        </row>
        <row r="70">
          <cell r="EP70">
            <v>65257</v>
          </cell>
        </row>
        <row r="71">
          <cell r="EP71">
            <v>11011</v>
          </cell>
        </row>
        <row r="73">
          <cell r="EP73">
            <v>2327</v>
          </cell>
        </row>
      </sheetData>
      <sheetData sheetId="11"/>
      <sheetData sheetId="12">
        <row r="4">
          <cell r="EP4"/>
        </row>
        <row r="5">
          <cell r="EP5"/>
        </row>
        <row r="8">
          <cell r="EP8"/>
        </row>
        <row r="9">
          <cell r="EP9"/>
        </row>
        <row r="15">
          <cell r="EL15"/>
          <cell r="EM15"/>
          <cell r="EN15"/>
          <cell r="EO15"/>
          <cell r="EP15"/>
        </row>
        <row r="16">
          <cell r="EL16"/>
          <cell r="EM16"/>
          <cell r="EN16"/>
          <cell r="EO16"/>
          <cell r="EP16"/>
        </row>
        <row r="22">
          <cell r="EP22"/>
        </row>
        <row r="23">
          <cell r="EP23"/>
        </row>
        <row r="27">
          <cell r="EP27"/>
        </row>
        <row r="28">
          <cell r="EP28"/>
        </row>
        <row r="32">
          <cell r="EL32"/>
          <cell r="EM32"/>
          <cell r="EN32"/>
          <cell r="EO32"/>
          <cell r="EP32"/>
        </row>
        <row r="33">
          <cell r="EL33"/>
          <cell r="EM33"/>
          <cell r="EN33"/>
          <cell r="EO33"/>
          <cell r="EP33"/>
        </row>
        <row r="37">
          <cell r="EL37"/>
          <cell r="EM37"/>
          <cell r="EN37"/>
          <cell r="EO37"/>
          <cell r="EP37"/>
        </row>
        <row r="38">
          <cell r="EL38"/>
          <cell r="EM38"/>
          <cell r="EN38"/>
          <cell r="EO38"/>
          <cell r="EP38"/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13">
        <row r="4">
          <cell r="EP4">
            <v>5387</v>
          </cell>
        </row>
        <row r="5">
          <cell r="EP5">
            <v>5390</v>
          </cell>
        </row>
        <row r="8">
          <cell r="EP8">
            <v>3</v>
          </cell>
        </row>
        <row r="9">
          <cell r="EP9">
            <v>11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</row>
        <row r="22">
          <cell r="EP22">
            <v>734289</v>
          </cell>
        </row>
        <row r="23">
          <cell r="EP23">
            <v>722982</v>
          </cell>
        </row>
        <row r="27">
          <cell r="EP27">
            <v>26898</v>
          </cell>
        </row>
        <row r="28">
          <cell r="EP28">
            <v>26940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</row>
        <row r="47">
          <cell r="EP47">
            <v>3158127</v>
          </cell>
        </row>
        <row r="48">
          <cell r="EP48">
            <v>410421</v>
          </cell>
        </row>
        <row r="52">
          <cell r="EP52">
            <v>2579246</v>
          </cell>
        </row>
        <row r="53">
          <cell r="EP53">
            <v>25507</v>
          </cell>
        </row>
        <row r="57">
          <cell r="EP57"/>
        </row>
        <row r="58">
          <cell r="EP58"/>
        </row>
        <row r="70">
          <cell r="EP70">
            <v>302929</v>
          </cell>
        </row>
        <row r="71">
          <cell r="EP71">
            <v>420053</v>
          </cell>
        </row>
        <row r="73">
          <cell r="EP73">
            <v>22385</v>
          </cell>
        </row>
        <row r="74">
          <cell r="EP74">
            <v>31040</v>
          </cell>
        </row>
      </sheetData>
      <sheetData sheetId="14">
        <row r="4">
          <cell r="EP4">
            <v>98</v>
          </cell>
        </row>
        <row r="5">
          <cell r="EP5">
            <v>98</v>
          </cell>
        </row>
        <row r="8">
          <cell r="EP8"/>
        </row>
        <row r="9">
          <cell r="EP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</row>
        <row r="22">
          <cell r="EP22">
            <v>14513</v>
          </cell>
        </row>
        <row r="23">
          <cell r="EP23">
            <v>14354</v>
          </cell>
        </row>
        <row r="27">
          <cell r="EP27">
            <v>154</v>
          </cell>
        </row>
        <row r="28">
          <cell r="EP28">
            <v>174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15">
        <row r="4">
          <cell r="EP4">
            <v>32</v>
          </cell>
        </row>
        <row r="5">
          <cell r="EP5">
            <v>32</v>
          </cell>
        </row>
        <row r="8">
          <cell r="EP8"/>
        </row>
        <row r="9">
          <cell r="EP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</row>
        <row r="22">
          <cell r="EP22">
            <v>68</v>
          </cell>
        </row>
        <row r="23">
          <cell r="EP23">
            <v>72</v>
          </cell>
        </row>
        <row r="27">
          <cell r="EP27">
            <v>14</v>
          </cell>
        </row>
        <row r="28">
          <cell r="EP28">
            <v>22</v>
          </cell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16">
        <row r="8">
          <cell r="EP8"/>
        </row>
        <row r="9">
          <cell r="EP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</row>
        <row r="47">
          <cell r="EP47">
            <v>28239</v>
          </cell>
        </row>
        <row r="48">
          <cell r="EP48"/>
        </row>
        <row r="52">
          <cell r="EP52">
            <v>140</v>
          </cell>
        </row>
        <row r="53">
          <cell r="EP53"/>
        </row>
        <row r="57">
          <cell r="EP57"/>
        </row>
        <row r="58">
          <cell r="EP58"/>
        </row>
      </sheetData>
      <sheetData sheetId="17"/>
      <sheetData sheetId="18"/>
      <sheetData sheetId="19"/>
      <sheetData sheetId="20">
        <row r="19">
          <cell r="EB19">
            <v>184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</row>
      </sheetData>
      <sheetData sheetId="21">
        <row r="4">
          <cell r="EP4">
            <v>736</v>
          </cell>
        </row>
        <row r="5">
          <cell r="EP5">
            <v>735</v>
          </cell>
        </row>
        <row r="8">
          <cell r="EP8"/>
        </row>
        <row r="9">
          <cell r="EP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</row>
        <row r="22">
          <cell r="EP22">
            <v>93166</v>
          </cell>
        </row>
        <row r="23">
          <cell r="EP23">
            <v>89419</v>
          </cell>
        </row>
        <row r="27">
          <cell r="EP27">
            <v>1157</v>
          </cell>
        </row>
        <row r="28">
          <cell r="EP28">
            <v>1288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</row>
        <row r="47">
          <cell r="EP47">
            <v>219212</v>
          </cell>
        </row>
        <row r="48">
          <cell r="EP48"/>
        </row>
        <row r="52">
          <cell r="EP52">
            <v>104292</v>
          </cell>
        </row>
        <row r="53">
          <cell r="EP53"/>
        </row>
        <row r="57">
          <cell r="EP57"/>
        </row>
        <row r="58">
          <cell r="EP58"/>
        </row>
        <row r="70">
          <cell r="EP70">
            <v>88985</v>
          </cell>
        </row>
        <row r="71">
          <cell r="EP71">
            <v>434</v>
          </cell>
        </row>
      </sheetData>
      <sheetData sheetId="22">
        <row r="4">
          <cell r="EP4">
            <v>400</v>
          </cell>
        </row>
        <row r="5">
          <cell r="EP5">
            <v>400</v>
          </cell>
        </row>
        <row r="8">
          <cell r="EP8"/>
        </row>
        <row r="9">
          <cell r="EP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</row>
        <row r="22">
          <cell r="EP22">
            <v>51611</v>
          </cell>
        </row>
        <row r="23">
          <cell r="EP23">
            <v>50831</v>
          </cell>
        </row>
        <row r="27">
          <cell r="EP27">
            <v>497</v>
          </cell>
        </row>
        <row r="28">
          <cell r="EP28">
            <v>450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23">
        <row r="4">
          <cell r="EP4">
            <v>327</v>
          </cell>
        </row>
        <row r="5">
          <cell r="EP5">
            <v>327</v>
          </cell>
        </row>
        <row r="8">
          <cell r="EP8"/>
        </row>
        <row r="9">
          <cell r="EP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</row>
        <row r="22">
          <cell r="EP22">
            <v>39125</v>
          </cell>
        </row>
        <row r="23">
          <cell r="EP23">
            <v>39791</v>
          </cell>
        </row>
        <row r="27">
          <cell r="EP27">
            <v>1037</v>
          </cell>
        </row>
        <row r="28">
          <cell r="EP28">
            <v>1027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</row>
        <row r="47">
          <cell r="EP47">
            <v>46037</v>
          </cell>
        </row>
        <row r="48">
          <cell r="EP48">
            <v>126681</v>
          </cell>
        </row>
        <row r="52">
          <cell r="EP52">
            <v>27799</v>
          </cell>
        </row>
        <row r="53">
          <cell r="EP53">
            <v>121762</v>
          </cell>
        </row>
        <row r="57">
          <cell r="EP57"/>
        </row>
        <row r="58">
          <cell r="EP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</sheetData>
      <sheetData sheetId="25">
        <row r="8">
          <cell r="EP8"/>
        </row>
        <row r="9">
          <cell r="EP9"/>
        </row>
        <row r="15">
          <cell r="EL15">
            <v>89</v>
          </cell>
          <cell r="EM15">
            <v>3</v>
          </cell>
          <cell r="EN15"/>
          <cell r="EO15"/>
          <cell r="EP15"/>
        </row>
        <row r="16">
          <cell r="EL16">
            <v>89</v>
          </cell>
          <cell r="EM16">
            <v>4</v>
          </cell>
          <cell r="EN16"/>
          <cell r="EO16"/>
          <cell r="EP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</row>
        <row r="33">
          <cell r="EL33">
            <v>3083</v>
          </cell>
          <cell r="EM33">
            <v>123</v>
          </cell>
          <cell r="EN33"/>
          <cell r="EO33"/>
          <cell r="EP33"/>
        </row>
        <row r="37">
          <cell r="EL37">
            <v>23</v>
          </cell>
          <cell r="EM37">
            <v>1</v>
          </cell>
          <cell r="EN37"/>
          <cell r="EO37"/>
          <cell r="EP37"/>
        </row>
        <row r="38">
          <cell r="EL38">
            <v>35</v>
          </cell>
          <cell r="EM38">
            <v>4</v>
          </cell>
          <cell r="EN38"/>
          <cell r="EO38"/>
          <cell r="EP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BG58"/>
        </row>
      </sheetData>
      <sheetData sheetId="26">
        <row r="8">
          <cell r="EP8">
            <v>0</v>
          </cell>
        </row>
        <row r="9">
          <cell r="EP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</row>
        <row r="37">
          <cell r="EL37"/>
          <cell r="EM37"/>
          <cell r="EN37"/>
          <cell r="EO37"/>
          <cell r="EP37"/>
        </row>
        <row r="38">
          <cell r="EL38"/>
          <cell r="EM38"/>
          <cell r="EN38"/>
          <cell r="EO38"/>
          <cell r="EP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</sheetData>
      <sheetData sheetId="27">
        <row r="4">
          <cell r="EP4">
            <v>1</v>
          </cell>
        </row>
        <row r="5">
          <cell r="EP5">
            <v>1</v>
          </cell>
        </row>
        <row r="8">
          <cell r="EP8"/>
        </row>
        <row r="9">
          <cell r="EP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</row>
        <row r="22">
          <cell r="EP22">
            <v>49</v>
          </cell>
        </row>
        <row r="23">
          <cell r="EP23"/>
        </row>
        <row r="27">
          <cell r="EP27">
            <v>1</v>
          </cell>
        </row>
        <row r="28">
          <cell r="EP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</row>
        <row r="47">
          <cell r="EP47"/>
        </row>
        <row r="48">
          <cell r="EP48"/>
        </row>
        <row r="52">
          <cell r="BH52"/>
        </row>
        <row r="53">
          <cell r="EP53"/>
        </row>
        <row r="57">
          <cell r="BG57"/>
        </row>
        <row r="58">
          <cell r="BG58"/>
        </row>
      </sheetData>
      <sheetData sheetId="28">
        <row r="4">
          <cell r="EP4">
            <v>5</v>
          </cell>
        </row>
        <row r="5">
          <cell r="EP5">
            <v>5</v>
          </cell>
        </row>
        <row r="8">
          <cell r="EP8"/>
        </row>
        <row r="9">
          <cell r="EP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</row>
        <row r="22">
          <cell r="EP22">
            <v>297</v>
          </cell>
        </row>
        <row r="23">
          <cell r="EP23">
            <v>279</v>
          </cell>
        </row>
        <row r="27">
          <cell r="EP27">
            <v>10</v>
          </cell>
        </row>
        <row r="28">
          <cell r="EP28">
            <v>15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29">
        <row r="4">
          <cell r="EP4">
            <v>292</v>
          </cell>
        </row>
        <row r="5">
          <cell r="EP5">
            <v>291</v>
          </cell>
        </row>
        <row r="8">
          <cell r="EP8"/>
        </row>
        <row r="9">
          <cell r="EP9"/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</row>
        <row r="22">
          <cell r="EP22">
            <v>16787</v>
          </cell>
        </row>
        <row r="23">
          <cell r="EP23">
            <v>16592</v>
          </cell>
        </row>
        <row r="27">
          <cell r="EP27">
            <v>522</v>
          </cell>
        </row>
        <row r="28">
          <cell r="EP28">
            <v>499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BG58"/>
        </row>
        <row r="70">
          <cell r="EP70">
            <v>5774</v>
          </cell>
        </row>
        <row r="71">
          <cell r="EP71">
            <v>10818</v>
          </cell>
        </row>
        <row r="73">
          <cell r="EP73">
            <v>133</v>
          </cell>
        </row>
        <row r="74">
          <cell r="EP74">
            <v>248</v>
          </cell>
        </row>
      </sheetData>
      <sheetData sheetId="30"/>
      <sheetData sheetId="31"/>
      <sheetData sheetId="32"/>
      <sheetData sheetId="33">
        <row r="4">
          <cell r="EP4">
            <v>611</v>
          </cell>
        </row>
        <row r="5">
          <cell r="EP5">
            <v>611</v>
          </cell>
        </row>
        <row r="8">
          <cell r="EP8"/>
        </row>
        <row r="9">
          <cell r="EP9">
            <v>2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</row>
        <row r="22">
          <cell r="EP22">
            <v>36230</v>
          </cell>
        </row>
        <row r="23">
          <cell r="EP23">
            <v>35362</v>
          </cell>
        </row>
        <row r="27">
          <cell r="EP27">
            <v>1281</v>
          </cell>
        </row>
        <row r="28">
          <cell r="EP28">
            <v>1367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BG58"/>
        </row>
        <row r="70">
          <cell r="BG70">
            <v>26242</v>
          </cell>
          <cell r="EP70">
            <v>13827</v>
          </cell>
        </row>
        <row r="71">
          <cell r="BG71">
            <v>44562</v>
          </cell>
          <cell r="EP71">
            <v>21535</v>
          </cell>
        </row>
        <row r="73">
          <cell r="BG73">
            <v>1540</v>
          </cell>
          <cell r="EP73">
            <v>1506</v>
          </cell>
        </row>
        <row r="74">
          <cell r="BG74">
            <v>2614</v>
          </cell>
          <cell r="EP74">
            <v>2345</v>
          </cell>
        </row>
      </sheetData>
      <sheetData sheetId="34"/>
      <sheetData sheetId="35">
        <row r="4">
          <cell r="EP4">
            <v>13</v>
          </cell>
        </row>
        <row r="5">
          <cell r="EP5">
            <v>13</v>
          </cell>
        </row>
        <row r="8">
          <cell r="EP8"/>
        </row>
        <row r="9">
          <cell r="EP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</row>
        <row r="22">
          <cell r="EP22">
            <v>598</v>
          </cell>
        </row>
        <row r="23">
          <cell r="EP23">
            <v>667</v>
          </cell>
        </row>
        <row r="27">
          <cell r="EP27">
            <v>11</v>
          </cell>
        </row>
        <row r="28">
          <cell r="EP28">
            <v>21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BG58"/>
        </row>
      </sheetData>
      <sheetData sheetId="36"/>
      <sheetData sheetId="37">
        <row r="4">
          <cell r="EP4"/>
        </row>
        <row r="5">
          <cell r="EP5"/>
        </row>
        <row r="8">
          <cell r="EP8"/>
        </row>
        <row r="9">
          <cell r="EP9"/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</row>
        <row r="22">
          <cell r="EP22"/>
        </row>
        <row r="23">
          <cell r="EP23"/>
        </row>
        <row r="27">
          <cell r="EP27"/>
        </row>
        <row r="28">
          <cell r="EP28"/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AJ57"/>
        </row>
        <row r="58">
          <cell r="AJ58"/>
        </row>
      </sheetData>
      <sheetData sheetId="38">
        <row r="4">
          <cell r="EP4">
            <v>15</v>
          </cell>
        </row>
        <row r="5">
          <cell r="EP5">
            <v>15</v>
          </cell>
        </row>
        <row r="8">
          <cell r="EP8"/>
        </row>
        <row r="9">
          <cell r="EP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</row>
        <row r="22">
          <cell r="EP22">
            <v>962</v>
          </cell>
        </row>
        <row r="23">
          <cell r="EP23">
            <v>986</v>
          </cell>
        </row>
        <row r="27">
          <cell r="EP27">
            <v>31</v>
          </cell>
        </row>
        <row r="28">
          <cell r="EP28">
            <v>32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AJ57"/>
        </row>
        <row r="58">
          <cell r="AJ58"/>
        </row>
      </sheetData>
      <sheetData sheetId="39"/>
      <sheetData sheetId="40">
        <row r="4">
          <cell r="EP4">
            <v>116</v>
          </cell>
        </row>
        <row r="5">
          <cell r="EP5">
            <v>116</v>
          </cell>
        </row>
        <row r="8">
          <cell r="EP8"/>
        </row>
        <row r="9">
          <cell r="EP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</row>
        <row r="22">
          <cell r="EP22">
            <v>7234</v>
          </cell>
        </row>
        <row r="23">
          <cell r="EP23">
            <v>6894</v>
          </cell>
        </row>
        <row r="27">
          <cell r="EP27">
            <v>175</v>
          </cell>
        </row>
        <row r="28">
          <cell r="EP28">
            <v>229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41">
        <row r="4">
          <cell r="EP4"/>
        </row>
        <row r="5">
          <cell r="EP5"/>
        </row>
        <row r="8">
          <cell r="EP8"/>
        </row>
        <row r="9">
          <cell r="EP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</row>
        <row r="22">
          <cell r="EP22"/>
        </row>
        <row r="23">
          <cell r="EP23"/>
        </row>
        <row r="27">
          <cell r="EP27"/>
        </row>
        <row r="28">
          <cell r="EP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AJ57"/>
        </row>
        <row r="58">
          <cell r="AJ58"/>
        </row>
      </sheetData>
      <sheetData sheetId="42"/>
      <sheetData sheetId="43">
        <row r="4">
          <cell r="EP4">
            <v>1896</v>
          </cell>
        </row>
        <row r="5">
          <cell r="EP5">
            <v>1897</v>
          </cell>
        </row>
        <row r="8">
          <cell r="EP8"/>
        </row>
        <row r="9">
          <cell r="EP9"/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</row>
        <row r="22">
          <cell r="EP22">
            <v>103362</v>
          </cell>
        </row>
        <row r="23">
          <cell r="EP23">
            <v>101734</v>
          </cell>
        </row>
        <row r="27">
          <cell r="EP27">
            <v>3796</v>
          </cell>
        </row>
        <row r="28">
          <cell r="EP28">
            <v>3829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  <row r="70">
          <cell r="EP70">
            <v>32046</v>
          </cell>
        </row>
        <row r="71">
          <cell r="EP71">
            <v>69688</v>
          </cell>
        </row>
        <row r="73">
          <cell r="EP73">
            <v>6350</v>
          </cell>
        </row>
        <row r="74">
          <cell r="EP74">
            <v>13810</v>
          </cell>
        </row>
      </sheetData>
      <sheetData sheetId="44">
        <row r="4">
          <cell r="EP4">
            <v>9</v>
          </cell>
        </row>
        <row r="5">
          <cell r="EP5">
            <v>9</v>
          </cell>
        </row>
        <row r="8">
          <cell r="EP8"/>
        </row>
        <row r="9">
          <cell r="EP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</row>
        <row r="22">
          <cell r="EP22">
            <v>580</v>
          </cell>
        </row>
        <row r="23">
          <cell r="EP23">
            <v>507</v>
          </cell>
        </row>
        <row r="27">
          <cell r="EP27">
            <v>10</v>
          </cell>
        </row>
        <row r="28">
          <cell r="EP28">
            <v>14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AJ57"/>
        </row>
        <row r="58">
          <cell r="AJ58"/>
        </row>
      </sheetData>
      <sheetData sheetId="45">
        <row r="4">
          <cell r="EP4">
            <v>182</v>
          </cell>
        </row>
        <row r="5">
          <cell r="EP5">
            <v>182</v>
          </cell>
        </row>
        <row r="8">
          <cell r="EP8"/>
        </row>
        <row r="9">
          <cell r="EP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</row>
        <row r="22">
          <cell r="EP22">
            <v>11683</v>
          </cell>
        </row>
        <row r="23">
          <cell r="EP23">
            <v>12009</v>
          </cell>
        </row>
        <row r="27">
          <cell r="EP27"/>
        </row>
        <row r="28">
          <cell r="EP28"/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46">
        <row r="4">
          <cell r="EP4">
            <v>105</v>
          </cell>
        </row>
        <row r="5">
          <cell r="EP5">
            <v>105</v>
          </cell>
        </row>
        <row r="8">
          <cell r="EP8"/>
        </row>
        <row r="9">
          <cell r="EP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</row>
        <row r="22">
          <cell r="EP22">
            <v>6643</v>
          </cell>
        </row>
        <row r="23">
          <cell r="EP23">
            <v>5928</v>
          </cell>
        </row>
        <row r="27">
          <cell r="EP27"/>
        </row>
        <row r="28">
          <cell r="EP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</sheetData>
      <sheetData sheetId="47"/>
      <sheetData sheetId="48">
        <row r="4">
          <cell r="EP4">
            <v>2698</v>
          </cell>
        </row>
        <row r="5">
          <cell r="EP5">
            <v>2693</v>
          </cell>
        </row>
        <row r="8">
          <cell r="EP8"/>
        </row>
        <row r="9">
          <cell r="EP9">
            <v>3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</row>
        <row r="22">
          <cell r="EP22">
            <v>121137</v>
          </cell>
        </row>
        <row r="23">
          <cell r="EP23">
            <v>121404</v>
          </cell>
        </row>
        <row r="27">
          <cell r="EP27">
            <v>4881</v>
          </cell>
        </row>
        <row r="28">
          <cell r="EP28">
            <v>4729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  <row r="70">
          <cell r="EP70">
            <v>26952</v>
          </cell>
        </row>
        <row r="71">
          <cell r="EP71">
            <v>94452</v>
          </cell>
        </row>
        <row r="73">
          <cell r="EP73">
            <v>2139</v>
          </cell>
        </row>
        <row r="74">
          <cell r="EP74">
            <v>7496</v>
          </cell>
        </row>
      </sheetData>
      <sheetData sheetId="49">
        <row r="4">
          <cell r="EP4">
            <v>227</v>
          </cell>
        </row>
        <row r="5">
          <cell r="EP5">
            <v>227</v>
          </cell>
        </row>
        <row r="8">
          <cell r="EP8"/>
        </row>
        <row r="9">
          <cell r="EP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</row>
        <row r="22">
          <cell r="EP22">
            <v>14365</v>
          </cell>
        </row>
        <row r="23">
          <cell r="EP23">
            <v>14497</v>
          </cell>
        </row>
        <row r="27">
          <cell r="EP27">
            <v>425</v>
          </cell>
        </row>
        <row r="28">
          <cell r="EP28">
            <v>377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</row>
      </sheetData>
      <sheetData sheetId="51"/>
      <sheetData sheetId="52">
        <row r="4">
          <cell r="EP4">
            <v>32</v>
          </cell>
        </row>
        <row r="5">
          <cell r="EP5">
            <v>32</v>
          </cell>
        </row>
        <row r="8">
          <cell r="EP8">
            <v>0</v>
          </cell>
        </row>
        <row r="9">
          <cell r="EP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</row>
        <row r="22">
          <cell r="EP22">
            <v>2044</v>
          </cell>
        </row>
        <row r="23">
          <cell r="EP23">
            <v>1992</v>
          </cell>
        </row>
        <row r="27">
          <cell r="EP27">
            <v>107</v>
          </cell>
        </row>
        <row r="28">
          <cell r="EP28">
            <v>99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EP58"/>
        </row>
      </sheetData>
      <sheetData sheetId="53">
        <row r="4">
          <cell r="EP4">
            <v>43</v>
          </cell>
        </row>
        <row r="5">
          <cell r="EP5">
            <v>43</v>
          </cell>
        </row>
        <row r="8">
          <cell r="EP8"/>
        </row>
        <row r="9">
          <cell r="EP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</row>
        <row r="22">
          <cell r="EP22">
            <v>2345</v>
          </cell>
        </row>
        <row r="23">
          <cell r="EP23">
            <v>2787</v>
          </cell>
        </row>
        <row r="27">
          <cell r="EP27"/>
        </row>
        <row r="28">
          <cell r="EP28"/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BG58"/>
        </row>
      </sheetData>
      <sheetData sheetId="54">
        <row r="4">
          <cell r="EP4">
            <v>63</v>
          </cell>
        </row>
        <row r="5">
          <cell r="EP5">
            <v>63</v>
          </cell>
        </row>
        <row r="8">
          <cell r="EP8"/>
        </row>
        <row r="9">
          <cell r="EP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</row>
        <row r="22">
          <cell r="EP22">
            <v>3883</v>
          </cell>
        </row>
        <row r="23">
          <cell r="EP23">
            <v>3723</v>
          </cell>
        </row>
        <row r="27">
          <cell r="EP27">
            <v>130</v>
          </cell>
        </row>
        <row r="28">
          <cell r="EP28">
            <v>133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</row>
        <row r="47">
          <cell r="EP47"/>
        </row>
        <row r="48">
          <cell r="EP48"/>
        </row>
        <row r="52">
          <cell r="EP52"/>
        </row>
        <row r="53">
          <cell r="EP53"/>
        </row>
        <row r="57">
          <cell r="EP57"/>
        </row>
        <row r="58">
          <cell r="BH58"/>
        </row>
        <row r="70">
          <cell r="EP70">
            <v>1258</v>
          </cell>
        </row>
        <row r="71">
          <cell r="EP71">
            <v>2465</v>
          </cell>
        </row>
      </sheetData>
      <sheetData sheetId="55"/>
      <sheetData sheetId="56"/>
      <sheetData sheetId="57"/>
      <sheetData sheetId="58">
        <row r="4">
          <cell r="EP4"/>
        </row>
        <row r="5">
          <cell r="EP5"/>
        </row>
        <row r="15">
          <cell r="EL15"/>
          <cell r="EM15"/>
          <cell r="EN15"/>
          <cell r="EO15"/>
          <cell r="EP15"/>
        </row>
        <row r="16">
          <cell r="EL16"/>
          <cell r="EM16"/>
          <cell r="EN16"/>
          <cell r="EO16"/>
          <cell r="EP16"/>
        </row>
        <row r="22">
          <cell r="EP22"/>
        </row>
        <row r="23">
          <cell r="EP23"/>
        </row>
        <row r="32">
          <cell r="EL32"/>
          <cell r="EM32"/>
          <cell r="EN32"/>
          <cell r="EO32"/>
          <cell r="EP32"/>
        </row>
        <row r="33">
          <cell r="EL33"/>
          <cell r="EM33"/>
          <cell r="EN33"/>
          <cell r="EO33"/>
          <cell r="EP33"/>
        </row>
        <row r="37">
          <cell r="EL37"/>
          <cell r="EM37"/>
          <cell r="EN37"/>
          <cell r="EO37"/>
          <cell r="EP37"/>
        </row>
        <row r="38">
          <cell r="EL38"/>
          <cell r="EM38"/>
          <cell r="EN38"/>
          <cell r="EO38"/>
          <cell r="EP38"/>
        </row>
      </sheetData>
      <sheetData sheetId="59">
        <row r="4">
          <cell r="EP4"/>
        </row>
        <row r="5">
          <cell r="EP5"/>
        </row>
        <row r="15">
          <cell r="EP15"/>
        </row>
        <row r="16">
          <cell r="EP16"/>
        </row>
        <row r="22">
          <cell r="EP22"/>
        </row>
        <row r="23">
          <cell r="EP23"/>
        </row>
        <row r="32">
          <cell r="EP32"/>
        </row>
        <row r="33">
          <cell r="EP33"/>
        </row>
      </sheetData>
      <sheetData sheetId="60">
        <row r="8">
          <cell r="EP8">
            <v>1</v>
          </cell>
        </row>
        <row r="9">
          <cell r="EP9">
            <v>1</v>
          </cell>
        </row>
        <row r="15">
          <cell r="EL15"/>
          <cell r="EM15"/>
          <cell r="EN15"/>
          <cell r="EO15"/>
          <cell r="EP15"/>
        </row>
        <row r="16">
          <cell r="EL16"/>
          <cell r="EM16"/>
          <cell r="EN16"/>
          <cell r="EO16"/>
          <cell r="EP16"/>
        </row>
        <row r="32">
          <cell r="EL32"/>
          <cell r="EM32"/>
          <cell r="EN32"/>
          <cell r="EO32"/>
          <cell r="EP32"/>
        </row>
        <row r="33">
          <cell r="EL33"/>
          <cell r="EM33"/>
          <cell r="EN33"/>
          <cell r="EO33">
            <v>364</v>
          </cell>
          <cell r="EP33">
            <v>243</v>
          </cell>
        </row>
        <row r="37">
          <cell r="EL37"/>
          <cell r="EM37"/>
          <cell r="EN37"/>
          <cell r="EO37"/>
          <cell r="EP37"/>
        </row>
        <row r="38">
          <cell r="EL38"/>
          <cell r="EM38"/>
          <cell r="EN38"/>
          <cell r="EO38"/>
          <cell r="EP38"/>
        </row>
      </sheetData>
      <sheetData sheetId="61">
        <row r="4">
          <cell r="EP4">
            <v>3</v>
          </cell>
        </row>
        <row r="5">
          <cell r="EP5">
            <v>3</v>
          </cell>
        </row>
        <row r="15">
          <cell r="EL15"/>
          <cell r="EM15"/>
          <cell r="EN15"/>
          <cell r="EO15"/>
          <cell r="EP15"/>
        </row>
        <row r="16">
          <cell r="EL16"/>
          <cell r="EM16"/>
          <cell r="EN16"/>
          <cell r="EO16"/>
          <cell r="EP16"/>
        </row>
        <row r="22">
          <cell r="EP22">
            <v>11</v>
          </cell>
        </row>
        <row r="23">
          <cell r="EP23">
            <v>86</v>
          </cell>
        </row>
        <row r="32">
          <cell r="EL32"/>
          <cell r="EM32"/>
          <cell r="EN32"/>
          <cell r="EO32"/>
          <cell r="EP32"/>
        </row>
        <row r="33">
          <cell r="EL33"/>
          <cell r="EM33"/>
          <cell r="EN33"/>
          <cell r="EO33"/>
          <cell r="EP33"/>
        </row>
        <row r="37">
          <cell r="EL37"/>
          <cell r="EM37"/>
          <cell r="EN37"/>
          <cell r="EO37"/>
          <cell r="EP37"/>
        </row>
        <row r="38">
          <cell r="EL38"/>
          <cell r="EM38"/>
          <cell r="EN38"/>
          <cell r="EO38"/>
          <cell r="EP38"/>
        </row>
      </sheetData>
      <sheetData sheetId="62"/>
      <sheetData sheetId="63"/>
      <sheetData sheetId="64">
        <row r="4">
          <cell r="EP4">
            <v>22</v>
          </cell>
        </row>
        <row r="5">
          <cell r="EP5">
            <v>22</v>
          </cell>
        </row>
        <row r="47">
          <cell r="EP47">
            <v>695549</v>
          </cell>
        </row>
        <row r="48">
          <cell r="EP48"/>
        </row>
        <row r="52">
          <cell r="EP52">
            <v>436061</v>
          </cell>
        </row>
        <row r="53">
          <cell r="EP53"/>
        </row>
        <row r="57">
          <cell r="EP57"/>
        </row>
        <row r="58">
          <cell r="EP58"/>
        </row>
      </sheetData>
      <sheetData sheetId="65">
        <row r="4">
          <cell r="EP4">
            <v>32</v>
          </cell>
        </row>
        <row r="5">
          <cell r="EP5">
            <v>32</v>
          </cell>
        </row>
        <row r="47">
          <cell r="EP47">
            <v>45786</v>
          </cell>
        </row>
        <row r="48">
          <cell r="EP48"/>
        </row>
        <row r="52">
          <cell r="EP52">
            <v>49066</v>
          </cell>
        </row>
        <row r="53">
          <cell r="EP53"/>
        </row>
        <row r="57">
          <cell r="EP57"/>
        </row>
        <row r="58">
          <cell r="EP58"/>
        </row>
      </sheetData>
      <sheetData sheetId="66"/>
      <sheetData sheetId="67">
        <row r="15">
          <cell r="EP15">
            <v>23</v>
          </cell>
        </row>
        <row r="16">
          <cell r="EP16">
            <v>23</v>
          </cell>
        </row>
        <row r="47">
          <cell r="EP47">
            <v>20880</v>
          </cell>
        </row>
        <row r="48">
          <cell r="EP48"/>
        </row>
        <row r="52">
          <cell r="EP52">
            <v>77348</v>
          </cell>
        </row>
        <row r="53">
          <cell r="EP53"/>
        </row>
        <row r="57">
          <cell r="EP57"/>
        </row>
        <row r="58">
          <cell r="EP58"/>
        </row>
      </sheetData>
      <sheetData sheetId="68">
        <row r="4">
          <cell r="EP4">
            <v>82</v>
          </cell>
        </row>
        <row r="5">
          <cell r="EP5">
            <v>82</v>
          </cell>
        </row>
        <row r="15">
          <cell r="EP15"/>
        </row>
        <row r="47">
          <cell r="EP47">
            <v>8209104</v>
          </cell>
        </row>
        <row r="48">
          <cell r="EP48"/>
        </row>
        <row r="52">
          <cell r="EP52">
            <v>7963106</v>
          </cell>
        </row>
        <row r="53">
          <cell r="EP53"/>
        </row>
        <row r="57">
          <cell r="EP57"/>
        </row>
        <row r="58">
          <cell r="EP58"/>
        </row>
      </sheetData>
      <sheetData sheetId="69">
        <row r="4">
          <cell r="EP4">
            <v>85</v>
          </cell>
        </row>
        <row r="5">
          <cell r="EP5">
            <v>85</v>
          </cell>
        </row>
        <row r="47">
          <cell r="EP47">
            <v>5257615</v>
          </cell>
        </row>
        <row r="48">
          <cell r="EP48">
            <v>3982</v>
          </cell>
        </row>
        <row r="52">
          <cell r="EP52">
            <v>3837683</v>
          </cell>
        </row>
        <row r="53">
          <cell r="EP53">
            <v>22226</v>
          </cell>
        </row>
        <row r="57">
          <cell r="EP57"/>
        </row>
        <row r="58">
          <cell r="EP58"/>
        </row>
      </sheetData>
      <sheetData sheetId="70"/>
      <sheetData sheetId="71"/>
      <sheetData sheetId="72"/>
      <sheetData sheetId="73">
        <row r="4">
          <cell r="EP4">
            <v>246</v>
          </cell>
        </row>
        <row r="5">
          <cell r="EP5">
            <v>246</v>
          </cell>
        </row>
      </sheetData>
      <sheetData sheetId="74">
        <row r="4">
          <cell r="EP4">
            <v>23</v>
          </cell>
        </row>
        <row r="5">
          <cell r="EP5">
            <v>23</v>
          </cell>
        </row>
        <row r="47">
          <cell r="EP47">
            <v>27163</v>
          </cell>
        </row>
        <row r="48">
          <cell r="EP48"/>
        </row>
        <row r="52">
          <cell r="EP52">
            <v>36259</v>
          </cell>
        </row>
        <row r="53">
          <cell r="EP53"/>
        </row>
        <row r="57">
          <cell r="EP57"/>
        </row>
        <row r="58">
          <cell r="EP58"/>
        </row>
      </sheetData>
      <sheetData sheetId="75">
        <row r="4">
          <cell r="EP4">
            <v>20</v>
          </cell>
        </row>
        <row r="5">
          <cell r="EP5">
            <v>20</v>
          </cell>
        </row>
        <row r="47">
          <cell r="EP47">
            <v>47234</v>
          </cell>
        </row>
        <row r="48">
          <cell r="EP48"/>
        </row>
        <row r="52">
          <cell r="EP52">
            <v>129059</v>
          </cell>
        </row>
        <row r="53">
          <cell r="EP53"/>
        </row>
        <row r="57">
          <cell r="EP57"/>
        </row>
        <row r="58">
          <cell r="EP58"/>
        </row>
      </sheetData>
      <sheetData sheetId="76">
        <row r="4">
          <cell r="EP4">
            <v>21</v>
          </cell>
        </row>
        <row r="5">
          <cell r="EP5">
            <v>21</v>
          </cell>
        </row>
        <row r="8">
          <cell r="EP8"/>
        </row>
        <row r="9">
          <cell r="EP9"/>
        </row>
        <row r="47">
          <cell r="EP47">
            <v>42469</v>
          </cell>
        </row>
        <row r="48">
          <cell r="EP48"/>
        </row>
        <row r="52">
          <cell r="EP52">
            <v>32041</v>
          </cell>
        </row>
        <row r="53">
          <cell r="EP53"/>
        </row>
        <row r="57">
          <cell r="EP57"/>
        </row>
        <row r="58">
          <cell r="EP58"/>
        </row>
      </sheetData>
      <sheetData sheetId="77">
        <row r="4">
          <cell r="EP4">
            <v>64</v>
          </cell>
        </row>
        <row r="5">
          <cell r="EP5">
            <v>62</v>
          </cell>
        </row>
      </sheetData>
      <sheetData sheetId="78">
        <row r="4">
          <cell r="EP4">
            <v>848.5</v>
          </cell>
        </row>
        <row r="5">
          <cell r="EP5">
            <v>848.5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B21" sqref="B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9">
        <v>42491</v>
      </c>
      <c r="B2" s="17"/>
      <c r="C2" s="17"/>
      <c r="D2" s="482" t="s">
        <v>186</v>
      </c>
      <c r="E2" s="482" t="s">
        <v>181</v>
      </c>
      <c r="F2" s="8"/>
      <c r="G2" s="8"/>
      <c r="H2" s="8"/>
      <c r="I2" s="8"/>
      <c r="J2" s="23"/>
    </row>
    <row r="3" spans="1:14" ht="13.5" thickBot="1" x14ac:dyDescent="0.25">
      <c r="A3" s="395"/>
      <c r="B3" s="8" t="s">
        <v>0</v>
      </c>
      <c r="C3" s="8" t="s">
        <v>1</v>
      </c>
      <c r="D3" s="483"/>
      <c r="E3" s="484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8">
        <f>'Major Airline Stats'!I4</f>
        <v>1178710</v>
      </c>
      <c r="C5" s="300">
        <f>'Major Airline Stats'!I5</f>
        <v>1160161</v>
      </c>
      <c r="D5" s="5">
        <f>'Major Airline Stats'!I6</f>
        <v>2338871</v>
      </c>
      <c r="E5" s="9">
        <f>'[1]Monthly Summary'!D5</f>
        <v>2242261</v>
      </c>
      <c r="F5" s="39">
        <f>(D5-E5)/E5</f>
        <v>4.3085974380324146E-2</v>
      </c>
      <c r="G5" s="9">
        <f>+D5+'[2]Monthly Summary'!G5</f>
        <v>10954930</v>
      </c>
      <c r="H5" s="9">
        <f>'[1]Monthly Summary'!G5</f>
        <v>10359725</v>
      </c>
      <c r="I5" s="85">
        <f>(G5-H5)/H5</f>
        <v>5.7453745152501637E-2</v>
      </c>
      <c r="J5" s="9"/>
    </row>
    <row r="6" spans="1:14" x14ac:dyDescent="0.2">
      <c r="A6" s="67" t="s">
        <v>5</v>
      </c>
      <c r="B6" s="298">
        <f>'Regional Major'!L5</f>
        <v>365186</v>
      </c>
      <c r="C6" s="298">
        <f>'Regional Major'!L6</f>
        <v>364004</v>
      </c>
      <c r="D6" s="5">
        <f>B6+C6</f>
        <v>729190</v>
      </c>
      <c r="E6" s="9">
        <f>'[1]Monthly Summary'!D6</f>
        <v>700997</v>
      </c>
      <c r="F6" s="39">
        <f>(D6-E6)/E6</f>
        <v>4.0218431747924742E-2</v>
      </c>
      <c r="G6" s="9">
        <f>+D6+'[2]Monthly Summary'!G6</f>
        <v>3403853</v>
      </c>
      <c r="H6" s="9">
        <f>'[1]Monthly Summary'!G6</f>
        <v>3493235</v>
      </c>
      <c r="I6" s="85">
        <f>(G6-H6)/H6</f>
        <v>-2.5587170631234373E-2</v>
      </c>
      <c r="J6" s="20"/>
      <c r="K6" s="2"/>
    </row>
    <row r="7" spans="1:14" x14ac:dyDescent="0.2">
      <c r="A7" s="67" t="s">
        <v>6</v>
      </c>
      <c r="B7" s="9">
        <f>Charter!G5</f>
        <v>11</v>
      </c>
      <c r="C7" s="299">
        <f>Charter!G6</f>
        <v>329</v>
      </c>
      <c r="D7" s="5">
        <f>B7+C7</f>
        <v>340</v>
      </c>
      <c r="E7" s="9">
        <f>'[1]Monthly Summary'!D7</f>
        <v>549</v>
      </c>
      <c r="F7" s="39">
        <f>(D7-E7)/E7</f>
        <v>-0.38069216757741348</v>
      </c>
      <c r="G7" s="9">
        <f>+D7+'[2]Monthly Summary'!G7</f>
        <v>1604</v>
      </c>
      <c r="H7" s="9">
        <f>'[1]Monthly Summary'!G7</f>
        <v>2566</v>
      </c>
      <c r="I7" s="85">
        <f>(G7-H7)/H7</f>
        <v>-0.37490257209664846</v>
      </c>
      <c r="J7" s="20"/>
      <c r="K7" s="2"/>
    </row>
    <row r="8" spans="1:14" x14ac:dyDescent="0.2">
      <c r="A8" s="70" t="s">
        <v>7</v>
      </c>
      <c r="B8" s="148">
        <f>SUM(B5:B7)</f>
        <v>1543907</v>
      </c>
      <c r="C8" s="148">
        <f>SUM(C5:C7)</f>
        <v>1524494</v>
      </c>
      <c r="D8" s="148">
        <f>SUM(D5:D7)</f>
        <v>3068401</v>
      </c>
      <c r="E8" s="148">
        <f>SUM(E5:E7)</f>
        <v>2943807</v>
      </c>
      <c r="F8" s="92">
        <f>(D8-E8)/E8</f>
        <v>4.2324106165927321E-2</v>
      </c>
      <c r="G8" s="148">
        <f>SUM(G5:G7)</f>
        <v>14360387</v>
      </c>
      <c r="H8" s="148">
        <f>SUM(H5:H7)</f>
        <v>13855526</v>
      </c>
      <c r="I8" s="91">
        <f>(G8-H8)/H8</f>
        <v>3.6437519586048198E-2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1">
        <f>'Major Airline Stats'!I9+'Regional Major'!L10</f>
        <v>47832</v>
      </c>
      <c r="C10" s="301">
        <f>'Major Airline Stats'!I10+'Regional Major'!L11</f>
        <v>48033</v>
      </c>
      <c r="D10" s="120">
        <f>SUM(B10:C10)</f>
        <v>95865</v>
      </c>
      <c r="E10" s="120">
        <f>'[1]Monthly Summary'!D10</f>
        <v>90086</v>
      </c>
      <c r="F10" s="93">
        <f>(D10-E10)/E10</f>
        <v>6.4149812401483028E-2</v>
      </c>
      <c r="G10" s="9">
        <f>+D10+'[2]Monthly Summary'!G10</f>
        <v>462255</v>
      </c>
      <c r="H10" s="120">
        <f>'[1]Monthly Summary'!G10</f>
        <v>431881</v>
      </c>
      <c r="I10" s="96">
        <f>(G10-H10)/H10</f>
        <v>7.0329558373718681E-2</v>
      </c>
      <c r="J10" s="264"/>
    </row>
    <row r="11" spans="1:14" ht="15.75" thickBot="1" x14ac:dyDescent="0.3">
      <c r="A11" s="69" t="s">
        <v>15</v>
      </c>
      <c r="B11" s="278">
        <f>B10+B8</f>
        <v>1591739</v>
      </c>
      <c r="C11" s="278">
        <f>C10+C8</f>
        <v>1572527</v>
      </c>
      <c r="D11" s="278">
        <f>D10+D8</f>
        <v>3164266</v>
      </c>
      <c r="E11" s="278">
        <f>E10+E8</f>
        <v>3033893</v>
      </c>
      <c r="F11" s="94">
        <f>(D11-E11)/E11</f>
        <v>4.2972181286551635E-2</v>
      </c>
      <c r="G11" s="278">
        <f>G8+G10</f>
        <v>14822642</v>
      </c>
      <c r="H11" s="278">
        <f>H8+H10</f>
        <v>14287407</v>
      </c>
      <c r="I11" s="97">
        <f>(G11-H11)/H11</f>
        <v>3.7462011126301646E-2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2" t="s">
        <v>186</v>
      </c>
      <c r="E13" s="482" t="s">
        <v>181</v>
      </c>
      <c r="F13" s="441"/>
      <c r="G13" s="441"/>
      <c r="H13" s="441"/>
      <c r="I13" s="441"/>
    </row>
    <row r="14" spans="1:14" ht="13.5" thickBot="1" x14ac:dyDescent="0.25">
      <c r="A14" s="16"/>
      <c r="B14" s="102" t="s">
        <v>14</v>
      </c>
      <c r="C14" s="102" t="s">
        <v>13</v>
      </c>
      <c r="D14" s="483"/>
      <c r="E14" s="484"/>
      <c r="F14" s="441" t="s">
        <v>2</v>
      </c>
      <c r="G14" s="441" t="s">
        <v>187</v>
      </c>
      <c r="H14" s="441" t="s">
        <v>178</v>
      </c>
      <c r="I14" s="441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9">
        <f>'Major Airline Stats'!I15+'Major Airline Stats'!I19</f>
        <v>8820</v>
      </c>
      <c r="C16" s="309">
        <f>'Major Airline Stats'!I16+'Major Airline Stats'!I20</f>
        <v>8842</v>
      </c>
      <c r="D16" s="47">
        <f t="shared" ref="D16:D21" si="0">SUM(B16:C16)</f>
        <v>17662</v>
      </c>
      <c r="E16" s="9">
        <f>'[1]Monthly Summary'!D16</f>
        <v>17153</v>
      </c>
      <c r="F16" s="95">
        <f t="shared" ref="F16:F22" si="1">(D16-E16)/E16</f>
        <v>2.9674109485221246E-2</v>
      </c>
      <c r="G16" s="9">
        <f>+D16+'[2]Monthly Summary'!G16</f>
        <v>84043</v>
      </c>
      <c r="H16" s="9">
        <f>'[1]Monthly Summary'!G16</f>
        <v>79770</v>
      </c>
      <c r="I16" s="262">
        <f t="shared" ref="I16:I22" si="2">(G16-H16)/H16</f>
        <v>5.356650369813213E-2</v>
      </c>
      <c r="N16" s="130"/>
    </row>
    <row r="17" spans="1:12" x14ac:dyDescent="0.2">
      <c r="A17" s="68" t="s">
        <v>5</v>
      </c>
      <c r="B17" s="47">
        <f>'Regional Major'!L15+'Regional Major'!L18</f>
        <v>6945</v>
      </c>
      <c r="C17" s="47">
        <f>'Regional Major'!L16+'Regional Major'!L19</f>
        <v>6942</v>
      </c>
      <c r="D17" s="47">
        <f>SUM(B17:C17)</f>
        <v>13887</v>
      </c>
      <c r="E17" s="9">
        <f>'[1]Monthly Summary'!D17</f>
        <v>13343</v>
      </c>
      <c r="F17" s="95">
        <f t="shared" si="1"/>
        <v>4.0770441429963278E-2</v>
      </c>
      <c r="G17" s="9">
        <f>+D17+'[2]Monthly Summary'!G17</f>
        <v>66487</v>
      </c>
      <c r="H17" s="9">
        <f>'[1]Monthly Summary'!G17</f>
        <v>68670</v>
      </c>
      <c r="I17" s="262">
        <f t="shared" si="2"/>
        <v>-3.1789718945682249E-2</v>
      </c>
    </row>
    <row r="18" spans="1:12" x14ac:dyDescent="0.2">
      <c r="A18" s="68" t="s">
        <v>10</v>
      </c>
      <c r="B18" s="47">
        <f>Charter!G10</f>
        <v>4</v>
      </c>
      <c r="C18" s="47">
        <f>Charter!G11</f>
        <v>4</v>
      </c>
      <c r="D18" s="47">
        <f t="shared" si="0"/>
        <v>8</v>
      </c>
      <c r="E18" s="9">
        <f>'[1]Monthly Summary'!D18</f>
        <v>8</v>
      </c>
      <c r="F18" s="95">
        <f t="shared" si="1"/>
        <v>0</v>
      </c>
      <c r="G18" s="9">
        <f>+D18+'[2]Monthly Summary'!G18</f>
        <v>19</v>
      </c>
      <c r="H18" s="9">
        <f>'[1]Monthly Summary'!G18</f>
        <v>39</v>
      </c>
      <c r="I18" s="262">
        <f t="shared" si="2"/>
        <v>-0.51282051282051277</v>
      </c>
    </row>
    <row r="19" spans="1:12" x14ac:dyDescent="0.2">
      <c r="A19" s="68" t="s">
        <v>11</v>
      </c>
      <c r="B19" s="47">
        <f>Cargo!M4</f>
        <v>554</v>
      </c>
      <c r="C19" s="47">
        <f>Cargo!M5</f>
        <v>554</v>
      </c>
      <c r="D19" s="47">
        <f t="shared" si="0"/>
        <v>1108</v>
      </c>
      <c r="E19" s="9">
        <f>'[1]Monthly Summary'!D19</f>
        <v>984</v>
      </c>
      <c r="F19" s="95">
        <f t="shared" si="1"/>
        <v>0.12601626016260162</v>
      </c>
      <c r="G19" s="9">
        <f>+D19+'[2]Monthly Summary'!G19</f>
        <v>5510</v>
      </c>
      <c r="H19" s="9">
        <f>'[1]Monthly Summary'!G19</f>
        <v>4981</v>
      </c>
      <c r="I19" s="262">
        <f t="shared" si="2"/>
        <v>0.10620357357960249</v>
      </c>
    </row>
    <row r="20" spans="1:12" x14ac:dyDescent="0.2">
      <c r="A20" s="68" t="s">
        <v>159</v>
      </c>
      <c r="B20" s="47">
        <f>'[3]General Avation'!$EP$4</f>
        <v>848.5</v>
      </c>
      <c r="C20" s="47">
        <f>'[3]General Avation'!$EP$5</f>
        <v>848.5</v>
      </c>
      <c r="D20" s="47">
        <f t="shared" si="0"/>
        <v>1697</v>
      </c>
      <c r="E20" s="9">
        <f>'[1]Monthly Summary'!D20</f>
        <v>1865</v>
      </c>
      <c r="F20" s="95">
        <f t="shared" si="1"/>
        <v>-9.0080428954423586E-2</v>
      </c>
      <c r="G20" s="9">
        <f>+D20+'[2]Monthly Summary'!G20</f>
        <v>8375</v>
      </c>
      <c r="H20" s="9">
        <f>'[1]Monthly Summary'!G20</f>
        <v>8613</v>
      </c>
      <c r="I20" s="262">
        <f t="shared" si="2"/>
        <v>-2.7632648322303496E-2</v>
      </c>
    </row>
    <row r="21" spans="1:12" ht="12.75" customHeight="1" x14ac:dyDescent="0.2">
      <c r="A21" s="68" t="s">
        <v>12</v>
      </c>
      <c r="B21" s="18">
        <f>'[3]Military '!$EP$4</f>
        <v>64</v>
      </c>
      <c r="C21" s="18">
        <f>'[3]Military '!$EP$5</f>
        <v>62</v>
      </c>
      <c r="D21" s="18">
        <f t="shared" si="0"/>
        <v>126</v>
      </c>
      <c r="E21" s="120">
        <f>'[1]Monthly Summary'!D21</f>
        <v>106</v>
      </c>
      <c r="F21" s="260">
        <f t="shared" si="1"/>
        <v>0.18867924528301888</v>
      </c>
      <c r="G21" s="476">
        <f>+D21+'[2]Monthly Summary'!G21</f>
        <v>517</v>
      </c>
      <c r="H21" s="120">
        <f>'[1]Monthly Summary'!G21</f>
        <v>532</v>
      </c>
      <c r="I21" s="263">
        <f t="shared" si="2"/>
        <v>-2.819548872180451E-2</v>
      </c>
    </row>
    <row r="22" spans="1:12" ht="15.75" thickBot="1" x14ac:dyDescent="0.3">
      <c r="A22" s="69" t="s">
        <v>31</v>
      </c>
      <c r="B22" s="279">
        <f>SUM(B16:B21)</f>
        <v>17235.5</v>
      </c>
      <c r="C22" s="279">
        <f>SUM(C16:C21)</f>
        <v>17252.5</v>
      </c>
      <c r="D22" s="279">
        <f>SUM(D16:D21)</f>
        <v>34488</v>
      </c>
      <c r="E22" s="279">
        <f>SUM(E16:E21)</f>
        <v>33459</v>
      </c>
      <c r="F22" s="275">
        <f t="shared" si="1"/>
        <v>3.075405720433964E-2</v>
      </c>
      <c r="G22" s="279">
        <f>SUM(G16:G21)</f>
        <v>164951</v>
      </c>
      <c r="H22" s="279">
        <f>SUM(H16:H21)</f>
        <v>162605</v>
      </c>
      <c r="I22" s="276">
        <f t="shared" si="2"/>
        <v>1.4427600627286983E-2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2" t="s">
        <v>186</v>
      </c>
      <c r="E24" s="482" t="s">
        <v>181</v>
      </c>
      <c r="F24" s="441"/>
      <c r="G24" s="441"/>
      <c r="H24" s="441"/>
      <c r="I24" s="441"/>
    </row>
    <row r="25" spans="1:12" ht="13.5" thickBot="1" x14ac:dyDescent="0.25">
      <c r="B25" s="8" t="s">
        <v>0</v>
      </c>
      <c r="C25" s="8" t="s">
        <v>1</v>
      </c>
      <c r="D25" s="483"/>
      <c r="E25" s="484"/>
      <c r="F25" s="441" t="s">
        <v>2</v>
      </c>
      <c r="G25" s="441" t="s">
        <v>187</v>
      </c>
      <c r="H25" s="441" t="s">
        <v>178</v>
      </c>
      <c r="I25" s="441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8931.7000582563596</v>
      </c>
      <c r="C27" s="22">
        <f>(Cargo!M21+'Major Airline Stats'!I33+'Regional Major'!L30)*0.00045359237</f>
        <v>6997.1077349573397</v>
      </c>
      <c r="D27" s="22">
        <f>(SUM(B27:C27)+('Cargo Summary'!E17*0.00045359237))</f>
        <v>15928.807793213698</v>
      </c>
      <c r="E27" s="9">
        <f>'[1]Monthly Summary'!D27</f>
        <v>15184.10346888666</v>
      </c>
      <c r="F27" s="98">
        <f>(D27-E27)/E27</f>
        <v>4.9044998004195102E-2</v>
      </c>
      <c r="G27" s="9">
        <f>+D27+'[2]Monthly Summary'!G27</f>
        <v>74510.248317350226</v>
      </c>
      <c r="H27" s="9">
        <f>'[1]Monthly Summary'!G27</f>
        <v>75550.726164790802</v>
      </c>
      <c r="I27" s="100">
        <f>(G27-H27)/H27</f>
        <v>-1.3771910612362501E-2</v>
      </c>
    </row>
    <row r="28" spans="1:12" x14ac:dyDescent="0.2">
      <c r="A28" s="62" t="s">
        <v>18</v>
      </c>
      <c r="B28" s="22">
        <f>(Cargo!M17+'Major Airline Stats'!I29+'Regional Major'!L26)*0.00045359237</f>
        <v>401.10765045966997</v>
      </c>
      <c r="C28" s="22">
        <f>(Cargo!M22+'Major Airline Stats'!I34+'Regional Major'!L31)*0.00045359237</f>
        <v>244.17829821076998</v>
      </c>
      <c r="D28" s="22">
        <f>SUM(B28:C28)</f>
        <v>645.28594867043989</v>
      </c>
      <c r="E28" s="9">
        <f>'[1]Monthly Summary'!D28</f>
        <v>1060.1682922222699</v>
      </c>
      <c r="F28" s="98">
        <f>(D28-E28)/E28</f>
        <v>-0.39133630631621241</v>
      </c>
      <c r="G28" s="9">
        <f>+D28+'[2]Monthly Summary'!G28</f>
        <v>4419.6215032163236</v>
      </c>
      <c r="H28" s="9">
        <f>'[1]Monthly Summary'!G28</f>
        <v>5667.7555043509401</v>
      </c>
      <c r="I28" s="100">
        <f>(G28-H28)/H28</f>
        <v>-0.22021662723038549</v>
      </c>
    </row>
    <row r="29" spans="1:12" ht="15.75" thickBot="1" x14ac:dyDescent="0.3">
      <c r="A29" s="63" t="s">
        <v>66</v>
      </c>
      <c r="B29" s="54">
        <f>SUM(B27:B28)</f>
        <v>9332.8077087160291</v>
      </c>
      <c r="C29" s="54">
        <f>SUM(C27:C28)</f>
        <v>7241.2860331681095</v>
      </c>
      <c r="D29" s="54">
        <f>SUM(D27:D28)</f>
        <v>16574.093741884139</v>
      </c>
      <c r="E29" s="54">
        <f>SUM(E27:E28)</f>
        <v>16244.27176110893</v>
      </c>
      <c r="F29" s="99">
        <f>(D29-E29)/E29</f>
        <v>2.0303894543604512E-2</v>
      </c>
      <c r="G29" s="54">
        <f>SUM(G27:G28)</f>
        <v>78929.869820566557</v>
      </c>
      <c r="H29" s="54">
        <f>SUM(H27:H28)</f>
        <v>81218.481669141736</v>
      </c>
      <c r="I29" s="101">
        <f>(G29-H29)/H29</f>
        <v>-2.8178461374078086E-2</v>
      </c>
    </row>
    <row r="30" spans="1:12" s="7" customFormat="1" ht="4.5" customHeight="1" thickBot="1" x14ac:dyDescent="0.3">
      <c r="A30" s="59"/>
      <c r="B30" s="397"/>
      <c r="C30" s="397"/>
      <c r="D30" s="397"/>
      <c r="E30" s="397"/>
      <c r="F30" s="280"/>
      <c r="G30" s="397"/>
      <c r="H30" s="397"/>
      <c r="I30" s="280"/>
    </row>
    <row r="31" spans="1:12" ht="13.5" thickBot="1" x14ac:dyDescent="0.25">
      <c r="B31" s="481" t="s">
        <v>155</v>
      </c>
      <c r="C31" s="480"/>
      <c r="D31" s="481" t="s">
        <v>162</v>
      </c>
      <c r="E31" s="480"/>
      <c r="F31" s="420"/>
      <c r="G31" s="421"/>
      <c r="H31" s="419"/>
      <c r="I31" s="419"/>
    </row>
    <row r="32" spans="1:12" x14ac:dyDescent="0.2">
      <c r="A32" s="401" t="s">
        <v>156</v>
      </c>
      <c r="B32" s="402">
        <f>C8-B33</f>
        <v>839099</v>
      </c>
      <c r="C32" s="403">
        <f>B32/C8</f>
        <v>0.55041148079297131</v>
      </c>
      <c r="D32" s="404">
        <f>+B32+'[2]Monthly Summary'!$D$32</f>
        <v>4209637</v>
      </c>
      <c r="E32" s="405">
        <f>+D32/D34</f>
        <v>0.58868450809559947</v>
      </c>
      <c r="G32" s="428"/>
      <c r="H32" s="419"/>
      <c r="I32" s="418"/>
    </row>
    <row r="33" spans="1:14" ht="13.5" thickBot="1" x14ac:dyDescent="0.25">
      <c r="A33" s="406" t="s">
        <v>157</v>
      </c>
      <c r="B33" s="407">
        <f>'Major Airline Stats'!I51+'Regional Major'!L45</f>
        <v>685395</v>
      </c>
      <c r="C33" s="408">
        <f>+B33/C8</f>
        <v>0.44958851920702869</v>
      </c>
      <c r="D33" s="409">
        <f>+B33+'[2]Monthly Summary'!$D$33</f>
        <v>2941285</v>
      </c>
      <c r="E33" s="410">
        <f>+D33/D34</f>
        <v>0.41131549190440059</v>
      </c>
      <c r="G33" s="419"/>
      <c r="H33" s="419"/>
      <c r="I33" s="418"/>
    </row>
    <row r="34" spans="1:14" ht="13.5" thickBot="1" x14ac:dyDescent="0.25">
      <c r="B34" s="313"/>
      <c r="D34" s="411">
        <f>SUM(D32:D33)</f>
        <v>7150922</v>
      </c>
    </row>
    <row r="35" spans="1:14" ht="13.5" thickBot="1" x14ac:dyDescent="0.25">
      <c r="B35" s="479" t="s">
        <v>218</v>
      </c>
      <c r="C35" s="480"/>
      <c r="D35" s="481" t="s">
        <v>188</v>
      </c>
      <c r="E35" s="480"/>
    </row>
    <row r="36" spans="1:14" x14ac:dyDescent="0.2">
      <c r="A36" s="401" t="s">
        <v>156</v>
      </c>
      <c r="B36" s="402">
        <f>'[1]Monthly Summary'!$B$32</f>
        <v>769112</v>
      </c>
      <c r="C36" s="403">
        <f>+B36/B38</f>
        <v>0.52653515017416264</v>
      </c>
      <c r="D36" s="404">
        <f>'[1]Monthly Summary'!$D$32</f>
        <v>3951395</v>
      </c>
      <c r="E36" s="405">
        <f>+D36/D38</f>
        <v>0.5728882060474767</v>
      </c>
    </row>
    <row r="37" spans="1:14" ht="13.5" thickBot="1" x14ac:dyDescent="0.25">
      <c r="A37" s="406" t="s">
        <v>157</v>
      </c>
      <c r="B37" s="407">
        <f>'[1]Monthly Summary'!$B$33</f>
        <v>691592</v>
      </c>
      <c r="C37" s="410">
        <f>+B37/B38</f>
        <v>0.47346484982583742</v>
      </c>
      <c r="D37" s="409">
        <f>'[1]Monthly Summary'!$D$33</f>
        <v>2945928</v>
      </c>
      <c r="E37" s="410">
        <f>+D37/D38</f>
        <v>0.4271117939525233</v>
      </c>
    </row>
    <row r="38" spans="1:14" x14ac:dyDescent="0.2">
      <c r="B38" s="427">
        <f>+SUM(B36:B37)</f>
        <v>1460704</v>
      </c>
      <c r="D38" s="411">
        <f>SUM(D36:D37)</f>
        <v>6897323</v>
      </c>
    </row>
    <row r="39" spans="1:14" x14ac:dyDescent="0.2">
      <c r="A39" s="415" t="s">
        <v>158</v>
      </c>
    </row>
    <row r="40" spans="1:14" x14ac:dyDescent="0.2">
      <c r="A40" s="229" t="s">
        <v>160</v>
      </c>
      <c r="I40" s="2"/>
    </row>
    <row r="41" spans="1:14" x14ac:dyDescent="0.2">
      <c r="N41" s="416"/>
    </row>
    <row r="42" spans="1:14" x14ac:dyDescent="0.2">
      <c r="G42" s="2"/>
      <c r="N42" s="416"/>
    </row>
    <row r="43" spans="1:14" x14ac:dyDescent="0.2">
      <c r="J43" s="2"/>
      <c r="N43" s="416"/>
    </row>
    <row r="44" spans="1:14" x14ac:dyDescent="0.2">
      <c r="N44" s="416"/>
    </row>
    <row r="45" spans="1:14" x14ac:dyDescent="0.2">
      <c r="J45" s="2"/>
      <c r="N45" s="416"/>
    </row>
    <row r="46" spans="1:14" x14ac:dyDescent="0.2">
      <c r="B46" s="2"/>
      <c r="F46" s="313"/>
    </row>
    <row r="47" spans="1:14" x14ac:dyDescent="0.2">
      <c r="N47" s="416"/>
    </row>
    <row r="51" spans="12:12" x14ac:dyDescent="0.2">
      <c r="L51" s="41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702"/>
  <sheetViews>
    <sheetView topLeftCell="A16" zoomScaleNormal="100" zoomScaleSheetLayoutView="85" workbookViewId="0">
      <selection activeCell="F64" sqref="F64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7" t="s">
        <v>140</v>
      </c>
      <c r="B1" s="518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4" t="s">
        <v>144</v>
      </c>
      <c r="K1" s="525"/>
      <c r="L1" s="270" t="s">
        <v>193</v>
      </c>
      <c r="M1" s="388" t="s">
        <v>147</v>
      </c>
      <c r="N1" s="271" t="s">
        <v>176</v>
      </c>
      <c r="O1" s="347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19">
        <v>42491</v>
      </c>
      <c r="B2" s="520"/>
      <c r="C2" s="521" t="s">
        <v>9</v>
      </c>
      <c r="D2" s="522"/>
      <c r="E2" s="522"/>
      <c r="F2" s="522"/>
      <c r="G2" s="522"/>
      <c r="H2" s="522"/>
      <c r="I2" s="523"/>
      <c r="J2" s="519">
        <v>42491</v>
      </c>
      <c r="K2" s="520"/>
      <c r="L2" s="514" t="s">
        <v>146</v>
      </c>
      <c r="M2" s="515"/>
      <c r="N2" s="515"/>
      <c r="O2" s="515"/>
      <c r="P2" s="515"/>
      <c r="Q2" s="515"/>
      <c r="R2" s="516"/>
    </row>
    <row r="3" spans="1:20" x14ac:dyDescent="0.2">
      <c r="A3" s="348"/>
      <c r="B3" s="349"/>
      <c r="C3" s="350"/>
      <c r="D3" s="351"/>
      <c r="E3" s="352"/>
      <c r="F3" s="353"/>
      <c r="G3" s="422"/>
      <c r="H3" s="423"/>
      <c r="I3" s="353"/>
      <c r="J3" s="354"/>
      <c r="K3" s="349"/>
      <c r="L3" s="350"/>
      <c r="M3" s="351"/>
      <c r="N3" s="352"/>
      <c r="O3" s="353"/>
      <c r="P3" s="355"/>
      <c r="Q3" s="355"/>
      <c r="R3" s="349"/>
    </row>
    <row r="4" spans="1:20" ht="14.1" customHeight="1" x14ac:dyDescent="0.2">
      <c r="A4" s="356" t="s">
        <v>105</v>
      </c>
      <c r="B4" s="55"/>
      <c r="C4" s="357">
        <f>SUM(C5:C7)</f>
        <v>216</v>
      </c>
      <c r="D4" s="358">
        <f>C4/$C$58</f>
        <v>6.8464927572981713E-3</v>
      </c>
      <c r="E4" s="359">
        <f>SUM(E5:E7)</f>
        <v>184</v>
      </c>
      <c r="F4" s="360">
        <f>(C4-E4)/E4</f>
        <v>0.17391304347826086</v>
      </c>
      <c r="G4" s="357">
        <f>SUM(G5:G7)</f>
        <v>910</v>
      </c>
      <c r="H4" s="359">
        <f>SUM(H5:H7)</f>
        <v>870</v>
      </c>
      <c r="I4" s="360">
        <f>(G4-H4)/H4</f>
        <v>4.5977011494252873E-2</v>
      </c>
      <c r="J4" s="356" t="s">
        <v>105</v>
      </c>
      <c r="K4" s="55"/>
      <c r="L4" s="357">
        <f>SUM(L5:L7)</f>
        <v>9041</v>
      </c>
      <c r="M4" s="358">
        <f>L4/$L$58</f>
        <v>2.9468123352175855E-3</v>
      </c>
      <c r="N4" s="359">
        <f>SUM(N5:N7)</f>
        <v>7573</v>
      </c>
      <c r="O4" s="360">
        <f>(L4-N4)/N4</f>
        <v>0.19384656014789384</v>
      </c>
      <c r="P4" s="357">
        <f>SUM(P5:P7)</f>
        <v>36017</v>
      </c>
      <c r="Q4" s="359">
        <f>SUM(Q5:Q7)</f>
        <v>33786</v>
      </c>
      <c r="R4" s="360">
        <f>(P4-Q4)/Q4</f>
        <v>6.6033268217604926E-2</v>
      </c>
      <c r="T4" s="20"/>
    </row>
    <row r="5" spans="1:20" ht="14.1" customHeight="1" x14ac:dyDescent="0.2">
      <c r="A5" s="356"/>
      <c r="B5" s="442" t="s">
        <v>105</v>
      </c>
      <c r="C5" s="361">
        <v>0</v>
      </c>
      <c r="D5" s="39">
        <f>C5/$C$58</f>
        <v>0</v>
      </c>
      <c r="E5" s="9">
        <v>0</v>
      </c>
      <c r="F5" s="86" t="e">
        <f>(C5-E5)/E5</f>
        <v>#DIV/0!</v>
      </c>
      <c r="G5" s="299">
        <v>0</v>
      </c>
      <c r="H5" s="299">
        <v>0</v>
      </c>
      <c r="I5" s="451" t="e">
        <f>(G5-H5)/H5</f>
        <v>#DIV/0!</v>
      </c>
      <c r="J5" s="356"/>
      <c r="K5" s="442" t="s">
        <v>105</v>
      </c>
      <c r="L5" s="449">
        <v>0</v>
      </c>
      <c r="M5" s="450">
        <f>L5/$L$58</f>
        <v>0</v>
      </c>
      <c r="N5" s="299">
        <v>0</v>
      </c>
      <c r="O5" s="451" t="e">
        <f>(L5-N5)/N5</f>
        <v>#DIV/0!</v>
      </c>
      <c r="P5" s="299">
        <v>0</v>
      </c>
      <c r="Q5" s="299">
        <v>0</v>
      </c>
      <c r="R5" s="451" t="e">
        <f>(P5-Q5)/Q5</f>
        <v>#DIV/0!</v>
      </c>
      <c r="T5" s="20"/>
    </row>
    <row r="6" spans="1:20" ht="14.1" customHeight="1" x14ac:dyDescent="0.2">
      <c r="A6" s="356"/>
      <c r="B6" s="442" t="s">
        <v>195</v>
      </c>
      <c r="C6" s="449">
        <f>'[3]Jazz Air'!$EP$19</f>
        <v>0</v>
      </c>
      <c r="D6" s="450">
        <f>C6/$C$58</f>
        <v>0</v>
      </c>
      <c r="E6" s="299">
        <f>[3]AirCanada!$EB$19</f>
        <v>184</v>
      </c>
      <c r="F6" s="451">
        <f>(C6-E6)/E6</f>
        <v>-1</v>
      </c>
      <c r="G6" s="299">
        <f>SUM('[3]Jazz Air'!$EL$19:$EP$19)</f>
        <v>185</v>
      </c>
      <c r="H6" s="299">
        <f>SUM('[3]Jazz Air'!$DX$19:$EB$19)</f>
        <v>870</v>
      </c>
      <c r="I6" s="451">
        <f>(G6-H6)/H6</f>
        <v>-0.78735632183908044</v>
      </c>
      <c r="J6" s="452"/>
      <c r="K6" s="442" t="s">
        <v>195</v>
      </c>
      <c r="L6" s="449">
        <f>'[3]Jazz Air'!$EP$41</f>
        <v>0</v>
      </c>
      <c r="M6" s="450">
        <f>L6/$L$58</f>
        <v>0</v>
      </c>
      <c r="N6" s="299">
        <f>[3]AirCanada!$EB$41</f>
        <v>7573</v>
      </c>
      <c r="O6" s="451">
        <f>(L6-N6)/N6</f>
        <v>-1</v>
      </c>
      <c r="P6" s="299">
        <f>SUM('[3]Jazz Air'!$EL$41:$EP$41)</f>
        <v>6759</v>
      </c>
      <c r="Q6" s="299">
        <f>SUM([3]AirCanada!$DX$41:$EB$41)</f>
        <v>33786</v>
      </c>
      <c r="R6" s="451">
        <f>(P6-Q6)/Q6</f>
        <v>-0.79994672349493878</v>
      </c>
      <c r="T6" s="20"/>
    </row>
    <row r="7" spans="1:20" ht="14.1" customHeight="1" x14ac:dyDescent="0.2">
      <c r="A7" s="356"/>
      <c r="B7" s="442" t="s">
        <v>196</v>
      </c>
      <c r="C7" s="361">
        <f>'[3]Air Georgian'!$EP$19</f>
        <v>216</v>
      </c>
      <c r="D7" s="39">
        <f>C7/$C$58</f>
        <v>6.8464927572981713E-3</v>
      </c>
      <c r="E7" s="9">
        <f>'[3]Air Georgian'!$EB$19</f>
        <v>0</v>
      </c>
      <c r="F7" s="86" t="e">
        <f>(C7-E7)/E7</f>
        <v>#DIV/0!</v>
      </c>
      <c r="G7" s="299">
        <f>SUM('[3]Air Georgian'!$EL$19:$EP$19)</f>
        <v>725</v>
      </c>
      <c r="H7" s="299">
        <f>SUM('[3]Air Georgian'!$DX$19:$EB$19)</f>
        <v>0</v>
      </c>
      <c r="I7" s="451" t="e">
        <f>(G7-H7)/H7</f>
        <v>#DIV/0!</v>
      </c>
      <c r="J7" s="356"/>
      <c r="K7" s="442" t="s">
        <v>196</v>
      </c>
      <c r="L7" s="361">
        <f>'[3]Air Georgian'!$EP$41</f>
        <v>9041</v>
      </c>
      <c r="M7" s="39">
        <f>L7/$L$58</f>
        <v>2.9468123352175855E-3</v>
      </c>
      <c r="N7" s="9">
        <f>'[3]Air Georgian'!$EB$41</f>
        <v>0</v>
      </c>
      <c r="O7" s="86" t="e">
        <f>(L7-N7)/N7</f>
        <v>#DIV/0!</v>
      </c>
      <c r="P7" s="9">
        <f>SUM('[3]Air Georgian'!$EL$41:$EP$41)</f>
        <v>29258</v>
      </c>
      <c r="Q7" s="9">
        <f>SUM('[3]Air Georgian'!$DX$41:$EB$41)</f>
        <v>0</v>
      </c>
      <c r="R7" s="86" t="e">
        <f>(P7-Q7)/Q7</f>
        <v>#DIV/0!</v>
      </c>
      <c r="T7" s="20"/>
    </row>
    <row r="8" spans="1:20" ht="14.1" customHeight="1" x14ac:dyDescent="0.2">
      <c r="A8" s="356"/>
      <c r="B8" s="55"/>
      <c r="C8" s="357"/>
      <c r="D8" s="358"/>
      <c r="E8" s="359"/>
      <c r="F8" s="360"/>
      <c r="G8" s="359"/>
      <c r="H8" s="359"/>
      <c r="I8" s="360"/>
      <c r="J8" s="356"/>
      <c r="K8" s="55"/>
      <c r="L8" s="361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6" t="s">
        <v>168</v>
      </c>
      <c r="B9" s="55"/>
      <c r="C9" s="357">
        <f>'[3]Air France'!$EP$19</f>
        <v>36</v>
      </c>
      <c r="D9" s="358">
        <f>C9/$C$58</f>
        <v>1.1410821262163619E-3</v>
      </c>
      <c r="E9" s="359">
        <f>'[3]Air France'!$EB$19</f>
        <v>32</v>
      </c>
      <c r="F9" s="360">
        <f>(C9-E9)/E9</f>
        <v>0.125</v>
      </c>
      <c r="G9" s="359">
        <f>SUM('[3]Air France'!$EL$19:$EP$19)</f>
        <v>36</v>
      </c>
      <c r="H9" s="359">
        <f>SUM('[3]Air France'!$DX$19:$EB$19)</f>
        <v>32</v>
      </c>
      <c r="I9" s="360">
        <f>(G9-H9)/H9</f>
        <v>0.125</v>
      </c>
      <c r="J9" s="356" t="s">
        <v>168</v>
      </c>
      <c r="K9" s="55"/>
      <c r="L9" s="357">
        <f>'[3]Air France'!$EP$41</f>
        <v>4037</v>
      </c>
      <c r="M9" s="358">
        <f>L9/$L$58</f>
        <v>1.3158147768248414E-3</v>
      </c>
      <c r="N9" s="359">
        <f>'[3]Air France'!$EB$41</f>
        <v>7407</v>
      </c>
      <c r="O9" s="360">
        <f>(L9-N9)/N9</f>
        <v>-0.45497502362629944</v>
      </c>
      <c r="P9" s="359">
        <f>SUM('[3]Air France'!$EL$41:$EP$41)</f>
        <v>4037</v>
      </c>
      <c r="Q9" s="359">
        <f>SUM('[3]Air France'!$DX$41:$EB$41)</f>
        <v>7407</v>
      </c>
      <c r="R9" s="360">
        <f>(P9-Q9)/Q9</f>
        <v>-0.45497502362629944</v>
      </c>
      <c r="T9" s="20"/>
    </row>
    <row r="10" spans="1:20" ht="14.1" customHeight="1" x14ac:dyDescent="0.2">
      <c r="A10" s="356"/>
      <c r="B10" s="55"/>
      <c r="C10" s="357"/>
      <c r="D10" s="358"/>
      <c r="E10" s="359"/>
      <c r="F10" s="360"/>
      <c r="G10" s="359"/>
      <c r="H10" s="359"/>
      <c r="I10" s="360"/>
      <c r="J10" s="356"/>
      <c r="K10" s="55"/>
      <c r="L10" s="361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6" t="s">
        <v>135</v>
      </c>
      <c r="B11" s="55"/>
      <c r="C11" s="357">
        <f>SUM(C12:C13)</f>
        <v>190</v>
      </c>
      <c r="D11" s="358">
        <f>C11/$C$58</f>
        <v>6.022377888364132E-3</v>
      </c>
      <c r="E11" s="359">
        <f>SUM(E12:E13)</f>
        <v>126</v>
      </c>
      <c r="F11" s="360">
        <f>(C11-E11)/E11</f>
        <v>0.50793650793650791</v>
      </c>
      <c r="G11" s="359">
        <f>SUM(G12:G13)</f>
        <v>820</v>
      </c>
      <c r="H11" s="359">
        <f>SUM(H12:H13)</f>
        <v>486</v>
      </c>
      <c r="I11" s="360">
        <f>(G11-H11)/H11</f>
        <v>0.68724279835390945</v>
      </c>
      <c r="J11" s="356" t="s">
        <v>135</v>
      </c>
      <c r="K11" s="55"/>
      <c r="L11" s="357">
        <f>SUM(L12:L13)</f>
        <v>22456</v>
      </c>
      <c r="M11" s="358">
        <f>L11/$L$58</f>
        <v>7.3192808096058061E-3</v>
      </c>
      <c r="N11" s="359">
        <f>SUM(N12:N13)</f>
        <v>18862</v>
      </c>
      <c r="O11" s="360">
        <f>(L11-N11)/N11</f>
        <v>0.19054183013466228</v>
      </c>
      <c r="P11" s="359">
        <f>SUM(P12:P13)</f>
        <v>101808</v>
      </c>
      <c r="Q11" s="359">
        <f>SUM(Q12:Q13)</f>
        <v>67041</v>
      </c>
      <c r="R11" s="360">
        <f>(P11-Q11)/Q11</f>
        <v>0.51859309974493217</v>
      </c>
      <c r="T11" s="20"/>
    </row>
    <row r="12" spans="1:20" ht="14.1" customHeight="1" x14ac:dyDescent="0.2">
      <c r="A12" s="356"/>
      <c r="B12" s="442" t="s">
        <v>135</v>
      </c>
      <c r="C12" s="449">
        <f>[3]Alaska!$EP$19</f>
        <v>126</v>
      </c>
      <c r="D12" s="450">
        <f>C12/$C$58</f>
        <v>3.9937874417572666E-3</v>
      </c>
      <c r="E12" s="299">
        <f>[3]Alaska!$EB$19</f>
        <v>126</v>
      </c>
      <c r="F12" s="451">
        <f>(C12-E12)/E12</f>
        <v>0</v>
      </c>
      <c r="G12" s="299">
        <f>SUM([3]Alaska!$EL$19:$EP$19)</f>
        <v>636</v>
      </c>
      <c r="H12" s="299">
        <f>SUM([3]Alaska!$DX$19:$EB$19)</f>
        <v>486</v>
      </c>
      <c r="I12" s="451">
        <f>(G12-H12)/H12</f>
        <v>0.30864197530864196</v>
      </c>
      <c r="J12" s="356"/>
      <c r="K12" s="442" t="s">
        <v>135</v>
      </c>
      <c r="L12" s="449">
        <f>[3]Alaska!$EP$41</f>
        <v>18420</v>
      </c>
      <c r="M12" s="450">
        <f>L12/$L$58</f>
        <v>6.003791971541635E-3</v>
      </c>
      <c r="N12" s="299">
        <f>[3]Alaska!$EB$41</f>
        <v>18862</v>
      </c>
      <c r="O12" s="451">
        <f>(L12-N12)/N12</f>
        <v>-2.3433358074435372E-2</v>
      </c>
      <c r="P12" s="299">
        <f>SUM([3]Alaska!$EL$41:$EP$41)</f>
        <v>89853</v>
      </c>
      <c r="Q12" s="299">
        <f>SUM([3]Alaska!$DX$41:$EB$41)</f>
        <v>67041</v>
      </c>
      <c r="R12" s="451">
        <f>(P12-Q12)/Q12</f>
        <v>0.34026938738980622</v>
      </c>
      <c r="T12" s="20"/>
    </row>
    <row r="13" spans="1:20" ht="14.1" customHeight="1" x14ac:dyDescent="0.2">
      <c r="A13" s="356"/>
      <c r="B13" s="442" t="s">
        <v>104</v>
      </c>
      <c r="C13" s="361">
        <f>'[3]Sky West_AS'!$EP$19</f>
        <v>64</v>
      </c>
      <c r="D13" s="39">
        <f>C13/$C$58</f>
        <v>2.0285904466068655E-3</v>
      </c>
      <c r="E13" s="9">
        <f>'[3]Sky West_AS'!$EB$19</f>
        <v>0</v>
      </c>
      <c r="F13" s="86" t="e">
        <f>(C13-E13)/E13</f>
        <v>#DIV/0!</v>
      </c>
      <c r="G13" s="9">
        <f>SUM('[3]Sky West_AS'!$EL$19:$EP$19)</f>
        <v>184</v>
      </c>
      <c r="H13" s="9">
        <f>SUM('[3]Sky West_AS'!$DX$19:$EB$19)</f>
        <v>0</v>
      </c>
      <c r="I13" s="86" t="e">
        <f>(G13-H13)/H13</f>
        <v>#DIV/0!</v>
      </c>
      <c r="J13" s="356"/>
      <c r="K13" s="442" t="s">
        <v>104</v>
      </c>
      <c r="L13" s="361">
        <f>'[3]Sky West_AS'!$EP$41</f>
        <v>4036</v>
      </c>
      <c r="M13" s="39">
        <f>L13/$L$58</f>
        <v>1.3154888380641715E-3</v>
      </c>
      <c r="N13" s="9">
        <f>'[3]Sky West_AS'!$EB$41</f>
        <v>0</v>
      </c>
      <c r="O13" s="86" t="e">
        <f>(L13-N13)/N13</f>
        <v>#DIV/0!</v>
      </c>
      <c r="P13" s="9">
        <f>SUM('[3]Sky West_AS'!$EL$41:$EP$41)</f>
        <v>11955</v>
      </c>
      <c r="Q13" s="9">
        <f>SUM('[3]Sky West_AS'!$DX$41:$EB$41)</f>
        <v>0</v>
      </c>
      <c r="R13" s="86" t="e">
        <f>(P13-Q13)/Q13</f>
        <v>#DIV/0!</v>
      </c>
      <c r="T13" s="20"/>
    </row>
    <row r="14" spans="1:20" ht="14.1" customHeight="1" x14ac:dyDescent="0.2">
      <c r="A14" s="356"/>
      <c r="B14" s="55"/>
      <c r="C14" s="357"/>
      <c r="D14" s="358"/>
      <c r="E14" s="362"/>
      <c r="F14" s="360"/>
      <c r="G14" s="362"/>
      <c r="H14" s="362"/>
      <c r="I14" s="360"/>
      <c r="J14" s="356"/>
      <c r="K14" s="55"/>
      <c r="L14" s="363"/>
      <c r="M14" s="39"/>
      <c r="N14" s="146"/>
      <c r="O14" s="86"/>
      <c r="P14" s="146"/>
      <c r="Q14" s="146"/>
      <c r="R14" s="86"/>
      <c r="T14" s="20"/>
    </row>
    <row r="15" spans="1:20" ht="14.1" customHeight="1" x14ac:dyDescent="0.2">
      <c r="A15" s="356" t="s">
        <v>19</v>
      </c>
      <c r="B15" s="364"/>
      <c r="C15" s="357">
        <f>SUM(C16:C22)</f>
        <v>1888</v>
      </c>
      <c r="D15" s="358">
        <f t="shared" ref="D15:D22" si="0">C15/$C$58</f>
        <v>5.9843418174902532E-2</v>
      </c>
      <c r="E15" s="359">
        <f>SUM(E16:E22)</f>
        <v>1534</v>
      </c>
      <c r="F15" s="360">
        <f t="shared" ref="F15:F22" si="1">(C15-E15)/E15</f>
        <v>0.23076923076923078</v>
      </c>
      <c r="G15" s="357">
        <f>SUM(G16:G22)</f>
        <v>8735</v>
      </c>
      <c r="H15" s="359">
        <f>SUM(H16:H22)</f>
        <v>7905</v>
      </c>
      <c r="I15" s="360">
        <f t="shared" ref="I15:I22" si="2">(G15-H15)/H15</f>
        <v>0.10499683744465528</v>
      </c>
      <c r="J15" s="356" t="s">
        <v>19</v>
      </c>
      <c r="K15" s="364"/>
      <c r="L15" s="357">
        <f>SUM(L16:L22)</f>
        <v>223201</v>
      </c>
      <c r="M15" s="358">
        <f t="shared" ref="M15:M22" si="3">L15/$L$58</f>
        <v>7.2749857320307518E-2</v>
      </c>
      <c r="N15" s="359">
        <f>SUM(N16:N22)</f>
        <v>189369</v>
      </c>
      <c r="O15" s="360">
        <f t="shared" ref="O15:O22" si="4">(L15-N15)/N15</f>
        <v>0.17865648548600879</v>
      </c>
      <c r="P15" s="357">
        <f>SUM(P16:P22)</f>
        <v>981349</v>
      </c>
      <c r="Q15" s="359">
        <f>SUM(Q16:Q22)</f>
        <v>943487</v>
      </c>
      <c r="R15" s="360">
        <f t="shared" ref="R15:R22" si="5">(P15-Q15)/Q15</f>
        <v>4.0129858704995407E-2</v>
      </c>
      <c r="T15" s="20"/>
    </row>
    <row r="16" spans="1:20" ht="14.1" customHeight="1" x14ac:dyDescent="0.2">
      <c r="A16" s="53"/>
      <c r="B16" s="365" t="s">
        <v>19</v>
      </c>
      <c r="C16" s="361">
        <f>[3]American!$EP$19</f>
        <v>1494</v>
      </c>
      <c r="D16" s="39">
        <f t="shared" si="0"/>
        <v>4.735490823797902E-2</v>
      </c>
      <c r="E16" s="9">
        <f>[3]American!$EB$19</f>
        <v>694</v>
      </c>
      <c r="F16" s="86">
        <f t="shared" si="1"/>
        <v>1.1527377521613833</v>
      </c>
      <c r="G16" s="9">
        <f>SUM([3]American!$EL$19:$EP$19)</f>
        <v>7079</v>
      </c>
      <c r="H16" s="9">
        <f>SUM([3]American!$DX$19:$EB$19)</f>
        <v>3460</v>
      </c>
      <c r="I16" s="86">
        <f t="shared" si="2"/>
        <v>1.0459537572254336</v>
      </c>
      <c r="J16" s="53"/>
      <c r="K16" s="365" t="s">
        <v>19</v>
      </c>
      <c r="L16" s="361">
        <f>[3]American!$EP$41</f>
        <v>197797</v>
      </c>
      <c r="M16" s="39">
        <f t="shared" si="3"/>
        <v>6.4469709044246509E-2</v>
      </c>
      <c r="N16" s="9">
        <f>[3]American!$EB$41</f>
        <v>86821</v>
      </c>
      <c r="O16" s="86">
        <f t="shared" si="4"/>
        <v>1.2782160997915251</v>
      </c>
      <c r="P16" s="9">
        <f>SUM([3]American!$EL$41:$EP$41)</f>
        <v>890533</v>
      </c>
      <c r="Q16" s="9">
        <f>SUM([3]American!$DX$41:$EB$41)</f>
        <v>424988</v>
      </c>
      <c r="R16" s="86">
        <f t="shared" si="5"/>
        <v>1.0954309298144889</v>
      </c>
      <c r="T16" s="20"/>
    </row>
    <row r="17" spans="1:20" ht="14.1" customHeight="1" x14ac:dyDescent="0.2">
      <c r="A17" s="53"/>
      <c r="B17" s="440" t="s">
        <v>22</v>
      </c>
      <c r="C17" s="361">
        <f>'[3]US Airways'!$EP$19</f>
        <v>0</v>
      </c>
      <c r="D17" s="39">
        <f t="shared" si="0"/>
        <v>0</v>
      </c>
      <c r="E17" s="9">
        <f>'[3]US Airways'!$EB$19</f>
        <v>692</v>
      </c>
      <c r="F17" s="86">
        <f t="shared" si="1"/>
        <v>-1</v>
      </c>
      <c r="G17" s="9">
        <f>SUM('[3]US Airways'!$EL$19:$EP$19)</f>
        <v>0</v>
      </c>
      <c r="H17" s="9">
        <f>SUM('[3]US Airways'!$DX$19:$EB$19)</f>
        <v>3428</v>
      </c>
      <c r="I17" s="86">
        <f t="shared" si="2"/>
        <v>-1</v>
      </c>
      <c r="J17" s="372"/>
      <c r="K17" s="365" t="s">
        <v>22</v>
      </c>
      <c r="L17" s="361">
        <f>'[3]US Airways'!$EP$41</f>
        <v>0</v>
      </c>
      <c r="M17" s="39">
        <f t="shared" si="3"/>
        <v>0</v>
      </c>
      <c r="N17" s="9">
        <f>'[3]US Airways'!$EB$41</f>
        <v>93051</v>
      </c>
      <c r="O17" s="86">
        <f t="shared" si="4"/>
        <v>-1</v>
      </c>
      <c r="P17" s="9">
        <f>SUM('[3]US Airways'!$EL$41:$EP$41)</f>
        <v>0</v>
      </c>
      <c r="Q17" s="9">
        <f>SUM('[3]US Airways'!$DX$41:$EB$41)</f>
        <v>454582</v>
      </c>
      <c r="R17" s="86">
        <f t="shared" si="5"/>
        <v>-1</v>
      </c>
      <c r="T17" s="20"/>
    </row>
    <row r="18" spans="1:20" ht="14.1" customHeight="1" x14ac:dyDescent="0.2">
      <c r="A18" s="53"/>
      <c r="B18" s="440" t="s">
        <v>197</v>
      </c>
      <c r="C18" s="361">
        <f>'[3]American Eagle'!$EP$19</f>
        <v>10</v>
      </c>
      <c r="D18" s="39">
        <f t="shared" si="0"/>
        <v>3.1696725728232276E-4</v>
      </c>
      <c r="E18" s="9">
        <f>'[3]American Eagle'!$EB$19</f>
        <v>130</v>
      </c>
      <c r="F18" s="86">
        <f t="shared" si="1"/>
        <v>-0.92307692307692313</v>
      </c>
      <c r="G18" s="9">
        <f>SUM('[3]American Eagle'!$EL$19:$EP$19)</f>
        <v>82</v>
      </c>
      <c r="H18" s="9">
        <f>SUM('[3]American Eagle'!$DX$19:$EB$19)</f>
        <v>813</v>
      </c>
      <c r="I18" s="86">
        <f t="shared" si="2"/>
        <v>-0.89913899138991393</v>
      </c>
      <c r="J18" s="53"/>
      <c r="K18" s="440" t="s">
        <v>197</v>
      </c>
      <c r="L18" s="361">
        <f>'[3]American Eagle'!$EP$41</f>
        <v>576</v>
      </c>
      <c r="M18" s="39">
        <f t="shared" si="3"/>
        <v>1.8774072614592734E-4</v>
      </c>
      <c r="N18" s="9">
        <f>'[3]American Eagle'!$EB$41</f>
        <v>8333</v>
      </c>
      <c r="O18" s="86">
        <f t="shared" si="4"/>
        <v>-0.93087723508940357</v>
      </c>
      <c r="P18" s="9">
        <f>SUM('[3]American Eagle'!$EL$41:$EP$41)</f>
        <v>4094</v>
      </c>
      <c r="Q18" s="9">
        <f>SUM('[3]American Eagle'!$DX$41:$EB$41)</f>
        <v>50847</v>
      </c>
      <c r="R18" s="86">
        <f t="shared" si="5"/>
        <v>-0.9194839420221449</v>
      </c>
      <c r="T18" s="20"/>
    </row>
    <row r="19" spans="1:20" ht="14.1" customHeight="1" x14ac:dyDescent="0.2">
      <c r="A19" s="53"/>
      <c r="B19" s="440" t="s">
        <v>56</v>
      </c>
      <c r="C19" s="361">
        <f>[3]Republic!$EP$19</f>
        <v>364</v>
      </c>
      <c r="D19" s="39">
        <f t="shared" si="0"/>
        <v>1.1537608165076547E-2</v>
      </c>
      <c r="E19" s="9">
        <f>[3]Republic!$EB$19</f>
        <v>18</v>
      </c>
      <c r="F19" s="86">
        <f t="shared" si="1"/>
        <v>19.222222222222221</v>
      </c>
      <c r="G19" s="9">
        <f>SUM([3]Republic!$EL$19:$EP$19)</f>
        <v>1436</v>
      </c>
      <c r="H19" s="9">
        <f>SUM([3]Republic!$DX$19:$EB$19)</f>
        <v>192</v>
      </c>
      <c r="I19" s="86">
        <f t="shared" si="2"/>
        <v>6.479166666666667</v>
      </c>
      <c r="J19" s="372"/>
      <c r="K19" s="367" t="s">
        <v>56</v>
      </c>
      <c r="L19" s="361">
        <f>[3]Republic!$EP$41</f>
        <v>23692</v>
      </c>
      <c r="M19" s="39">
        <f t="shared" si="3"/>
        <v>7.7221411177939422E-3</v>
      </c>
      <c r="N19" s="9">
        <f>[3]Republic!$EB$41</f>
        <v>1164</v>
      </c>
      <c r="O19" s="86">
        <f t="shared" si="4"/>
        <v>19.353951890034363</v>
      </c>
      <c r="P19" s="9">
        <f>SUM([3]Republic!$EL$41:$EP$41)</f>
        <v>80744</v>
      </c>
      <c r="Q19" s="9">
        <f>SUM([3]Republic!$DX$41:$EB$41)</f>
        <v>12373</v>
      </c>
      <c r="R19" s="86">
        <f t="shared" si="5"/>
        <v>5.5258223551281018</v>
      </c>
      <c r="T19" s="20"/>
    </row>
    <row r="20" spans="1:20" ht="14.1" customHeight="1" x14ac:dyDescent="0.2">
      <c r="A20" s="53"/>
      <c r="B20" s="440" t="s">
        <v>219</v>
      </c>
      <c r="C20" s="361">
        <f>[3]PSA!$EP$19</f>
        <v>18</v>
      </c>
      <c r="D20" s="39">
        <f t="shared" ref="D20" si="6">C20/$C$58</f>
        <v>5.7054106310818094E-4</v>
      </c>
      <c r="E20" s="9">
        <f>[3]PSA!$EB$19</f>
        <v>0</v>
      </c>
      <c r="F20" s="86" t="e">
        <f t="shared" ref="F20" si="7">(C20-E20)/E20</f>
        <v>#DIV/0!</v>
      </c>
      <c r="G20" s="9">
        <f>SUM([3]PSA!$EL$19:$EP$19)</f>
        <v>18</v>
      </c>
      <c r="H20" s="9">
        <f>SUM([3]PSA!$DX$19:$EB$19)</f>
        <v>0</v>
      </c>
      <c r="I20" s="86" t="e">
        <f t="shared" ref="I20" si="8">(G20-H20)/H20</f>
        <v>#DIV/0!</v>
      </c>
      <c r="J20" s="372"/>
      <c r="K20" s="440" t="s">
        <v>219</v>
      </c>
      <c r="L20" s="361">
        <f>[3]PSA!$EP$41</f>
        <v>1087</v>
      </c>
      <c r="M20" s="39">
        <f t="shared" ref="M20" si="9">L20/$L$58</f>
        <v>3.5429543284830388E-4</v>
      </c>
      <c r="N20" s="9">
        <f>[3]PSA!$EB$41</f>
        <v>0</v>
      </c>
      <c r="O20" s="86" t="e">
        <f t="shared" ref="O20" si="10">(L20-N20)/N20</f>
        <v>#DIV/0!</v>
      </c>
      <c r="P20" s="9">
        <f>SUM([3]PSA!$EL$41:$EP$41)</f>
        <v>1087</v>
      </c>
      <c r="Q20" s="9">
        <f>SUM([3]PSA!$DX$41:$EB$41)</f>
        <v>0</v>
      </c>
      <c r="R20" s="86" t="e">
        <f t="shared" ref="R20" si="11">(P20-Q20)/Q20</f>
        <v>#DIV/0!</v>
      </c>
      <c r="T20" s="20"/>
    </row>
    <row r="21" spans="1:20" ht="14.1" customHeight="1" x14ac:dyDescent="0.2">
      <c r="A21" s="53"/>
      <c r="B21" s="440" t="s">
        <v>55</v>
      </c>
      <c r="C21" s="361">
        <f>[3]MESA!$EP$19</f>
        <v>0</v>
      </c>
      <c r="D21" s="39">
        <f t="shared" si="0"/>
        <v>0</v>
      </c>
      <c r="E21" s="9">
        <f>[3]MESA!$EB$19</f>
        <v>0</v>
      </c>
      <c r="F21" s="86" t="e">
        <f t="shared" si="1"/>
        <v>#DIV/0!</v>
      </c>
      <c r="G21" s="9">
        <f>SUM([3]MESA!$EL$19:$EP$19)</f>
        <v>14</v>
      </c>
      <c r="H21" s="9">
        <f>SUM([3]MESA!$DX$19:$EB$19)</f>
        <v>12</v>
      </c>
      <c r="I21" s="86">
        <f t="shared" si="2"/>
        <v>0.16666666666666666</v>
      </c>
      <c r="J21" s="372"/>
      <c r="K21" s="440" t="s">
        <v>55</v>
      </c>
      <c r="L21" s="361">
        <f>[3]MESA!$EP$41</f>
        <v>0</v>
      </c>
      <c r="M21" s="39">
        <f t="shared" si="3"/>
        <v>0</v>
      </c>
      <c r="N21" s="9">
        <f>[3]MESA!$EB$41</f>
        <v>0</v>
      </c>
      <c r="O21" s="86" t="e">
        <f t="shared" si="4"/>
        <v>#DIV/0!</v>
      </c>
      <c r="P21" s="9">
        <f>SUM([3]MESA!$EL$41:$EP$41)</f>
        <v>1079</v>
      </c>
      <c r="Q21" s="9">
        <f>SUM([3]MESA!$DX$41:$EB$41)</f>
        <v>697</v>
      </c>
      <c r="R21" s="86">
        <f t="shared" si="5"/>
        <v>0.54806312769010046</v>
      </c>
      <c r="T21" s="20"/>
    </row>
    <row r="22" spans="1:20" ht="14.1" customHeight="1" x14ac:dyDescent="0.2">
      <c r="A22" s="53"/>
      <c r="B22" s="440" t="s">
        <v>53</v>
      </c>
      <c r="C22" s="361">
        <f>'[3]Air Wisconsin'!$EP$19</f>
        <v>2</v>
      </c>
      <c r="D22" s="39">
        <f t="shared" si="0"/>
        <v>6.3393451456464546E-5</v>
      </c>
      <c r="E22" s="9">
        <f>'[3]Air Wisconsin'!$EB$19</f>
        <v>0</v>
      </c>
      <c r="F22" s="86" t="e">
        <f t="shared" si="1"/>
        <v>#DIV/0!</v>
      </c>
      <c r="G22" s="9">
        <f>SUM('[3]Air Wisconsin'!$EL$19:$EP$19)</f>
        <v>106</v>
      </c>
      <c r="H22" s="9">
        <f>SUM('[3]Air Wisconsin'!$DX$19:$EB$19)</f>
        <v>0</v>
      </c>
      <c r="I22" s="444" t="e">
        <f t="shared" si="2"/>
        <v>#DIV/0!</v>
      </c>
      <c r="J22" s="53"/>
      <c r="K22" s="445" t="s">
        <v>53</v>
      </c>
      <c r="L22" s="361">
        <f>'[3]Air Wisconsin'!$EP$41</f>
        <v>49</v>
      </c>
      <c r="M22" s="39">
        <f t="shared" si="3"/>
        <v>1.5970999272830624E-5</v>
      </c>
      <c r="N22" s="9">
        <f>'[3]Air Wisconsin'!$EB$41</f>
        <v>0</v>
      </c>
      <c r="O22" s="86" t="e">
        <f t="shared" si="4"/>
        <v>#DIV/0!</v>
      </c>
      <c r="P22" s="9">
        <f>SUM('[3]Air Wisconsin'!$EL$41:$EP$41)</f>
        <v>3812</v>
      </c>
      <c r="Q22" s="9">
        <f>SUM('[3]Air Wisconsin'!$DX$41:$EB$41)</f>
        <v>0</v>
      </c>
      <c r="R22" s="86" t="e">
        <f t="shared" si="5"/>
        <v>#DIV/0!</v>
      </c>
      <c r="T22" s="20"/>
    </row>
    <row r="23" spans="1:20" ht="14.1" customHeight="1" x14ac:dyDescent="0.2">
      <c r="A23" s="53"/>
      <c r="B23" s="366"/>
      <c r="C23" s="361"/>
      <c r="D23" s="39"/>
      <c r="E23" s="9"/>
      <c r="F23" s="86"/>
      <c r="G23" s="9"/>
      <c r="H23" s="9"/>
      <c r="I23" s="86"/>
      <c r="J23" s="53"/>
      <c r="K23" s="366"/>
      <c r="L23" s="361"/>
      <c r="M23" s="39"/>
      <c r="N23" s="9"/>
      <c r="O23" s="86"/>
      <c r="P23" s="9"/>
      <c r="Q23" s="9"/>
      <c r="R23" s="86"/>
      <c r="T23" s="20"/>
    </row>
    <row r="24" spans="1:20" ht="14.1" customHeight="1" x14ac:dyDescent="0.2">
      <c r="A24" s="356" t="s">
        <v>20</v>
      </c>
      <c r="B24" s="369"/>
      <c r="C24" s="357">
        <f>SUM(C25:C31)</f>
        <v>23517</v>
      </c>
      <c r="D24" s="358">
        <f t="shared" ref="D24:D31" si="12">C24/$C$58</f>
        <v>0.74541189895083837</v>
      </c>
      <c r="E24" s="359">
        <f>SUM(E25:E31)</f>
        <v>23083</v>
      </c>
      <c r="F24" s="360">
        <f t="shared" ref="F24:F31" si="13">(C24-E24)/E24</f>
        <v>1.8801715548238965E-2</v>
      </c>
      <c r="G24" s="362">
        <f>SUM(G25:G31)</f>
        <v>112043</v>
      </c>
      <c r="H24" s="362">
        <f>SUM(H25:H31)</f>
        <v>111986</v>
      </c>
      <c r="I24" s="360">
        <f>(G24-H24)/H24</f>
        <v>5.0899219545300306E-4</v>
      </c>
      <c r="J24" s="356" t="s">
        <v>20</v>
      </c>
      <c r="K24" s="369"/>
      <c r="L24" s="357">
        <f>SUM(L25:L31)</f>
        <v>2186302</v>
      </c>
      <c r="M24" s="358">
        <f t="shared" ref="M24:M31" si="14">L24/$L$58</f>
        <v>0.71260056433037022</v>
      </c>
      <c r="N24" s="359">
        <f>SUM(N25:N31)</f>
        <v>2159400</v>
      </c>
      <c r="O24" s="360">
        <f t="shared" ref="O24:O31" si="15">(L24-N24)/N24</f>
        <v>1.2458090210243586E-2</v>
      </c>
      <c r="P24" s="359">
        <f>SUM(P25:P31)</f>
        <v>10219408</v>
      </c>
      <c r="Q24" s="359">
        <f>SUM(Q25:Q31)</f>
        <v>10017928</v>
      </c>
      <c r="R24" s="360">
        <f t="shared" ref="R24:R31" si="16">(P24-Q24)/Q24</f>
        <v>2.0111943308037349E-2</v>
      </c>
      <c r="T24" s="426"/>
    </row>
    <row r="25" spans="1:20" ht="14.1" customHeight="1" x14ac:dyDescent="0.2">
      <c r="A25" s="53"/>
      <c r="B25" s="365" t="s">
        <v>20</v>
      </c>
      <c r="C25" s="361">
        <f>[3]Delta!$EP$19</f>
        <v>11342</v>
      </c>
      <c r="D25" s="39">
        <f t="shared" si="12"/>
        <v>0.35950426320961043</v>
      </c>
      <c r="E25" s="9">
        <f>[3]Delta!$EB$19</f>
        <v>11016</v>
      </c>
      <c r="F25" s="86">
        <f t="shared" si="13"/>
        <v>2.9593318809005082E-2</v>
      </c>
      <c r="G25" s="9">
        <f>SUM([3]Delta!$EL$19:$EP$19)</f>
        <v>53470</v>
      </c>
      <c r="H25" s="9">
        <f>SUM([3]Delta!$DX$19:$EB$19)</f>
        <v>50343</v>
      </c>
      <c r="I25" s="86">
        <f t="shared" ref="I25:I31" si="17">(G25-H25)/H25</f>
        <v>6.2113898655225153E-2</v>
      </c>
      <c r="J25" s="53"/>
      <c r="K25" s="365" t="s">
        <v>20</v>
      </c>
      <c r="L25" s="361">
        <f>[3]Delta!$EP$41</f>
        <v>1559499</v>
      </c>
      <c r="M25" s="39">
        <f t="shared" si="14"/>
        <v>0.50830117132612418</v>
      </c>
      <c r="N25" s="9">
        <f>[3]Delta!$EB$41</f>
        <v>1524406</v>
      </c>
      <c r="O25" s="86">
        <f t="shared" si="15"/>
        <v>2.3020770057320686E-2</v>
      </c>
      <c r="P25" s="9">
        <f>SUM([3]Delta!$EL$41:$EP$41)</f>
        <v>7265585</v>
      </c>
      <c r="Q25" s="9">
        <f>SUM([3]Delta!$DX$41:$EB$41)</f>
        <v>6903157</v>
      </c>
      <c r="R25" s="86">
        <f t="shared" si="16"/>
        <v>5.2501775636857165E-2</v>
      </c>
      <c r="T25" s="20"/>
    </row>
    <row r="26" spans="1:20" ht="14.1" customHeight="1" x14ac:dyDescent="0.2">
      <c r="A26" s="53"/>
      <c r="B26" s="367" t="s">
        <v>124</v>
      </c>
      <c r="C26" s="361">
        <f>[3]Compass!$EP$19</f>
        <v>1339</v>
      </c>
      <c r="D26" s="39">
        <f t="shared" si="12"/>
        <v>4.2441915750103011E-2</v>
      </c>
      <c r="E26" s="9">
        <f>[3]Compass!$EB$19</f>
        <v>1411</v>
      </c>
      <c r="F26" s="86">
        <f t="shared" si="13"/>
        <v>-5.1027639971651308E-2</v>
      </c>
      <c r="G26" s="9">
        <f>SUM([3]Compass!$EL$19:$EP$19)</f>
        <v>6772</v>
      </c>
      <c r="H26" s="9">
        <f>SUM([3]Compass!$DX$19:$EB$19)</f>
        <v>6957</v>
      </c>
      <c r="I26" s="86">
        <f t="shared" si="17"/>
        <v>-2.6591921805375882E-2</v>
      </c>
      <c r="J26" s="53"/>
      <c r="K26" s="367" t="s">
        <v>124</v>
      </c>
      <c r="L26" s="361">
        <f>[3]Compass!$EP$41</f>
        <v>79424</v>
      </c>
      <c r="M26" s="39">
        <f t="shared" si="14"/>
        <v>2.5887360127455093E-2</v>
      </c>
      <c r="N26" s="9">
        <f>[3]Compass!$EB$41</f>
        <v>87017</v>
      </c>
      <c r="O26" s="86">
        <f t="shared" si="15"/>
        <v>-8.7258811496604111E-2</v>
      </c>
      <c r="P26" s="9">
        <f>SUM([3]Compass!$EL$41:$EP$41)</f>
        <v>400483</v>
      </c>
      <c r="Q26" s="9">
        <f>SUM([3]Compass!$DX$41:$EB$41)</f>
        <v>410265</v>
      </c>
      <c r="R26" s="86">
        <f t="shared" si="16"/>
        <v>-2.3843125784553887E-2</v>
      </c>
      <c r="T26" s="9"/>
    </row>
    <row r="27" spans="1:20" ht="14.1" customHeight="1" x14ac:dyDescent="0.2">
      <c r="A27" s="53"/>
      <c r="B27" s="366" t="s">
        <v>170</v>
      </c>
      <c r="C27" s="361">
        <f>[3]Pinnacle!$EP$19</f>
        <v>4422</v>
      </c>
      <c r="D27" s="39">
        <f t="shared" si="12"/>
        <v>0.14016292117024312</v>
      </c>
      <c r="E27" s="9">
        <f>[3]Pinnacle!$EB$19</f>
        <v>4611</v>
      </c>
      <c r="F27" s="86">
        <f t="shared" si="13"/>
        <v>-4.098893949251789E-2</v>
      </c>
      <c r="G27" s="9">
        <f>SUM([3]Pinnacle!$EL$19:$EP$19)</f>
        <v>19703</v>
      </c>
      <c r="H27" s="9">
        <f>SUM([3]Pinnacle!$DX$19:$EB$19)</f>
        <v>26167</v>
      </c>
      <c r="I27" s="86">
        <f t="shared" si="17"/>
        <v>-0.24702870027133411</v>
      </c>
      <c r="J27" s="53"/>
      <c r="K27" s="366" t="s">
        <v>170</v>
      </c>
      <c r="L27" s="361">
        <f>[3]Pinnacle!$EP$41</f>
        <v>243730</v>
      </c>
      <c r="M27" s="39">
        <f t="shared" si="14"/>
        <v>7.9441054138102207E-2</v>
      </c>
      <c r="N27" s="9">
        <f>[3]Pinnacle!$EB$41</f>
        <v>262109</v>
      </c>
      <c r="O27" s="86">
        <f t="shared" si="15"/>
        <v>-7.0119683032631469E-2</v>
      </c>
      <c r="P27" s="9">
        <f>SUM([3]Pinnacle!$EL$41:$EP$41)</f>
        <v>1097121</v>
      </c>
      <c r="Q27" s="9">
        <f>SUM([3]Pinnacle!$DX$41:$EB$41)</f>
        <v>1412722</v>
      </c>
      <c r="R27" s="86">
        <f t="shared" si="16"/>
        <v>-0.22339922504215268</v>
      </c>
      <c r="T27" s="20"/>
    </row>
    <row r="28" spans="1:20" ht="14.1" customHeight="1" x14ac:dyDescent="0.2">
      <c r="A28" s="53"/>
      <c r="B28" s="365" t="s">
        <v>166</v>
      </c>
      <c r="C28" s="361">
        <f>'[3]Go Jet'!$EP$19</f>
        <v>0</v>
      </c>
      <c r="D28" s="39">
        <f t="shared" si="12"/>
        <v>0</v>
      </c>
      <c r="E28" s="9">
        <f>'[3]Go Jet'!$EB$19</f>
        <v>0</v>
      </c>
      <c r="F28" s="86" t="e">
        <f>(C28-E28)/E28</f>
        <v>#DIV/0!</v>
      </c>
      <c r="G28" s="9">
        <f>SUM('[3]Go Jet'!$EL$19:$EP$19)</f>
        <v>0</v>
      </c>
      <c r="H28" s="9">
        <f>SUM('[3]Go Jet'!$DX$19:$EB$19)</f>
        <v>28</v>
      </c>
      <c r="I28" s="86">
        <f>(G28-H28)/H28</f>
        <v>-1</v>
      </c>
      <c r="J28" s="53"/>
      <c r="K28" s="365" t="s">
        <v>166</v>
      </c>
      <c r="L28" s="361">
        <f>'[3]Go Jet'!$EP$41</f>
        <v>0</v>
      </c>
      <c r="M28" s="39">
        <f t="shared" si="14"/>
        <v>0</v>
      </c>
      <c r="N28" s="9">
        <f>'[3]Go Jet'!$EB$41</f>
        <v>0</v>
      </c>
      <c r="O28" s="86" t="e">
        <f>(L28-N28)/N28</f>
        <v>#DIV/0!</v>
      </c>
      <c r="P28" s="9">
        <f>SUM('[3]Go Jet'!$EL$41:$EP$41)</f>
        <v>0</v>
      </c>
      <c r="Q28" s="9">
        <f>SUM('[3]Go Jet'!$DX$41:$EB$41)</f>
        <v>1577</v>
      </c>
      <c r="R28" s="86">
        <f>(P28-Q28)/Q28</f>
        <v>-1</v>
      </c>
      <c r="T28" s="335"/>
    </row>
    <row r="29" spans="1:20" ht="14.1" customHeight="1" x14ac:dyDescent="0.2">
      <c r="A29" s="53"/>
      <c r="B29" s="366" t="s">
        <v>104</v>
      </c>
      <c r="C29" s="361">
        <f>'[3]Sky West'!$EP$19</f>
        <v>5693</v>
      </c>
      <c r="D29" s="39">
        <f t="shared" si="12"/>
        <v>0.18044945957082634</v>
      </c>
      <c r="E29" s="9">
        <f>'[3]Sky West'!$EB$19</f>
        <v>4461</v>
      </c>
      <c r="F29" s="86">
        <f t="shared" si="13"/>
        <v>0.27617126204886799</v>
      </c>
      <c r="G29" s="9">
        <f>SUM('[3]Sky West'!$EL$19:$EP$19)</f>
        <v>28115</v>
      </c>
      <c r="H29" s="9">
        <f>SUM('[3]Sky West'!$DX$19:$EB$19)</f>
        <v>20332</v>
      </c>
      <c r="I29" s="86">
        <f t="shared" si="17"/>
        <v>0.38279559315364942</v>
      </c>
      <c r="J29" s="53"/>
      <c r="K29" s="366" t="s">
        <v>104</v>
      </c>
      <c r="L29" s="361">
        <f>'[3]Sky West'!$EP$41</f>
        <v>261904</v>
      </c>
      <c r="M29" s="39">
        <f t="shared" si="14"/>
        <v>8.5364665174519017E-2</v>
      </c>
      <c r="N29" s="9">
        <f>'[3]Sky West'!$EB$41</f>
        <v>192598</v>
      </c>
      <c r="O29" s="86">
        <f t="shared" si="15"/>
        <v>0.35984797349920561</v>
      </c>
      <c r="P29" s="9">
        <f>SUM('[3]Sky West'!$EL$41:$EP$41)</f>
        <v>1249632</v>
      </c>
      <c r="Q29" s="9">
        <f>SUM('[3]Sky West'!$DX$41:$EB$41)</f>
        <v>843176</v>
      </c>
      <c r="R29" s="86">
        <f t="shared" si="16"/>
        <v>0.48205356888716</v>
      </c>
      <c r="T29" s="20"/>
    </row>
    <row r="30" spans="1:20" ht="14.1" customHeight="1" x14ac:dyDescent="0.2">
      <c r="A30" s="53"/>
      <c r="B30" s="366" t="s">
        <v>139</v>
      </c>
      <c r="C30" s="361">
        <f>'[3]Shuttle America_Delta'!$EP$19</f>
        <v>126</v>
      </c>
      <c r="D30" s="39">
        <f t="shared" si="12"/>
        <v>3.9937874417572666E-3</v>
      </c>
      <c r="E30" s="9">
        <f>'[3]Shuttle America_Delta'!$EB$19</f>
        <v>208</v>
      </c>
      <c r="F30" s="86">
        <f t="shared" si="13"/>
        <v>-0.39423076923076922</v>
      </c>
      <c r="G30" s="9">
        <f>SUM('[3]Shuttle America_Delta'!$EL$19:$EP$19)</f>
        <v>558</v>
      </c>
      <c r="H30" s="9">
        <f>SUM('[3]Shuttle America_Delta'!$DX$19:$EB$19)</f>
        <v>1747</v>
      </c>
      <c r="I30" s="86">
        <f t="shared" si="17"/>
        <v>-0.68059530623926734</v>
      </c>
      <c r="J30" s="53"/>
      <c r="K30" s="366" t="s">
        <v>139</v>
      </c>
      <c r="L30" s="361">
        <f>'[3]Shuttle America_Delta'!$EP$41</f>
        <v>7606</v>
      </c>
      <c r="M30" s="39">
        <f t="shared" si="14"/>
        <v>2.4790902136561169E-3</v>
      </c>
      <c r="N30" s="9">
        <f>'[3]Shuttle America_Delta'!$EB$41</f>
        <v>12905</v>
      </c>
      <c r="O30" s="86">
        <f t="shared" si="15"/>
        <v>-0.41061604029445953</v>
      </c>
      <c r="P30" s="9">
        <f>SUM('[3]Shuttle America_Delta'!$EL$41:$EP$41)</f>
        <v>26503</v>
      </c>
      <c r="Q30" s="9">
        <f>SUM('[3]Shuttle America_Delta'!$DX$41:$EB$41)</f>
        <v>93050</v>
      </c>
      <c r="R30" s="86">
        <f t="shared" si="16"/>
        <v>-0.71517463729177866</v>
      </c>
      <c r="T30" s="20"/>
    </row>
    <row r="31" spans="1:20" ht="14.1" customHeight="1" x14ac:dyDescent="0.2">
      <c r="A31" s="53"/>
      <c r="B31" s="443" t="s">
        <v>198</v>
      </c>
      <c r="C31" s="361">
        <f>'[3]Atlantic Southeast'!$EP$19</f>
        <v>595</v>
      </c>
      <c r="D31" s="39">
        <f t="shared" si="12"/>
        <v>1.8859551808298201E-2</v>
      </c>
      <c r="E31" s="9">
        <f>'[3]Atlantic Southeast'!$EB$19</f>
        <v>1376</v>
      </c>
      <c r="F31" s="86">
        <f t="shared" si="13"/>
        <v>-0.56758720930232553</v>
      </c>
      <c r="G31" s="9">
        <f>SUM('[3]Atlantic Southeast'!$EL$19:$EP$19)</f>
        <v>3425</v>
      </c>
      <c r="H31" s="9">
        <f>SUM('[3]Atlantic Southeast'!$DX$19:$EB$19)</f>
        <v>6412</v>
      </c>
      <c r="I31" s="86">
        <f t="shared" si="17"/>
        <v>-0.46584529008109793</v>
      </c>
      <c r="J31" s="53"/>
      <c r="K31" s="443" t="s">
        <v>198</v>
      </c>
      <c r="L31" s="361">
        <f>'[3]Atlantic Southeast'!$EP$41</f>
        <v>34139</v>
      </c>
      <c r="M31" s="39">
        <f t="shared" si="14"/>
        <v>1.1127223350513565E-2</v>
      </c>
      <c r="N31" s="9">
        <f>'[3]Atlantic Southeast'!$EB$41</f>
        <v>80365</v>
      </c>
      <c r="O31" s="86">
        <f t="shared" si="15"/>
        <v>-0.57520064704784424</v>
      </c>
      <c r="P31" s="9">
        <f>SUM('[3]Atlantic Southeast'!$EL$41:$EP$41)</f>
        <v>180084</v>
      </c>
      <c r="Q31" s="9">
        <f>SUM('[3]Atlantic Southeast'!$DX$41:$EB$41)</f>
        <v>353981</v>
      </c>
      <c r="R31" s="86">
        <f t="shared" si="16"/>
        <v>-0.49126083038355167</v>
      </c>
      <c r="T31" s="332"/>
    </row>
    <row r="32" spans="1:20" ht="14.1" customHeight="1" x14ac:dyDescent="0.2">
      <c r="A32" s="53"/>
      <c r="B32" s="370"/>
      <c r="C32" s="361"/>
      <c r="D32" s="39"/>
      <c r="E32" s="9"/>
      <c r="F32" s="86"/>
      <c r="G32" s="9"/>
      <c r="H32" s="9"/>
      <c r="I32" s="86"/>
      <c r="J32" s="53"/>
      <c r="K32" s="370"/>
      <c r="L32" s="361"/>
      <c r="M32" s="39"/>
      <c r="N32" s="9"/>
      <c r="O32" s="86"/>
      <c r="P32" s="9"/>
      <c r="Q32" s="9"/>
      <c r="R32" s="86"/>
      <c r="T32" s="332"/>
    </row>
    <row r="33" spans="1:20" s="7" customFormat="1" ht="14.1" customHeight="1" x14ac:dyDescent="0.2">
      <c r="A33" s="356" t="s">
        <v>50</v>
      </c>
      <c r="B33" s="371"/>
      <c r="C33" s="357">
        <f>[3]Frontier!$EP$19</f>
        <v>196</v>
      </c>
      <c r="D33" s="358">
        <f>C33/$C$58</f>
        <v>6.212558242733526E-3</v>
      </c>
      <c r="E33" s="359">
        <f>[3]Frontier!$EB$19</f>
        <v>402</v>
      </c>
      <c r="F33" s="360">
        <f>(C33-E33)/E33</f>
        <v>-0.51243781094527363</v>
      </c>
      <c r="G33" s="359">
        <f>SUM([3]Frontier!$EL$19:$EP$19)</f>
        <v>878</v>
      </c>
      <c r="H33" s="359">
        <f>SUM([3]Frontier!$DX$19:$EB$19)</f>
        <v>1032</v>
      </c>
      <c r="I33" s="360">
        <f>(G33-H33)/H33</f>
        <v>-0.14922480620155038</v>
      </c>
      <c r="J33" s="356" t="s">
        <v>50</v>
      </c>
      <c r="K33" s="371"/>
      <c r="L33" s="357">
        <f>[3]Frontier!$EP$41</f>
        <v>28867</v>
      </c>
      <c r="M33" s="358">
        <f>L33/$L$58</f>
        <v>9.4088742042612583E-3</v>
      </c>
      <c r="N33" s="359">
        <f>[3]Frontier!$EB$41</f>
        <v>50221</v>
      </c>
      <c r="O33" s="360">
        <f>(L33-N33)/N33</f>
        <v>-0.42520061328926145</v>
      </c>
      <c r="P33" s="359">
        <f>SUM([3]Frontier!$EL$41:$EP$41)</f>
        <v>127660</v>
      </c>
      <c r="Q33" s="359">
        <f>SUM([3]Frontier!$DX$41:$EB$41)</f>
        <v>134050</v>
      </c>
      <c r="R33" s="360">
        <f>(P33-Q33)/Q33</f>
        <v>-4.7668780305856022E-2</v>
      </c>
      <c r="T33" s="334"/>
    </row>
    <row r="34" spans="1:20" s="7" customFormat="1" ht="14.1" customHeight="1" x14ac:dyDescent="0.2">
      <c r="A34" s="356"/>
      <c r="B34" s="371"/>
      <c r="C34" s="357"/>
      <c r="D34" s="358"/>
      <c r="E34" s="359"/>
      <c r="F34" s="360"/>
      <c r="G34" s="359"/>
      <c r="H34" s="359"/>
      <c r="I34" s="360"/>
      <c r="J34" s="356"/>
      <c r="K34" s="371"/>
      <c r="L34" s="361"/>
      <c r="M34" s="39"/>
      <c r="N34" s="9"/>
      <c r="O34" s="86"/>
      <c r="P34" s="9"/>
      <c r="Q34" s="9"/>
      <c r="R34" s="86"/>
      <c r="T34" s="334"/>
    </row>
    <row r="35" spans="1:20" s="7" customFormat="1" ht="14.1" customHeight="1" x14ac:dyDescent="0.2">
      <c r="A35" s="356" t="s">
        <v>165</v>
      </c>
      <c r="B35" s="371"/>
      <c r="C35" s="357">
        <f>'[3]Great Lakes'!$EP$19</f>
        <v>64</v>
      </c>
      <c r="D35" s="358">
        <f>C35/$C$58</f>
        <v>2.0285904466068655E-3</v>
      </c>
      <c r="E35" s="359">
        <f>'[3]Great Lakes'!$EB$19</f>
        <v>185</v>
      </c>
      <c r="F35" s="360">
        <f>(C35-E35)/E35</f>
        <v>-0.65405405405405403</v>
      </c>
      <c r="G35" s="359">
        <f>SUM('[3]Great Lakes'!$EL$19:$EP$19)</f>
        <v>567</v>
      </c>
      <c r="H35" s="359">
        <f>SUM('[3]Great Lakes'!$DX$19:$EB$19)</f>
        <v>897</v>
      </c>
      <c r="I35" s="360">
        <f>(G35-H35)/H35</f>
        <v>-0.36789297658862874</v>
      </c>
      <c r="J35" s="356" t="s">
        <v>165</v>
      </c>
      <c r="K35" s="371"/>
      <c r="L35" s="357">
        <f>'[3]Great Lakes'!$EP$41</f>
        <v>140</v>
      </c>
      <c r="M35" s="358">
        <f>L35/$L$58</f>
        <v>4.5631426493801786E-5</v>
      </c>
      <c r="N35" s="359">
        <f>'[3]Great Lakes'!$EB$41</f>
        <v>678</v>
      </c>
      <c r="O35" s="360">
        <f>(L35-N35)/N35</f>
        <v>-0.79351032448377579</v>
      </c>
      <c r="P35" s="359">
        <f>SUM('[3]Great Lakes'!$EL$41:$EP$41)</f>
        <v>1544</v>
      </c>
      <c r="Q35" s="359">
        <f>SUM('[3]Great Lakes'!$DX$41:$EB$41)</f>
        <v>3176</v>
      </c>
      <c r="R35" s="360">
        <f>(P35-Q35)/Q35</f>
        <v>-0.51385390428211586</v>
      </c>
      <c r="T35" s="334"/>
    </row>
    <row r="36" spans="1:20" s="7" customFormat="1" ht="14.1" customHeight="1" x14ac:dyDescent="0.2">
      <c r="A36" s="356"/>
      <c r="B36" s="371"/>
      <c r="C36" s="357"/>
      <c r="D36" s="358"/>
      <c r="E36" s="359"/>
      <c r="F36" s="360"/>
      <c r="G36" s="359"/>
      <c r="H36" s="359"/>
      <c r="I36" s="360"/>
      <c r="J36" s="356"/>
      <c r="K36" s="371"/>
      <c r="L36" s="361"/>
      <c r="M36" s="39"/>
      <c r="N36" s="9"/>
      <c r="O36" s="86"/>
      <c r="P36" s="9"/>
      <c r="Q36" s="9"/>
      <c r="R36" s="86"/>
      <c r="T36" s="334"/>
    </row>
    <row r="37" spans="1:20" s="7" customFormat="1" ht="14.1" customHeight="1" x14ac:dyDescent="0.2">
      <c r="A37" s="356" t="s">
        <v>51</v>
      </c>
      <c r="B37" s="371"/>
      <c r="C37" s="357">
        <f>[3]Icelandair!$EP$19</f>
        <v>48</v>
      </c>
      <c r="D37" s="358">
        <f>C37/$C$58</f>
        <v>1.5214428349551491E-3</v>
      </c>
      <c r="E37" s="359">
        <f>[3]Icelandair!$EB$19</f>
        <v>30</v>
      </c>
      <c r="F37" s="360">
        <f>(C37-E37)/E37</f>
        <v>0.6</v>
      </c>
      <c r="G37" s="359">
        <f>SUM([3]Icelandair!$EL$19:$EP$19)</f>
        <v>66</v>
      </c>
      <c r="H37" s="359">
        <f>SUM([3]Icelandair!$DX$19:$EB$19)</f>
        <v>30</v>
      </c>
      <c r="I37" s="360">
        <f>(G37-H37)/H37</f>
        <v>1.2</v>
      </c>
      <c r="J37" s="356" t="s">
        <v>51</v>
      </c>
      <c r="K37" s="371"/>
      <c r="L37" s="357">
        <f>[3]Icelandair!$EP$41</f>
        <v>7610</v>
      </c>
      <c r="M37" s="358">
        <f>L37/$L$58</f>
        <v>2.480393968698797E-3</v>
      </c>
      <c r="N37" s="359">
        <f>[3]Icelandair!$EB$41</f>
        <v>4025</v>
      </c>
      <c r="O37" s="360">
        <f>(L37-N37)/N37</f>
        <v>0.89068322981366455</v>
      </c>
      <c r="P37" s="359">
        <f>SUM([3]Icelandair!$EL$41:$EP$41)</f>
        <v>9812</v>
      </c>
      <c r="Q37" s="359">
        <f>SUM([3]Icelandair!$DX$41:$EB$41)</f>
        <v>4025</v>
      </c>
      <c r="R37" s="360">
        <f>(P37-Q37)/Q37</f>
        <v>1.4377639751552795</v>
      </c>
      <c r="T37" s="20"/>
    </row>
    <row r="38" spans="1:20" s="7" customFormat="1" ht="14.1" customHeight="1" x14ac:dyDescent="0.2">
      <c r="A38" s="356"/>
      <c r="B38" s="371"/>
      <c r="C38" s="357"/>
      <c r="D38" s="358"/>
      <c r="E38" s="359"/>
      <c r="F38" s="360"/>
      <c r="G38" s="359"/>
      <c r="H38" s="359"/>
      <c r="I38" s="360"/>
      <c r="J38" s="356"/>
      <c r="K38" s="371"/>
      <c r="L38" s="361"/>
      <c r="M38" s="39"/>
      <c r="N38" s="9"/>
      <c r="O38" s="86"/>
      <c r="P38" s="9"/>
      <c r="Q38" s="9"/>
      <c r="R38" s="86"/>
      <c r="T38" s="20"/>
    </row>
    <row r="39" spans="1:20" ht="14.1" customHeight="1" x14ac:dyDescent="0.2">
      <c r="A39" s="368" t="s">
        <v>136</v>
      </c>
      <c r="B39" s="55"/>
      <c r="C39" s="357">
        <f>SUM(C40:C40)</f>
        <v>1471</v>
      </c>
      <c r="D39" s="358">
        <f>C39/$C$58</f>
        <v>4.6625883546229673E-2</v>
      </c>
      <c r="E39" s="359">
        <f>SUM(E40:E40)</f>
        <v>1249</v>
      </c>
      <c r="F39" s="360">
        <f>(C39-E39)/E39</f>
        <v>0.177742193755004</v>
      </c>
      <c r="G39" s="357">
        <f>SUM(G40:G40)</f>
        <v>6772</v>
      </c>
      <c r="H39" s="359">
        <f>SUM(H40:H40)</f>
        <v>6248</v>
      </c>
      <c r="I39" s="360">
        <f>(G39-H39)/H39</f>
        <v>8.3866837387964147E-2</v>
      </c>
      <c r="J39" s="356" t="s">
        <v>136</v>
      </c>
      <c r="K39" s="55"/>
      <c r="L39" s="357">
        <f>SUM(L40:L40)</f>
        <v>182585</v>
      </c>
      <c r="M39" s="358">
        <f>L39/$L$58</f>
        <v>5.9511528616934276E-2</v>
      </c>
      <c r="N39" s="359">
        <f>SUM(N40:N40)</f>
        <v>147589</v>
      </c>
      <c r="O39" s="360">
        <f>(L39-N39)/N39</f>
        <v>0.23711794239408085</v>
      </c>
      <c r="P39" s="357">
        <f>SUM(P40:P40)</f>
        <v>810805</v>
      </c>
      <c r="Q39" s="359">
        <f>SUM(Q40:Q40)</f>
        <v>733955</v>
      </c>
      <c r="R39" s="360">
        <f>(P39-Q39)/Q39</f>
        <v>0.10470669182715561</v>
      </c>
      <c r="T39" s="20"/>
    </row>
    <row r="40" spans="1:20" ht="14.1" customHeight="1" x14ac:dyDescent="0.2">
      <c r="A40" s="368"/>
      <c r="B40" s="55" t="s">
        <v>136</v>
      </c>
      <c r="C40" s="436">
        <f>[3]Southwest!$EP$19</f>
        <v>1471</v>
      </c>
      <c r="D40" s="437">
        <f>C40/$C$58</f>
        <v>4.6625883546229673E-2</v>
      </c>
      <c r="E40" s="300">
        <f>[3]Southwest!$EB$19</f>
        <v>1249</v>
      </c>
      <c r="F40" s="438">
        <f>(C40-E40)/E40</f>
        <v>0.177742193755004</v>
      </c>
      <c r="G40" s="300">
        <f>SUM([3]Southwest!$EL$19:$EP$19)</f>
        <v>6772</v>
      </c>
      <c r="H40" s="300">
        <f>SUM([3]Southwest!$DX$19:$EB$19)</f>
        <v>6248</v>
      </c>
      <c r="I40" s="438">
        <f>(G40-H40)/H40</f>
        <v>8.3866837387964147E-2</v>
      </c>
      <c r="J40" s="356"/>
      <c r="K40" s="55" t="s">
        <v>136</v>
      </c>
      <c r="L40" s="436">
        <f>[3]Southwest!$EP$41</f>
        <v>182585</v>
      </c>
      <c r="M40" s="437">
        <f>L40/$L$58</f>
        <v>5.9511528616934276E-2</v>
      </c>
      <c r="N40" s="300">
        <f>[3]Southwest!$EB$41</f>
        <v>147589</v>
      </c>
      <c r="O40" s="438">
        <f>(L40-N40)/N40</f>
        <v>0.23711794239408085</v>
      </c>
      <c r="P40" s="300">
        <f>SUM([3]Southwest!$EL$41:$EP$41)</f>
        <v>810805</v>
      </c>
      <c r="Q40" s="300">
        <f>SUM([3]Southwest!$DX$41:$EB$41)</f>
        <v>733955</v>
      </c>
      <c r="R40" s="438">
        <f>(P40-Q40)/Q40</f>
        <v>0.10470669182715561</v>
      </c>
      <c r="T40" s="20"/>
    </row>
    <row r="41" spans="1:20" ht="14.1" customHeight="1" x14ac:dyDescent="0.2">
      <c r="A41" s="356"/>
      <c r="B41" s="55"/>
      <c r="C41" s="357"/>
      <c r="D41" s="358"/>
      <c r="E41" s="359"/>
      <c r="F41" s="360"/>
      <c r="G41" s="359"/>
      <c r="H41" s="359"/>
      <c r="I41" s="360"/>
      <c r="J41" s="356"/>
      <c r="K41" s="55"/>
      <c r="L41" s="361"/>
      <c r="M41" s="39"/>
      <c r="N41" s="9"/>
      <c r="O41" s="86"/>
      <c r="P41" s="9"/>
      <c r="Q41" s="9"/>
      <c r="R41" s="86"/>
      <c r="T41" s="20"/>
    </row>
    <row r="42" spans="1:20" ht="14.1" customHeight="1" x14ac:dyDescent="0.2">
      <c r="A42" s="356" t="s">
        <v>167</v>
      </c>
      <c r="B42" s="55"/>
      <c r="C42" s="357">
        <f>[3]Spirit!$EP$19</f>
        <v>800</v>
      </c>
      <c r="D42" s="358">
        <f>C42/$C$58</f>
        <v>2.5357380582585819E-2</v>
      </c>
      <c r="E42" s="359">
        <f>[3]Spirit!$EB$19</f>
        <v>596</v>
      </c>
      <c r="F42" s="360">
        <f>(C42-E42)/E42</f>
        <v>0.34228187919463088</v>
      </c>
      <c r="G42" s="359">
        <f>SUM([3]Spirit!$EL$19:$EP$19)</f>
        <v>3464</v>
      </c>
      <c r="H42" s="359">
        <f>SUM([3]Spirit!$DX$19:$EB$19)</f>
        <v>3193</v>
      </c>
      <c r="I42" s="360">
        <f>(G42-H42)/H42</f>
        <v>8.4873160037582204E-2</v>
      </c>
      <c r="J42" s="356" t="s">
        <v>167</v>
      </c>
      <c r="K42" s="55"/>
      <c r="L42" s="357">
        <f>[3]Spirit!$EP$41</f>
        <v>102442</v>
      </c>
      <c r="M42" s="358">
        <f>L42/$L$58</f>
        <v>3.3389818520557446E-2</v>
      </c>
      <c r="N42" s="359">
        <f>[3]Spirit!$EB$41</f>
        <v>74276</v>
      </c>
      <c r="O42" s="360">
        <f>(L42-N42)/N42</f>
        <v>0.37920728095212453</v>
      </c>
      <c r="P42" s="359">
        <f>SUM([3]Spirit!$EL$41:$EP$41)</f>
        <v>489680</v>
      </c>
      <c r="Q42" s="359">
        <f>SUM([3]Spirit!$DX$41:$EB$41)</f>
        <v>436698</v>
      </c>
      <c r="R42" s="360">
        <f>(P42-Q42)/Q42</f>
        <v>0.1213241187273585</v>
      </c>
      <c r="T42" s="20"/>
    </row>
    <row r="43" spans="1:20" ht="14.1" customHeight="1" x14ac:dyDescent="0.2">
      <c r="A43" s="356"/>
      <c r="B43" s="55"/>
      <c r="C43" s="357"/>
      <c r="D43" s="358"/>
      <c r="E43" s="359"/>
      <c r="F43" s="360"/>
      <c r="G43" s="359"/>
      <c r="H43" s="359"/>
      <c r="I43" s="360"/>
      <c r="J43" s="356"/>
      <c r="K43" s="55"/>
      <c r="L43" s="361"/>
      <c r="M43" s="39"/>
      <c r="N43" s="9"/>
      <c r="O43" s="86"/>
      <c r="P43" s="9"/>
      <c r="Q43" s="9"/>
      <c r="R43" s="86"/>
      <c r="T43" s="20"/>
    </row>
    <row r="44" spans="1:20" s="7" customFormat="1" ht="14.1" customHeight="1" x14ac:dyDescent="0.2">
      <c r="A44" s="356" t="s">
        <v>52</v>
      </c>
      <c r="B44" s="371"/>
      <c r="C44" s="357">
        <f>'[3]Sun Country'!$EP$19</f>
        <v>1431</v>
      </c>
      <c r="D44" s="358">
        <f>C44/$C$58</f>
        <v>4.5358014517100385E-2</v>
      </c>
      <c r="E44" s="359">
        <f>'[3]Sun Country'!$EB$19</f>
        <v>1435</v>
      </c>
      <c r="F44" s="360">
        <f>(C44-E44)/E44</f>
        <v>-2.7874564459930314E-3</v>
      </c>
      <c r="G44" s="359">
        <f>SUM('[3]Sun Country'!$EL$19:$EP$19)</f>
        <v>8407</v>
      </c>
      <c r="H44" s="359">
        <f>SUM('[3]Sun Country'!$DX$19:$EB$19)</f>
        <v>8213</v>
      </c>
      <c r="I44" s="360">
        <f>(G44-H44)/H44</f>
        <v>2.3621088518202851E-2</v>
      </c>
      <c r="J44" s="356" t="s">
        <v>52</v>
      </c>
      <c r="K44" s="371"/>
      <c r="L44" s="357">
        <f>'[3]Sun Country'!$EP$41</f>
        <v>158558</v>
      </c>
      <c r="M44" s="358">
        <f>L44/$L$58</f>
        <v>5.1680198014315885E-2</v>
      </c>
      <c r="N44" s="359">
        <f>'[3]Sun Country'!$EB$41</f>
        <v>152249</v>
      </c>
      <c r="O44" s="360">
        <f>(L44-N44)/N44</f>
        <v>4.1438695820662202E-2</v>
      </c>
      <c r="P44" s="359">
        <f>SUM('[3]Sun Country'!$EL$41:$EP$41)</f>
        <v>948944</v>
      </c>
      <c r="Q44" s="359">
        <f>SUM('[3]Sun Country'!$DX$41:$EB$41)</f>
        <v>911256</v>
      </c>
      <c r="R44" s="360">
        <f>(P44-Q44)/Q44</f>
        <v>4.1358301070171279E-2</v>
      </c>
      <c r="T44" s="20"/>
    </row>
    <row r="45" spans="1:20" s="7" customFormat="1" ht="14.1" customHeight="1" x14ac:dyDescent="0.2">
      <c r="A45" s="356"/>
      <c r="B45" s="371"/>
      <c r="C45" s="357"/>
      <c r="D45" s="358"/>
      <c r="E45" s="359"/>
      <c r="F45" s="360"/>
      <c r="G45" s="359"/>
      <c r="H45" s="359"/>
      <c r="I45" s="360"/>
      <c r="J45" s="356"/>
      <c r="K45" s="371"/>
      <c r="L45" s="361"/>
      <c r="M45" s="39"/>
      <c r="N45" s="9"/>
      <c r="O45" s="86"/>
      <c r="P45" s="9"/>
      <c r="Q45" s="9"/>
      <c r="R45" s="86"/>
      <c r="T45" s="20"/>
    </row>
    <row r="46" spans="1:20" s="7" customFormat="1" ht="14.1" customHeight="1" x14ac:dyDescent="0.2">
      <c r="A46" s="356" t="s">
        <v>21</v>
      </c>
      <c r="B46" s="364"/>
      <c r="C46" s="357">
        <f>SUM(C47:C53)</f>
        <v>1692</v>
      </c>
      <c r="D46" s="358">
        <f>C46/$C$58</f>
        <v>5.3630859932169005E-2</v>
      </c>
      <c r="E46" s="359">
        <f>SUM(E47:E53)</f>
        <v>1640</v>
      </c>
      <c r="F46" s="360">
        <f t="shared" ref="F46:F53" si="18">(C46-E46)/E46</f>
        <v>3.1707317073170732E-2</v>
      </c>
      <c r="G46" s="359">
        <f>SUM(G47:G53)</f>
        <v>7832</v>
      </c>
      <c r="H46" s="359">
        <f>SUM(H47:H53)</f>
        <v>7548</v>
      </c>
      <c r="I46" s="360">
        <f t="shared" ref="I46:I53" si="19">(G46-H46)/H46</f>
        <v>3.7625861155272923E-2</v>
      </c>
      <c r="J46" s="356" t="s">
        <v>21</v>
      </c>
      <c r="K46" s="364"/>
      <c r="L46" s="357">
        <f>SUM(L47:L53)</f>
        <v>142822</v>
      </c>
      <c r="M46" s="358">
        <f>L46/$L$58</f>
        <v>4.655122567641256E-2</v>
      </c>
      <c r="N46" s="359">
        <f>SUM(N47:N53)</f>
        <v>131609</v>
      </c>
      <c r="O46" s="360">
        <f t="shared" ref="O46:O53" si="20">(L46-N46)/N46</f>
        <v>8.51993404706365E-2</v>
      </c>
      <c r="P46" s="359">
        <f>SUM(P47:P53)</f>
        <v>627719</v>
      </c>
      <c r="Q46" s="359">
        <f>SUM(Q47:Q53)</f>
        <v>560151</v>
      </c>
      <c r="R46" s="360">
        <f t="shared" ref="R46:R53" si="21">(P46-Q46)/Q46</f>
        <v>0.12062461729069483</v>
      </c>
      <c r="T46" s="20"/>
    </row>
    <row r="47" spans="1:20" s="7" customFormat="1" ht="14.1" customHeight="1" x14ac:dyDescent="0.2">
      <c r="A47" s="372"/>
      <c r="B47" s="440" t="s">
        <v>21</v>
      </c>
      <c r="C47" s="361">
        <f>[3]United!$EP$19</f>
        <v>654</v>
      </c>
      <c r="D47" s="39">
        <f>C47/$C$58</f>
        <v>2.0729658626263907E-2</v>
      </c>
      <c r="E47" s="9">
        <f>[3]United!$EB$19+[3]Continental!$EB$19</f>
        <v>696</v>
      </c>
      <c r="F47" s="86">
        <f t="shared" si="18"/>
        <v>-6.0344827586206899E-2</v>
      </c>
      <c r="G47" s="9">
        <f>SUM([3]United!$EL$19:$EP$19)</f>
        <v>2668</v>
      </c>
      <c r="H47" s="9">
        <f>SUM([3]United!$DX$19:$EB$19)+SUM([3]Continental!$DX$19:$EB$19)</f>
        <v>2408</v>
      </c>
      <c r="I47" s="86">
        <f t="shared" si="19"/>
        <v>0.1079734219269103</v>
      </c>
      <c r="J47" s="372"/>
      <c r="K47" s="440" t="s">
        <v>21</v>
      </c>
      <c r="L47" s="361">
        <f>[3]United!$EP$41</f>
        <v>78916</v>
      </c>
      <c r="M47" s="39">
        <f>L47/$L$58</f>
        <v>2.5721783237034727E-2</v>
      </c>
      <c r="N47" s="9">
        <f>[3]United!$EB$41+[3]Continental!$EB$41</f>
        <v>82676</v>
      </c>
      <c r="O47" s="86">
        <f t="shared" si="20"/>
        <v>-4.5478736271711256E-2</v>
      </c>
      <c r="P47" s="9">
        <f>SUM([3]United!$EL$41:$EP$41)</f>
        <v>316477</v>
      </c>
      <c r="Q47" s="9">
        <f>SUM([3]United!$DX$41:$EB$41)+SUM([3]Continental!$DX$41:$EB$41)</f>
        <v>279390</v>
      </c>
      <c r="R47" s="86">
        <f t="shared" si="21"/>
        <v>0.13274276101506854</v>
      </c>
      <c r="T47" s="20"/>
    </row>
    <row r="48" spans="1:20" s="7" customFormat="1" ht="14.1" customHeight="1" x14ac:dyDescent="0.2">
      <c r="A48" s="372"/>
      <c r="B48" s="440" t="s">
        <v>198</v>
      </c>
      <c r="C48" s="361">
        <f>'[3]Continental Express'!$EP$19</f>
        <v>26</v>
      </c>
      <c r="D48" s="39">
        <f>C48/$C$57</f>
        <v>1.8722546266292217E-3</v>
      </c>
      <c r="E48" s="9">
        <f>'[3]Continental Express'!$EB$19</f>
        <v>266</v>
      </c>
      <c r="F48" s="86">
        <f t="shared" si="18"/>
        <v>-0.90225563909774431</v>
      </c>
      <c r="G48" s="9">
        <f>SUM('[3]Continental Express'!$EL$19:$EP$19)</f>
        <v>1080</v>
      </c>
      <c r="H48" s="9">
        <f>SUM('[3]Continental Express'!$DX$19:$EB$19)</f>
        <v>1382</v>
      </c>
      <c r="I48" s="86">
        <f t="shared" si="19"/>
        <v>-0.21852387843704776</v>
      </c>
      <c r="J48" s="53"/>
      <c r="K48" s="440" t="s">
        <v>198</v>
      </c>
      <c r="L48" s="361">
        <f>'[3]Continental Express'!$EP$41</f>
        <v>1265</v>
      </c>
      <c r="M48" s="39">
        <f>L48/$L$57</f>
        <v>1.7348016292050082E-3</v>
      </c>
      <c r="N48" s="9">
        <f>'[3]Continental Express'!$EB$41</f>
        <v>10606</v>
      </c>
      <c r="O48" s="86">
        <f t="shared" si="20"/>
        <v>-0.88072788987365647</v>
      </c>
      <c r="P48" s="9">
        <f>SUM('[3]Continental Express'!$EL$41:$EP$41)</f>
        <v>71827</v>
      </c>
      <c r="Q48" s="9">
        <f>SUM('[3]Continental Express'!$DX$41:$EB$41)</f>
        <v>54258</v>
      </c>
      <c r="R48" s="86">
        <f t="shared" si="21"/>
        <v>0.32380478454790079</v>
      </c>
      <c r="T48" s="20"/>
    </row>
    <row r="49" spans="1:20" s="7" customFormat="1" ht="14.1" customHeight="1" x14ac:dyDescent="0.2">
      <c r="A49" s="372"/>
      <c r="B49" s="365" t="s">
        <v>166</v>
      </c>
      <c r="C49" s="361">
        <f>'[3]Go Jet_UA'!$EP$19</f>
        <v>30</v>
      </c>
      <c r="D49" s="39">
        <f>C49/$C$58</f>
        <v>9.5090177184696816E-4</v>
      </c>
      <c r="E49" s="9">
        <f>'[3]Go Jet_UA'!$EB$19</f>
        <v>14</v>
      </c>
      <c r="F49" s="86">
        <f t="shared" si="18"/>
        <v>1.1428571428571428</v>
      </c>
      <c r="G49" s="9">
        <f>SUM('[3]Go Jet_UA'!$EL$19:$EP$19)</f>
        <v>182</v>
      </c>
      <c r="H49" s="9">
        <f>SUM('[3]Go Jet_UA'!$DX$19:$EB$19)</f>
        <v>220</v>
      </c>
      <c r="I49" s="86">
        <f t="shared" si="19"/>
        <v>-0.17272727272727273</v>
      </c>
      <c r="J49" s="372"/>
      <c r="K49" s="365" t="s">
        <v>166</v>
      </c>
      <c r="L49" s="361">
        <f>'[3]Go Jet_UA'!$EP$41</f>
        <v>1948</v>
      </c>
      <c r="M49" s="39">
        <f>L49/$L$58</f>
        <v>6.3492870578518484E-4</v>
      </c>
      <c r="N49" s="9">
        <f>'[3]Go Jet_UA'!$EB$41</f>
        <v>790</v>
      </c>
      <c r="O49" s="86">
        <f t="shared" si="20"/>
        <v>1.4658227848101266</v>
      </c>
      <c r="P49" s="9">
        <f>SUM('[3]Go Jet_UA'!$EL$41:$EP$41)</f>
        <v>11432</v>
      </c>
      <c r="Q49" s="9">
        <f>SUM('[3]Go Jet_UA'!$DX$41:$EB$41)</f>
        <v>13611</v>
      </c>
      <c r="R49" s="86">
        <f t="shared" si="21"/>
        <v>-0.16009110278451252</v>
      </c>
      <c r="T49" s="20"/>
    </row>
    <row r="50" spans="1:20" s="7" customFormat="1" ht="14.1" customHeight="1" x14ac:dyDescent="0.2">
      <c r="A50" s="372"/>
      <c r="B50" s="365" t="s">
        <v>55</v>
      </c>
      <c r="C50" s="361">
        <f>[3]MESA_UA!$EP$19</f>
        <v>232</v>
      </c>
      <c r="D50" s="39">
        <f>C50/$C$58</f>
        <v>7.3536403689498878E-3</v>
      </c>
      <c r="E50" s="9">
        <f>[3]MESA_UA!$EB$19</f>
        <v>266</v>
      </c>
      <c r="F50" s="86">
        <f>(C50-E50)/E50</f>
        <v>-0.12781954887218044</v>
      </c>
      <c r="G50" s="9">
        <f>SUM([3]MESA_UA!$EL$19:$EP$19)</f>
        <v>1028</v>
      </c>
      <c r="H50" s="9">
        <f>SUM([3]MESA_UA!$DX$19:$EB$19)</f>
        <v>1022</v>
      </c>
      <c r="I50" s="86">
        <f>(G50-H50)/H50</f>
        <v>5.8708414872798431E-3</v>
      </c>
      <c r="J50" s="372"/>
      <c r="K50" s="365" t="s">
        <v>55</v>
      </c>
      <c r="L50" s="361">
        <f>[3]MESA_UA!$EP$41</f>
        <v>14128</v>
      </c>
      <c r="M50" s="39">
        <f>L50/$L$58</f>
        <v>4.6048628107459404E-3</v>
      </c>
      <c r="N50" s="9">
        <f>[3]MESA_UA!$EB$41</f>
        <v>14441</v>
      </c>
      <c r="O50" s="86">
        <f>(L50-N50)/N50</f>
        <v>-2.1674399279828265E-2</v>
      </c>
      <c r="P50" s="9">
        <f>SUM([3]MESA_UA!$EL$41:$EP$41)</f>
        <v>50758</v>
      </c>
      <c r="Q50" s="9">
        <f>SUM([3]MESA_UA!$DX$41:$EB$41)</f>
        <v>59208</v>
      </c>
      <c r="R50" s="86">
        <f t="shared" si="21"/>
        <v>-0.14271720037832725</v>
      </c>
      <c r="T50" s="20"/>
    </row>
    <row r="51" spans="1:20" ht="14.1" customHeight="1" x14ac:dyDescent="0.2">
      <c r="A51" s="53"/>
      <c r="B51" s="440" t="s">
        <v>56</v>
      </c>
      <c r="C51" s="361">
        <f>[3]Republic_UA!$EP$19</f>
        <v>210</v>
      </c>
      <c r="D51" s="39">
        <f t="shared" ref="D51" si="22">C51/$C$58</f>
        <v>6.6563124029287773E-3</v>
      </c>
      <c r="E51" s="9">
        <f>[3]Republic_UA!$EB$19</f>
        <v>0</v>
      </c>
      <c r="F51" s="86" t="e">
        <f t="shared" ref="F51" si="23">(C51-E51)/E51</f>
        <v>#DIV/0!</v>
      </c>
      <c r="G51" s="9">
        <f>SUM([3]Republic_UA!$EL$19:$EP$19)</f>
        <v>678</v>
      </c>
      <c r="H51" s="9">
        <f>SUM([3]Republic_UA!$DX$19:$EB$19)</f>
        <v>0</v>
      </c>
      <c r="I51" s="86" t="e">
        <f t="shared" ref="I51" si="24">(G51-H51)/H51</f>
        <v>#DIV/0!</v>
      </c>
      <c r="J51" s="372"/>
      <c r="K51" s="367" t="s">
        <v>214</v>
      </c>
      <c r="L51" s="361">
        <f>[3]Republic_UA!$EP$41</f>
        <v>12571</v>
      </c>
      <c r="M51" s="39">
        <f t="shared" ref="M51" si="25">L51/$L$58</f>
        <v>4.0973761603827303E-3</v>
      </c>
      <c r="N51" s="9">
        <f>[3]Republic_UA!$EB$41</f>
        <v>0</v>
      </c>
      <c r="O51" s="86" t="e">
        <f t="shared" ref="O51" si="26">(L51-N51)/N51</f>
        <v>#DIV/0!</v>
      </c>
      <c r="P51" s="9">
        <f>SUM([3]Republic_UA!$EL$41:$EP$41)</f>
        <v>39643</v>
      </c>
      <c r="Q51" s="9">
        <f>SUM([3]Republic_UA!$DX$41:$EB$41)</f>
        <v>0</v>
      </c>
      <c r="R51" s="86" t="e">
        <f t="shared" si="21"/>
        <v>#DIV/0!</v>
      </c>
      <c r="T51" s="20"/>
    </row>
    <row r="52" spans="1:20" s="7" customFormat="1" ht="14.1" customHeight="1" x14ac:dyDescent="0.2">
      <c r="A52" s="372"/>
      <c r="B52" s="365" t="s">
        <v>104</v>
      </c>
      <c r="C52" s="361">
        <f>'[3]Sky West_UA'!$EP$19</f>
        <v>454</v>
      </c>
      <c r="D52" s="39">
        <f>C52/$C$58</f>
        <v>1.4390313480617452E-2</v>
      </c>
      <c r="E52" s="9">
        <f>'[3]Sky West_UA'!$EB$19+'[3]Sky West_CO'!$EB$19</f>
        <v>236</v>
      </c>
      <c r="F52" s="86">
        <f t="shared" si="18"/>
        <v>0.92372881355932202</v>
      </c>
      <c r="G52" s="9">
        <f>SUM('[3]Sky West_UA'!$EL$19:$EP$19)</f>
        <v>1708</v>
      </c>
      <c r="H52" s="9">
        <f>SUM('[3]Sky West_UA'!$DX$19:$EB$19)+SUM('[3]Sky West_CO'!$DX$19:$EB$19)</f>
        <v>1518</v>
      </c>
      <c r="I52" s="86">
        <f t="shared" si="19"/>
        <v>0.12516469038208169</v>
      </c>
      <c r="J52" s="372"/>
      <c r="K52" s="365" t="s">
        <v>104</v>
      </c>
      <c r="L52" s="361">
        <f>'[3]Sky West_UA'!$EP$41</f>
        <v>28862</v>
      </c>
      <c r="M52" s="39">
        <f>L52/$L$58</f>
        <v>9.407244510457909E-3</v>
      </c>
      <c r="N52" s="9">
        <f>'[3]Sky West_UA'!$EB$41+'[3]Sky West_CO'!$EB$41</f>
        <v>13836</v>
      </c>
      <c r="O52" s="86">
        <f t="shared" si="20"/>
        <v>1.0860075166233016</v>
      </c>
      <c r="P52" s="9">
        <f>SUM('[3]Sky West_UA'!$EL$41:$EP$41)</f>
        <v>109235</v>
      </c>
      <c r="Q52" s="9">
        <f>SUM('[3]Sky West_UA'!$DX$41:$EB$41)+SUM('[3]Sky West_CO'!$DX$41:$EB$41)</f>
        <v>95550</v>
      </c>
      <c r="R52" s="86">
        <f t="shared" si="21"/>
        <v>0.14322344322344321</v>
      </c>
      <c r="T52" s="20"/>
    </row>
    <row r="53" spans="1:20" s="7" customFormat="1" ht="14.1" customHeight="1" x14ac:dyDescent="0.2">
      <c r="A53" s="372"/>
      <c r="B53" s="367" t="s">
        <v>139</v>
      </c>
      <c r="C53" s="361">
        <f>'[3]Shuttle America'!$EP$19</f>
        <v>86</v>
      </c>
      <c r="D53" s="39">
        <f>C53/$C$58</f>
        <v>2.7259184126279755E-3</v>
      </c>
      <c r="E53" s="9">
        <f>'[3]Shuttle America'!$EB$19</f>
        <v>162</v>
      </c>
      <c r="F53" s="86">
        <f t="shared" si="18"/>
        <v>-0.46913580246913578</v>
      </c>
      <c r="G53" s="9">
        <f>SUM('[3]Shuttle America'!$EL$19:$EP$19)</f>
        <v>488</v>
      </c>
      <c r="H53" s="9">
        <f>SUM('[3]Shuttle America'!$DX$19:$EB$19)</f>
        <v>998</v>
      </c>
      <c r="I53" s="86">
        <f t="shared" si="19"/>
        <v>-0.51102204408817631</v>
      </c>
      <c r="J53" s="372"/>
      <c r="K53" s="367" t="s">
        <v>139</v>
      </c>
      <c r="L53" s="361">
        <f>'[3]Shuttle America'!$EP$41</f>
        <v>5132</v>
      </c>
      <c r="M53" s="39">
        <f>L53/$L$58</f>
        <v>1.6727177197585054E-3</v>
      </c>
      <c r="N53" s="9">
        <f>'[3]Shuttle America'!$EB$41</f>
        <v>9260</v>
      </c>
      <c r="O53" s="86">
        <f t="shared" si="20"/>
        <v>-0.44578833693304537</v>
      </c>
      <c r="P53" s="9">
        <f>SUM('[3]Shuttle America'!$EL$41:$EP$41)</f>
        <v>28347</v>
      </c>
      <c r="Q53" s="9">
        <f>SUM('[3]Shuttle America'!$DX$41:$EB$41)</f>
        <v>58134</v>
      </c>
      <c r="R53" s="86">
        <f t="shared" si="21"/>
        <v>-0.51238517906904735</v>
      </c>
      <c r="T53" s="20"/>
    </row>
    <row r="54" spans="1:20" s="7" customFormat="1" ht="14.1" customHeight="1" thickBot="1" x14ac:dyDescent="0.25">
      <c r="A54" s="372"/>
      <c r="B54" s="367"/>
      <c r="C54" s="373"/>
      <c r="D54" s="374"/>
      <c r="E54" s="375"/>
      <c r="F54" s="376"/>
      <c r="G54" s="377"/>
      <c r="H54" s="377"/>
      <c r="I54" s="376"/>
      <c r="J54" s="447"/>
      <c r="K54" s="448"/>
      <c r="L54" s="373"/>
      <c r="M54" s="374"/>
      <c r="N54" s="377"/>
      <c r="O54" s="376"/>
      <c r="P54" s="377"/>
      <c r="Q54" s="377"/>
      <c r="R54" s="376"/>
      <c r="T54" s="20"/>
    </row>
    <row r="55" spans="1:20" s="229" customFormat="1" ht="14.1" customHeight="1" thickBot="1" x14ac:dyDescent="0.25">
      <c r="B55" s="264"/>
      <c r="C55" s="359"/>
      <c r="D55" s="358"/>
      <c r="E55" s="359"/>
      <c r="F55" s="358"/>
      <c r="G55" s="446"/>
      <c r="H55" s="359"/>
      <c r="I55" s="358"/>
      <c r="J55" s="378"/>
      <c r="K55" s="264"/>
      <c r="L55" s="379"/>
      <c r="M55" s="378"/>
      <c r="N55" s="380"/>
      <c r="O55" s="378"/>
      <c r="P55" s="230"/>
      <c r="Q55" s="230"/>
      <c r="R55" s="230"/>
      <c r="T55" s="228"/>
    </row>
    <row r="56" spans="1:20" ht="14.1" customHeight="1" x14ac:dyDescent="0.2">
      <c r="B56" s="381" t="s">
        <v>141</v>
      </c>
      <c r="C56" s="459">
        <f>+C58-C57</f>
        <v>17662</v>
      </c>
      <c r="D56" s="471">
        <f>C56/$C$58</f>
        <v>0.55982756981203841</v>
      </c>
      <c r="E56" s="461">
        <f>+E58-E57</f>
        <v>17153</v>
      </c>
      <c r="F56" s="462">
        <f>(C56-E56)/E56</f>
        <v>2.9674109485221246E-2</v>
      </c>
      <c r="G56" s="459">
        <f>+G58-G57</f>
        <v>84043</v>
      </c>
      <c r="H56" s="461">
        <f>+H58-H57</f>
        <v>79770</v>
      </c>
      <c r="I56" s="468">
        <f>(G56-H56)/H56</f>
        <v>5.356650369813213E-2</v>
      </c>
      <c r="K56" s="381" t="s">
        <v>141</v>
      </c>
      <c r="L56" s="459">
        <f>+L58-L57</f>
        <v>2338871</v>
      </c>
      <c r="M56" s="460">
        <f>+L56/L58</f>
        <v>0.76232871510703337</v>
      </c>
      <c r="N56" s="461">
        <f>+N58-N57</f>
        <v>2242261</v>
      </c>
      <c r="O56" s="462">
        <f>(L56-N56)/N56</f>
        <v>4.3085974380324146E-2</v>
      </c>
      <c r="P56" s="459">
        <f>+P58-P57</f>
        <v>10954930</v>
      </c>
      <c r="Q56" s="461">
        <f>+Q58-Q57</f>
        <v>10359725</v>
      </c>
      <c r="R56" s="468">
        <f>(P56-Q56)/Q56</f>
        <v>5.7453745152501637E-2</v>
      </c>
    </row>
    <row r="57" spans="1:20" ht="14.1" customHeight="1" x14ac:dyDescent="0.2">
      <c r="B57" s="333" t="s">
        <v>142</v>
      </c>
      <c r="C57" s="463">
        <f>C53+C31+C29+C27+C26+C30+C18+C52+C49+C28+C48+C50+C22+C21+C19+C13+C7+C6+C51+C20</f>
        <v>13887</v>
      </c>
      <c r="D57" s="435">
        <f>C57/$C$58</f>
        <v>0.44017243018796159</v>
      </c>
      <c r="E57" s="382">
        <f>E53+E31+E29+E27+E26+E30+E18+E52+E49+E28+E48+E50+E22+E21+E19+E13+E7+E6+E51+E20</f>
        <v>13343</v>
      </c>
      <c r="F57" s="384">
        <f>(C57-E57)/E57</f>
        <v>4.0770441429963278E-2</v>
      </c>
      <c r="G57" s="463">
        <f>G53+G31+G29+G27+G26+G30+G18+G52+G49+G28+G48+G50+G22+G21+G19+G13+G7+G6+G51+G20</f>
        <v>66487</v>
      </c>
      <c r="H57" s="463">
        <f>H53+H31+H29+H27+H26+H30+H18+H52+H49+H28+H48+H50+H22+H21+H19+H13+H7+H6+H51+H20</f>
        <v>68670</v>
      </c>
      <c r="I57" s="469">
        <f>(G57-H57)/H57</f>
        <v>-3.1789718945682249E-2</v>
      </c>
      <c r="K57" s="333" t="s">
        <v>142</v>
      </c>
      <c r="L57" s="463">
        <f>L53+L31+L29+L27+L26+L30+L18+L52+L49+L28+L48+L50+L22+L21+L19+L13+L7+L6+L51+L20</f>
        <v>729190</v>
      </c>
      <c r="M57" s="383">
        <f>+L57/L58</f>
        <v>0.2376712848929666</v>
      </c>
      <c r="N57" s="382">
        <f>N53+N31+N29+N27+N26+N30+N18+N52+N49+N28+N48+N50+N22+N21+N19+N13+N7+N6+N51</f>
        <v>700997</v>
      </c>
      <c r="O57" s="384">
        <f>(L57-N57)/N57</f>
        <v>4.0218431747924742E-2</v>
      </c>
      <c r="P57" s="463">
        <f>P53+P31+P29+P27+P26+P30+P18+P52+P49+P28+P48+P50+P22+P21+P19+P13+P7+P6+P51+P20</f>
        <v>3403853</v>
      </c>
      <c r="Q57" s="382">
        <f>Q53+Q31+Q29+Q27+Q26+Q30+Q18+Q52+Q49+Q28+Q48+Q50+Q22+Q21+Q19+Q13+Q7+Q6+Q51+Q20</f>
        <v>3493235</v>
      </c>
      <c r="R57" s="469">
        <f>(P57-Q57)/Q57</f>
        <v>-2.5587170631234373E-2</v>
      </c>
    </row>
    <row r="58" spans="1:20" ht="14.1" customHeight="1" thickBot="1" x14ac:dyDescent="0.25">
      <c r="B58" s="333" t="s">
        <v>143</v>
      </c>
      <c r="C58" s="464">
        <f>C46+C44+C39+C37+C33+C24+C15+C11+C4+C35+C42+C9</f>
        <v>31549</v>
      </c>
      <c r="D58" s="472">
        <f>+C58/C58</f>
        <v>1</v>
      </c>
      <c r="E58" s="466">
        <f>E46+E44+E39+E37+E33+E24+E15+E11+E4+E35+E42+E9</f>
        <v>30496</v>
      </c>
      <c r="F58" s="467">
        <f>(C58-E58)/E58</f>
        <v>3.4529118572927599E-2</v>
      </c>
      <c r="G58" s="464">
        <f>G46+G44+G39+G37+G33+G24+G15+G11+G4+G35+G42+G9</f>
        <v>150530</v>
      </c>
      <c r="H58" s="466">
        <f>H46+H44+H39+H37+H33+H24+H15+H11+H4+H35+H42+H9</f>
        <v>148440</v>
      </c>
      <c r="I58" s="470">
        <f>(G58-H58)/H58</f>
        <v>1.4079762867151711E-2</v>
      </c>
      <c r="K58" s="333" t="s">
        <v>143</v>
      </c>
      <c r="L58" s="464">
        <f>L46+L44+L39+L37+L33+L24+L15+L11+L4+L35+L42+L9</f>
        <v>3068061</v>
      </c>
      <c r="M58" s="465">
        <f>+L58/L58</f>
        <v>1</v>
      </c>
      <c r="N58" s="466">
        <f>N46+N44+N39+N37+N33+N24+N15+N11+N4+N35+N42+N9</f>
        <v>2943258</v>
      </c>
      <c r="O58" s="467">
        <f>(L58-N58)/N58</f>
        <v>4.2403010541379654E-2</v>
      </c>
      <c r="P58" s="464">
        <f>P46+P44+P39+P37+P33+P24+P15+P11+P4+P35+P42+P9</f>
        <v>14358783</v>
      </c>
      <c r="Q58" s="466">
        <f>Q46+Q44+Q39+Q37+Q33+Q24+Q15+Q11+Q4+Q35+Q42+Q9</f>
        <v>13852960</v>
      </c>
      <c r="R58" s="470">
        <f>(P58-Q58)/Q58</f>
        <v>3.6513712592832148E-2</v>
      </c>
    </row>
    <row r="59" spans="1:20" x14ac:dyDescent="0.2">
      <c r="B59" s="333"/>
      <c r="F59" s="37"/>
      <c r="G59" s="231"/>
      <c r="H59" s="5"/>
      <c r="I59" s="37"/>
      <c r="K59" s="11"/>
      <c r="L59" s="4"/>
      <c r="M59" s="227"/>
      <c r="N59" s="4"/>
      <c r="O59" s="227"/>
      <c r="P59" s="4"/>
      <c r="Q59" s="7"/>
      <c r="R59" s="7"/>
    </row>
    <row r="60" spans="1:20" x14ac:dyDescent="0.2">
      <c r="B60" s="264"/>
      <c r="D60" s="4"/>
      <c r="E60" s="425"/>
      <c r="F60" s="227"/>
      <c r="G60" s="4"/>
      <c r="H60" s="4"/>
      <c r="I60"/>
      <c r="J60"/>
      <c r="K60"/>
      <c r="M60"/>
      <c r="O60"/>
      <c r="P60" s="2"/>
      <c r="Q60" s="2"/>
    </row>
    <row r="61" spans="1:20" x14ac:dyDescent="0.2">
      <c r="B61" s="333"/>
      <c r="D61" s="4"/>
      <c r="E61" s="425"/>
      <c r="F61" s="227"/>
      <c r="G61" s="4"/>
      <c r="H61" s="4"/>
      <c r="I61"/>
      <c r="J61"/>
      <c r="K61"/>
      <c r="M61"/>
      <c r="O61"/>
      <c r="P61" s="2"/>
      <c r="Q61" s="2"/>
    </row>
    <row r="62" spans="1:20" x14ac:dyDescent="0.2">
      <c r="B62" s="264"/>
      <c r="D62" s="4"/>
      <c r="E62" s="425"/>
      <c r="F62" s="227"/>
      <c r="G62" s="4"/>
      <c r="H62" s="4"/>
      <c r="I62"/>
      <c r="J62"/>
      <c r="K62"/>
      <c r="M62"/>
      <c r="O62"/>
      <c r="P62" s="2"/>
      <c r="Q62" s="2"/>
    </row>
    <row r="63" spans="1:20" x14ac:dyDescent="0.2">
      <c r="D63" s="4"/>
      <c r="E63" s="227"/>
      <c r="F63" s="227"/>
      <c r="G63" s="4"/>
      <c r="H63" s="7"/>
      <c r="I63"/>
      <c r="J63"/>
      <c r="K63"/>
      <c r="L63"/>
      <c r="M63"/>
      <c r="N63"/>
      <c r="O63"/>
      <c r="P63" s="130"/>
    </row>
    <row r="64" spans="1:20" x14ac:dyDescent="0.2">
      <c r="D64" s="4"/>
      <c r="E64" s="227"/>
      <c r="F64" s="227"/>
      <c r="G64" s="4"/>
      <c r="H64" s="7"/>
      <c r="I64"/>
      <c r="J64"/>
      <c r="K64"/>
      <c r="M64"/>
      <c r="N64"/>
      <c r="O64"/>
    </row>
    <row r="65" spans="4:15" x14ac:dyDescent="0.2">
      <c r="D65" s="4"/>
      <c r="E65" s="3"/>
      <c r="G65" s="4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F135" s="37"/>
      <c r="G135" s="231"/>
      <c r="H135" s="5"/>
      <c r="I135" s="37"/>
      <c r="K135" s="11"/>
    </row>
    <row r="136" spans="4:15" x14ac:dyDescent="0.2">
      <c r="F136" s="37"/>
      <c r="G136" s="231"/>
      <c r="H136" s="5"/>
      <c r="I136" s="37"/>
      <c r="K136" s="11"/>
    </row>
    <row r="137" spans="4:15" x14ac:dyDescent="0.2">
      <c r="F137" s="37"/>
      <c r="G137" s="231"/>
      <c r="H137" s="5"/>
      <c r="I137" s="37"/>
      <c r="K137" s="11"/>
    </row>
    <row r="138" spans="4:15" x14ac:dyDescent="0.2">
      <c r="F138" s="37"/>
      <c r="G138" s="231"/>
      <c r="H138" s="5"/>
      <c r="I138" s="37"/>
      <c r="K138" s="11"/>
    </row>
    <row r="139" spans="4:15" x14ac:dyDescent="0.2">
      <c r="F139" s="37"/>
      <c r="G139" s="231"/>
      <c r="H139" s="5"/>
      <c r="I139" s="37"/>
      <c r="K139" s="11"/>
    </row>
    <row r="140" spans="4:15" x14ac:dyDescent="0.2">
      <c r="F140" s="37"/>
      <c r="G140" s="231"/>
      <c r="H140" s="5"/>
      <c r="I140" s="37"/>
      <c r="K140" s="11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G1188" s="231"/>
      <c r="H1188" s="5"/>
      <c r="I1188" s="37"/>
      <c r="K1188" s="11"/>
    </row>
    <row r="1189" spans="6:11" x14ac:dyDescent="0.2">
      <c r="G1189" s="231"/>
      <c r="H1189" s="5"/>
      <c r="I1189" s="37"/>
      <c r="K1189" s="11"/>
    </row>
    <row r="1190" spans="6:11" x14ac:dyDescent="0.2">
      <c r="G1190" s="231"/>
      <c r="H1190" s="5"/>
      <c r="I1190" s="37"/>
      <c r="K1190" s="11"/>
    </row>
    <row r="1191" spans="6:11" x14ac:dyDescent="0.2">
      <c r="G1191" s="231"/>
      <c r="H1191" s="5"/>
      <c r="I1191" s="37"/>
      <c r="K1191" s="11"/>
    </row>
    <row r="1192" spans="6:11" x14ac:dyDescent="0.2">
      <c r="G1192" s="231"/>
      <c r="H1192" s="5"/>
      <c r="I1192" s="37"/>
      <c r="K1192" s="11"/>
    </row>
    <row r="1193" spans="6:11" x14ac:dyDescent="0.2"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May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G4" sqref="G4:G2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9">
        <v>42491</v>
      </c>
      <c r="B1" s="456" t="s">
        <v>19</v>
      </c>
      <c r="C1" s="456" t="s">
        <v>20</v>
      </c>
      <c r="D1" s="456" t="s">
        <v>21</v>
      </c>
      <c r="E1" s="456" t="s">
        <v>167</v>
      </c>
      <c r="F1" s="456" t="s">
        <v>182</v>
      </c>
      <c r="G1" s="456" t="s">
        <v>168</v>
      </c>
      <c r="H1" s="456" t="s">
        <v>23</v>
      </c>
      <c r="I1" s="457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[3]American!$EP$22</f>
        <v>100917</v>
      </c>
      <c r="C4" s="21">
        <f>[3]Delta!$EP$22+[3]Delta!$EP$32</f>
        <v>783092</v>
      </c>
      <c r="D4" s="21">
        <f>[3]United!$EP$22</f>
        <v>39125</v>
      </c>
      <c r="E4" s="21">
        <f>[3]Spirit!$EP$22</f>
        <v>51611</v>
      </c>
      <c r="F4" s="21">
        <f>[3]Condor!$EP$22</f>
        <v>0</v>
      </c>
      <c r="G4" s="21">
        <f>'[3]Air France'!$EP$22+'[3]Air France'!$EP$32</f>
        <v>4037</v>
      </c>
      <c r="H4" s="21">
        <f>'Other Major Airline Stats'!H5</f>
        <v>199928</v>
      </c>
      <c r="I4" s="286">
        <f>SUM(B4:H4)</f>
        <v>1178710</v>
      </c>
    </row>
    <row r="5" spans="1:18" x14ac:dyDescent="0.2">
      <c r="A5" s="62" t="s">
        <v>34</v>
      </c>
      <c r="B5" s="14">
        <f>[3]American!$EP$23</f>
        <v>96880</v>
      </c>
      <c r="C5" s="14">
        <f>[3]Delta!$EP$23+[3]Delta!$EP$33</f>
        <v>776407</v>
      </c>
      <c r="D5" s="14">
        <f>[3]United!$EP$23</f>
        <v>39791</v>
      </c>
      <c r="E5" s="14">
        <f>[3]Spirit!$EP$23</f>
        <v>50831</v>
      </c>
      <c r="F5" s="14">
        <f>[3]Condor!$EP$23</f>
        <v>0</v>
      </c>
      <c r="G5" s="14">
        <f>'[3]Air France'!$EP$23+'[3]Air France'!$EP$33</f>
        <v>0</v>
      </c>
      <c r="H5" s="14">
        <f>'Other Major Airline Stats'!H6</f>
        <v>196252</v>
      </c>
      <c r="I5" s="287">
        <f>SUM(B5:H5)</f>
        <v>1160161</v>
      </c>
      <c r="K5" s="313"/>
      <c r="L5" s="313"/>
      <c r="M5" s="313"/>
      <c r="N5" s="313"/>
      <c r="O5" s="313"/>
      <c r="P5" s="313"/>
      <c r="Q5" s="313"/>
      <c r="R5" s="313"/>
    </row>
    <row r="6" spans="1:18" ht="15" x14ac:dyDescent="0.25">
      <c r="A6" s="60" t="s">
        <v>7</v>
      </c>
      <c r="B6" s="34">
        <f t="shared" ref="B6:H6" si="0">SUM(B4:B5)</f>
        <v>197797</v>
      </c>
      <c r="C6" s="34">
        <f t="shared" si="0"/>
        <v>1559499</v>
      </c>
      <c r="D6" s="34">
        <f t="shared" si="0"/>
        <v>78916</v>
      </c>
      <c r="E6" s="34">
        <f t="shared" si="0"/>
        <v>102442</v>
      </c>
      <c r="F6" s="34">
        <f t="shared" ref="F6:G6" si="1">SUM(F4:F5)</f>
        <v>0</v>
      </c>
      <c r="G6" s="34">
        <f t="shared" si="1"/>
        <v>4037</v>
      </c>
      <c r="H6" s="34">
        <f t="shared" si="0"/>
        <v>396180</v>
      </c>
      <c r="I6" s="288">
        <f>SUM(B6:H6)</f>
        <v>2338871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[3]American!$EP$27</f>
        <v>2771</v>
      </c>
      <c r="C9" s="21">
        <f>[3]Delta!$EP$27+[3]Delta!$EP$37</f>
        <v>28339</v>
      </c>
      <c r="D9" s="21">
        <f>[3]United!$EP$27</f>
        <v>1037</v>
      </c>
      <c r="E9" s="21">
        <f>[3]Spirit!$EP$27</f>
        <v>497</v>
      </c>
      <c r="F9" s="21">
        <f>[3]Condor!$EP$27</f>
        <v>0</v>
      </c>
      <c r="G9" s="21">
        <f>'[3]Air France'!$EP$27+'[3]Air France'!$EP$37</f>
        <v>9</v>
      </c>
      <c r="H9" s="21">
        <f>'Other Major Airline Stats'!H10</f>
        <v>3412</v>
      </c>
      <c r="I9" s="286">
        <f>SUM(B9:H9)</f>
        <v>36065</v>
      </c>
    </row>
    <row r="10" spans="1:18" x14ac:dyDescent="0.2">
      <c r="A10" s="62" t="s">
        <v>36</v>
      </c>
      <c r="B10" s="14">
        <f>[3]American!$EP$28</f>
        <v>2984</v>
      </c>
      <c r="C10" s="14">
        <f>[3]Delta!$EP$28+[3]Delta!$EP$38</f>
        <v>28168</v>
      </c>
      <c r="D10" s="14">
        <f>[3]United!$EP$28</f>
        <v>1027</v>
      </c>
      <c r="E10" s="14">
        <f>[3]Spirit!$EP$28</f>
        <v>450</v>
      </c>
      <c r="F10" s="14">
        <f>[3]Condor!$EP$28</f>
        <v>0</v>
      </c>
      <c r="G10" s="14">
        <f>'[3]Air France'!$EP$28+'[3]Air France'!$EP$38</f>
        <v>5</v>
      </c>
      <c r="H10" s="14">
        <f>'Other Major Airline Stats'!H11</f>
        <v>3755</v>
      </c>
      <c r="I10" s="287">
        <f>SUM(B10:H10)</f>
        <v>36389</v>
      </c>
    </row>
    <row r="11" spans="1:18" ht="15.75" thickBot="1" x14ac:dyDescent="0.3">
      <c r="A11" s="63" t="s">
        <v>37</v>
      </c>
      <c r="B11" s="289">
        <f t="shared" ref="B11:H11" si="2">SUM(B9:B10)</f>
        <v>5755</v>
      </c>
      <c r="C11" s="289">
        <f t="shared" si="2"/>
        <v>56507</v>
      </c>
      <c r="D11" s="289">
        <f t="shared" si="2"/>
        <v>2064</v>
      </c>
      <c r="E11" s="289">
        <f t="shared" si="2"/>
        <v>947</v>
      </c>
      <c r="F11" s="289">
        <f t="shared" ref="F11:G11" si="3">SUM(F9:F10)</f>
        <v>0</v>
      </c>
      <c r="G11" s="289">
        <f t="shared" si="3"/>
        <v>14</v>
      </c>
      <c r="H11" s="289">
        <f t="shared" si="2"/>
        <v>7167</v>
      </c>
      <c r="I11" s="290">
        <f>SUM(B11:H11)</f>
        <v>72454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[3]American!$EP$4</f>
        <v>744</v>
      </c>
      <c r="C15" s="21">
        <f>[3]Delta!$EP$4+[3]Delta!$EP$15</f>
        <v>5660</v>
      </c>
      <c r="D15" s="21">
        <f>[3]United!$EP$4</f>
        <v>327</v>
      </c>
      <c r="E15" s="21">
        <f>[3]Spirit!$EP$4</f>
        <v>400</v>
      </c>
      <c r="F15" s="21">
        <f>[3]Condor!$EP$4</f>
        <v>0</v>
      </c>
      <c r="G15" s="21">
        <f>'[3]Air France'!$EP$4+'[3]Air France'!$EP$15</f>
        <v>18</v>
      </c>
      <c r="H15" s="21">
        <f>'Other Major Airline Stats'!H16</f>
        <v>1617</v>
      </c>
      <c r="I15" s="27">
        <f>SUM(B15:H15)</f>
        <v>8766</v>
      </c>
    </row>
    <row r="16" spans="1:18" x14ac:dyDescent="0.2">
      <c r="A16" s="62" t="s">
        <v>26</v>
      </c>
      <c r="B16" s="14">
        <f>[3]American!$EP$5</f>
        <v>750</v>
      </c>
      <c r="C16" s="14">
        <f>[3]Delta!$EP$5+[3]Delta!$EP$16</f>
        <v>5668</v>
      </c>
      <c r="D16" s="14">
        <f>[3]United!$EP$5</f>
        <v>327</v>
      </c>
      <c r="E16" s="14">
        <f>[3]Spirit!$EP$5</f>
        <v>400</v>
      </c>
      <c r="F16" s="14">
        <f>[3]Condor!$EP$5</f>
        <v>0</v>
      </c>
      <c r="G16" s="14">
        <f>'[3]Air France'!$EP$5+'[3]Air France'!$EP$16</f>
        <v>18</v>
      </c>
      <c r="H16" s="14">
        <f>'Other Major Airline Stats'!H17</f>
        <v>1620</v>
      </c>
      <c r="I16" s="33">
        <f>SUM(B16:H16)</f>
        <v>8783</v>
      </c>
    </row>
    <row r="17" spans="1:9" x14ac:dyDescent="0.2">
      <c r="A17" s="62" t="s">
        <v>27</v>
      </c>
      <c r="B17" s="293">
        <f t="shared" ref="B17:H17" si="4">SUM(B15:B16)</f>
        <v>1494</v>
      </c>
      <c r="C17" s="291">
        <f t="shared" si="4"/>
        <v>11328</v>
      </c>
      <c r="D17" s="291">
        <f t="shared" si="4"/>
        <v>654</v>
      </c>
      <c r="E17" s="291">
        <f t="shared" si="4"/>
        <v>800</v>
      </c>
      <c r="F17" s="291">
        <f t="shared" ref="F17:G17" si="5">SUM(F15:F16)</f>
        <v>0</v>
      </c>
      <c r="G17" s="291">
        <f t="shared" si="5"/>
        <v>36</v>
      </c>
      <c r="H17" s="291">
        <f t="shared" si="4"/>
        <v>3237</v>
      </c>
      <c r="I17" s="292">
        <f>SUM(B17:H17)</f>
        <v>17549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[3]American!$EP$8</f>
        <v>0</v>
      </c>
      <c r="C19" s="21">
        <f>[3]Delta!$EP$8</f>
        <v>3</v>
      </c>
      <c r="D19" s="21">
        <f>[3]United!$EP$8</f>
        <v>0</v>
      </c>
      <c r="E19" s="21">
        <f>[3]Spirit!$EP$8</f>
        <v>0</v>
      </c>
      <c r="F19" s="21">
        <f>[3]Condor!$EP$8</f>
        <v>0</v>
      </c>
      <c r="G19" s="21">
        <f>'[3]Air France'!$EP$8</f>
        <v>0</v>
      </c>
      <c r="H19" s="21">
        <f>'Other Major Airline Stats'!H20</f>
        <v>51</v>
      </c>
      <c r="I19" s="27">
        <f>SUM(B19:H19)</f>
        <v>54</v>
      </c>
    </row>
    <row r="20" spans="1:9" x14ac:dyDescent="0.2">
      <c r="A20" s="62" t="s">
        <v>29</v>
      </c>
      <c r="B20" s="14">
        <f>[3]American!$EP$9</f>
        <v>0</v>
      </c>
      <c r="C20" s="14">
        <f>[3]Delta!$EP$9</f>
        <v>11</v>
      </c>
      <c r="D20" s="14">
        <f>[3]United!$EP$9</f>
        <v>0</v>
      </c>
      <c r="E20" s="14">
        <f>[3]Spirit!$EP$9</f>
        <v>0</v>
      </c>
      <c r="F20" s="14">
        <f>[3]Condor!$EP$9</f>
        <v>0</v>
      </c>
      <c r="G20" s="14">
        <f>'[3]Air France'!$EP$9</f>
        <v>0</v>
      </c>
      <c r="H20" s="14">
        <f>'Other Major Airline Stats'!H21</f>
        <v>48</v>
      </c>
      <c r="I20" s="33">
        <f>SUM(B20:H20)</f>
        <v>59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14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99</v>
      </c>
      <c r="I21" s="176">
        <f>SUM(B21:H21)</f>
        <v>113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1494</v>
      </c>
      <c r="C23" s="28">
        <f t="shared" si="8"/>
        <v>11342</v>
      </c>
      <c r="D23" s="28">
        <f t="shared" si="8"/>
        <v>654</v>
      </c>
      <c r="E23" s="28">
        <f>E17+E21</f>
        <v>800</v>
      </c>
      <c r="F23" s="28">
        <f t="shared" ref="F23:G23" si="9">F17+F21</f>
        <v>0</v>
      </c>
      <c r="G23" s="28">
        <f t="shared" si="9"/>
        <v>36</v>
      </c>
      <c r="H23" s="28">
        <f t="shared" si="8"/>
        <v>3336</v>
      </c>
      <c r="I23" s="29">
        <f>SUM(B23:H23)</f>
        <v>17662</v>
      </c>
    </row>
    <row r="25" spans="1:9" ht="13.5" thickBot="1" x14ac:dyDescent="0.25">
      <c r="B25" s="424"/>
      <c r="C25" s="424"/>
      <c r="D25" s="424"/>
      <c r="E25" s="424"/>
      <c r="F25" s="424"/>
      <c r="G25" s="424"/>
      <c r="H25" s="424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[3]American!$EP$47</f>
        <v>41104</v>
      </c>
      <c r="C28" s="21">
        <f>[3]Delta!$EP$47</f>
        <v>3158127</v>
      </c>
      <c r="D28" s="21">
        <f>[3]United!$EP$47</f>
        <v>46037</v>
      </c>
      <c r="E28" s="21">
        <f>[3]Spirit!$EP$47</f>
        <v>0</v>
      </c>
      <c r="F28" s="21">
        <f>[3]Condor!$EP$47</f>
        <v>0</v>
      </c>
      <c r="G28" s="21">
        <f>'[3]Air France'!$EP$47</f>
        <v>89668</v>
      </c>
      <c r="H28" s="21">
        <f>'Other Major Airline Stats'!H28</f>
        <v>2010292</v>
      </c>
      <c r="I28" s="27">
        <f>SUM(B28:H28)</f>
        <v>5345228</v>
      </c>
    </row>
    <row r="29" spans="1:9" x14ac:dyDescent="0.2">
      <c r="A29" s="62" t="s">
        <v>41</v>
      </c>
      <c r="B29" s="14">
        <f>[3]American!$EP$48</f>
        <v>64644</v>
      </c>
      <c r="C29" s="14">
        <f>[3]Delta!$EP$48</f>
        <v>410421</v>
      </c>
      <c r="D29" s="14">
        <f>[3]United!$EP$48</f>
        <v>126681</v>
      </c>
      <c r="E29" s="14">
        <f>[3]Spirit!$EP$48</f>
        <v>0</v>
      </c>
      <c r="F29" s="14">
        <f>[3]Condor!$EP$48</f>
        <v>0</v>
      </c>
      <c r="G29" s="14">
        <f>'[3]Air France'!$EP$48</f>
        <v>0</v>
      </c>
      <c r="H29" s="14">
        <f>'Other Major Airline Stats'!H29</f>
        <v>278563</v>
      </c>
      <c r="I29" s="33">
        <f>SUM(B29:H29)</f>
        <v>880309</v>
      </c>
    </row>
    <row r="30" spans="1:9" x14ac:dyDescent="0.2">
      <c r="A30" s="66" t="s">
        <v>42</v>
      </c>
      <c r="B30" s="293">
        <f t="shared" ref="B30:H30" si="10">SUM(B28:B29)</f>
        <v>105748</v>
      </c>
      <c r="C30" s="293">
        <f t="shared" si="10"/>
        <v>3568548</v>
      </c>
      <c r="D30" s="293">
        <f t="shared" si="10"/>
        <v>172718</v>
      </c>
      <c r="E30" s="293">
        <f t="shared" si="10"/>
        <v>0</v>
      </c>
      <c r="F30" s="293">
        <f t="shared" ref="F30:G30" si="11">SUM(F28:F29)</f>
        <v>0</v>
      </c>
      <c r="G30" s="293">
        <f t="shared" si="11"/>
        <v>89668</v>
      </c>
      <c r="H30" s="293">
        <f t="shared" si="10"/>
        <v>2288855</v>
      </c>
      <c r="I30" s="27">
        <f>SUM(B30:H30)</f>
        <v>6225537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[3]American!$EP$52</f>
        <v>22150</v>
      </c>
      <c r="C33" s="21">
        <f>[3]Delta!$EP$52</f>
        <v>2579246</v>
      </c>
      <c r="D33" s="21">
        <f>[3]United!$EP$52</f>
        <v>27799</v>
      </c>
      <c r="E33" s="21">
        <f>[3]Spirit!$EP$52</f>
        <v>0</v>
      </c>
      <c r="F33" s="21">
        <f>[3]Condor!$EP$52</f>
        <v>0</v>
      </c>
      <c r="G33" s="21">
        <f>'[3]Air France'!$EP$52</f>
        <v>7418</v>
      </c>
      <c r="H33" s="21">
        <f>'Other Major Airline Stats'!H33</f>
        <v>228746</v>
      </c>
      <c r="I33" s="27">
        <f t="shared" si="12"/>
        <v>2865359</v>
      </c>
    </row>
    <row r="34" spans="1:9" x14ac:dyDescent="0.2">
      <c r="A34" s="62" t="s">
        <v>41</v>
      </c>
      <c r="B34" s="14">
        <f>[3]American!$EP$53</f>
        <v>75551</v>
      </c>
      <c r="C34" s="14">
        <f>[3]Delta!$EP$53</f>
        <v>25507</v>
      </c>
      <c r="D34" s="14">
        <f>[3]United!$EP$53</f>
        <v>121762</v>
      </c>
      <c r="E34" s="14">
        <f>[3]Spirit!$EP$53</f>
        <v>0</v>
      </c>
      <c r="F34" s="14">
        <f>[3]Condor!$EP$53</f>
        <v>0</v>
      </c>
      <c r="G34" s="14">
        <f>'[3]Air France'!$EP$53</f>
        <v>0</v>
      </c>
      <c r="H34" s="14">
        <f>'Other Major Airline Stats'!H34</f>
        <v>293275</v>
      </c>
      <c r="I34" s="33">
        <f t="shared" si="12"/>
        <v>516095</v>
      </c>
    </row>
    <row r="35" spans="1:9" x14ac:dyDescent="0.2">
      <c r="A35" s="66" t="s">
        <v>44</v>
      </c>
      <c r="B35" s="293">
        <f t="shared" ref="B35:H35" si="13">SUM(B33:B34)</f>
        <v>97701</v>
      </c>
      <c r="C35" s="293">
        <f t="shared" si="13"/>
        <v>2604753</v>
      </c>
      <c r="D35" s="293">
        <f t="shared" si="13"/>
        <v>149561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7418</v>
      </c>
      <c r="H35" s="293">
        <f t="shared" si="13"/>
        <v>522021</v>
      </c>
      <c r="I35" s="27">
        <f t="shared" si="12"/>
        <v>3381454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[3]American!$EP$57</f>
        <v>0</v>
      </c>
      <c r="C38" s="21">
        <f>[3]Delta!$EP$57</f>
        <v>0</v>
      </c>
      <c r="D38" s="21">
        <f>[3]United!$EP$57</f>
        <v>0</v>
      </c>
      <c r="E38" s="21">
        <f>[3]Spirit!$EP$57</f>
        <v>0</v>
      </c>
      <c r="F38" s="21">
        <f>[3]Condor!$EP$57</f>
        <v>0</v>
      </c>
      <c r="G38" s="21">
        <f>'[3]Air France'!$EP$57</f>
        <v>0</v>
      </c>
      <c r="H38" s="21">
        <f>'Other Major Airline Stats'!H38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[3]American!$EP$58</f>
        <v>0</v>
      </c>
      <c r="C39" s="14">
        <f>[3]Delta!$EP$58</f>
        <v>0</v>
      </c>
      <c r="D39" s="14">
        <f>[3]United!$EP$58</f>
        <v>0</v>
      </c>
      <c r="E39" s="14">
        <f>[3]Spirit!$EP$58</f>
        <v>0</v>
      </c>
      <c r="F39" s="14">
        <f>[3]Condor!$EP$58</f>
        <v>0</v>
      </c>
      <c r="G39" s="14">
        <f>'[3]Air France'!$EP$58</f>
        <v>0</v>
      </c>
      <c r="H39" s="14">
        <f>'Other Major Airline Stats'!H39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63254</v>
      </c>
      <c r="C43" s="21">
        <f t="shared" si="17"/>
        <v>5737373</v>
      </c>
      <c r="D43" s="21">
        <f t="shared" si="17"/>
        <v>73836</v>
      </c>
      <c r="E43" s="21">
        <f>E28+E33+E38</f>
        <v>0</v>
      </c>
      <c r="F43" s="21">
        <f t="shared" ref="F43:G43" si="18">F28+F33+F38</f>
        <v>0</v>
      </c>
      <c r="G43" s="21">
        <f t="shared" si="18"/>
        <v>97086</v>
      </c>
      <c r="H43" s="21">
        <f t="shared" si="17"/>
        <v>2239038</v>
      </c>
      <c r="I43" s="27">
        <f>SUM(B43:H43)</f>
        <v>8210587</v>
      </c>
    </row>
    <row r="44" spans="1:9" x14ac:dyDescent="0.2">
      <c r="A44" s="62" t="s">
        <v>41</v>
      </c>
      <c r="B44" s="14">
        <f t="shared" si="17"/>
        <v>140195</v>
      </c>
      <c r="C44" s="14">
        <f t="shared" si="17"/>
        <v>435928</v>
      </c>
      <c r="D44" s="14">
        <f t="shared" si="17"/>
        <v>248443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571838</v>
      </c>
      <c r="I44" s="27">
        <f>SUM(B44:H44)</f>
        <v>1396404</v>
      </c>
    </row>
    <row r="45" spans="1:9" ht="15.75" thickBot="1" x14ac:dyDescent="0.3">
      <c r="A45" s="63" t="s">
        <v>49</v>
      </c>
      <c r="B45" s="294">
        <f t="shared" ref="B45:H45" si="20">SUM(B43:B44)</f>
        <v>203449</v>
      </c>
      <c r="C45" s="294">
        <f t="shared" si="20"/>
        <v>6173301</v>
      </c>
      <c r="D45" s="294">
        <f t="shared" si="20"/>
        <v>322279</v>
      </c>
      <c r="E45" s="294">
        <f t="shared" si="20"/>
        <v>0</v>
      </c>
      <c r="F45" s="294">
        <f t="shared" ref="F45:G45" si="21">SUM(F43:F44)</f>
        <v>0</v>
      </c>
      <c r="G45" s="294">
        <f t="shared" si="21"/>
        <v>97086</v>
      </c>
      <c r="H45" s="294">
        <f t="shared" si="20"/>
        <v>2810876</v>
      </c>
      <c r="I45" s="295">
        <f>SUM(B45:H45)</f>
        <v>9606991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5" t="s">
        <v>128</v>
      </c>
      <c r="C47" s="323">
        <f>[3]Delta!$EP$70+[3]Delta!$EP$73</f>
        <v>325314</v>
      </c>
      <c r="D47" s="310"/>
      <c r="E47" s="310"/>
      <c r="F47" s="310"/>
      <c r="G47" s="310"/>
      <c r="H47" s="310"/>
      <c r="I47" s="311">
        <f>SUM(B47:H47)</f>
        <v>325314</v>
      </c>
    </row>
    <row r="48" spans="1:9" hidden="1" x14ac:dyDescent="0.2">
      <c r="A48" s="386" t="s">
        <v>129</v>
      </c>
      <c r="C48" s="323">
        <f>[3]Delta!$EP$71+[3]Delta!$EP$74</f>
        <v>451093</v>
      </c>
      <c r="D48" s="310"/>
      <c r="E48" s="310"/>
      <c r="F48" s="310"/>
      <c r="G48" s="310"/>
      <c r="H48" s="310"/>
      <c r="I48" s="311">
        <f>SUM(B48:H48)</f>
        <v>451093</v>
      </c>
    </row>
    <row r="49" spans="1:9" hidden="1" x14ac:dyDescent="0.2">
      <c r="A49" s="387" t="s">
        <v>130</v>
      </c>
      <c r="C49" s="324">
        <f>SUM(C47:C48)</f>
        <v>776407</v>
      </c>
      <c r="I49" s="311">
        <f>SUM(B49:H49)</f>
        <v>776407</v>
      </c>
    </row>
    <row r="50" spans="1:9" x14ac:dyDescent="0.2">
      <c r="A50" s="385" t="s">
        <v>128</v>
      </c>
      <c r="B50" s="398"/>
      <c r="C50" s="326">
        <f>[3]Delta!$EP$70+[3]Delta!$EP$73</f>
        <v>325314</v>
      </c>
      <c r="D50" s="398"/>
      <c r="E50" s="398"/>
      <c r="F50" s="398"/>
      <c r="G50" s="398"/>
      <c r="H50" s="325">
        <f>'Other Major Airline Stats'!H48</f>
        <v>156569</v>
      </c>
      <c r="I50" s="314">
        <f>SUM(B50:H50)</f>
        <v>481883</v>
      </c>
    </row>
    <row r="51" spans="1:9" x14ac:dyDescent="0.2">
      <c r="A51" s="400" t="s">
        <v>129</v>
      </c>
      <c r="B51" s="398"/>
      <c r="C51" s="326">
        <f>[3]Delta!$EP$71+[3]Delta!$EP$74</f>
        <v>451093</v>
      </c>
      <c r="D51" s="398"/>
      <c r="E51" s="398"/>
      <c r="F51" s="398"/>
      <c r="G51" s="398"/>
      <c r="H51" s="325">
        <f>+'Other Major Airline Stats'!H49</f>
        <v>11445</v>
      </c>
      <c r="I51" s="314">
        <f>SUM(B51:H51)</f>
        <v>462538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U49"/>
  <sheetViews>
    <sheetView zoomScaleNormal="100" workbookViewId="0">
      <selection activeCell="M12" sqref="M1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0.28515625" bestFit="1" customWidth="1"/>
    <col min="5" max="5" width="13.28515625" bestFit="1" customWidth="1"/>
    <col min="6" max="6" width="12.7109375" bestFit="1" customWidth="1"/>
    <col min="7" max="7" width="11.85546875" bestFit="1" customWidth="1"/>
    <col min="8" max="8" width="12.5703125" bestFit="1" customWidth="1"/>
  </cols>
  <sheetData>
    <row r="2" spans="1:11" ht="26.25" thickBot="1" x14ac:dyDescent="0.25">
      <c r="A2" s="389">
        <v>42491</v>
      </c>
      <c r="B2" s="455" t="s">
        <v>50</v>
      </c>
      <c r="C2" s="455" t="s">
        <v>165</v>
      </c>
      <c r="D2" s="455" t="s">
        <v>51</v>
      </c>
      <c r="E2" s="454" t="s">
        <v>136</v>
      </c>
      <c r="F2" s="454" t="s">
        <v>52</v>
      </c>
      <c r="G2" s="454" t="s">
        <v>135</v>
      </c>
      <c r="H2" s="277" t="s">
        <v>65</v>
      </c>
    </row>
    <row r="3" spans="1:11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52"/>
    </row>
    <row r="4" spans="1:11" x14ac:dyDescent="0.2">
      <c r="A4" s="62" t="s">
        <v>32</v>
      </c>
      <c r="B4" s="118"/>
      <c r="C4" s="118"/>
      <c r="D4" s="118"/>
      <c r="E4" s="118"/>
      <c r="F4" s="118"/>
      <c r="G4" s="118"/>
      <c r="H4" s="153"/>
    </row>
    <row r="5" spans="1:11" x14ac:dyDescent="0.2">
      <c r="A5" s="62" t="s">
        <v>33</v>
      </c>
      <c r="B5" s="146">
        <f>[3]Frontier!$EP$22</f>
        <v>14513</v>
      </c>
      <c r="C5" s="146">
        <f>'[3]Great Lakes'!$EP$22</f>
        <v>68</v>
      </c>
      <c r="D5" s="146">
        <f>[3]Icelandair!$EP$32</f>
        <v>3169</v>
      </c>
      <c r="E5" s="118">
        <f>[3]Southwest!$EP$22</f>
        <v>93166</v>
      </c>
      <c r="F5" s="118">
        <f>'[3]Sun Country'!$EP$22+'[3]Sun Country'!$EP$32</f>
        <v>79963</v>
      </c>
      <c r="G5" s="118">
        <f>[3]Alaska!$EP$22</f>
        <v>9049</v>
      </c>
      <c r="H5" s="147">
        <f>SUM(B5:G5)</f>
        <v>199928</v>
      </c>
      <c r="K5" s="130"/>
    </row>
    <row r="6" spans="1:11" x14ac:dyDescent="0.2">
      <c r="A6" s="62" t="s">
        <v>34</v>
      </c>
      <c r="B6" s="146">
        <f>[3]Frontier!$EP$23</f>
        <v>14354</v>
      </c>
      <c r="C6" s="146">
        <f>'[3]Great Lakes'!$EP$23</f>
        <v>72</v>
      </c>
      <c r="D6" s="146">
        <f>[3]Icelandair!$EP$33</f>
        <v>4441</v>
      </c>
      <c r="E6" s="118">
        <f>[3]Southwest!$EP$23</f>
        <v>89419</v>
      </c>
      <c r="F6" s="118">
        <f>'[3]Sun Country'!$EP$23+'[3]Sun Country'!$EP$33</f>
        <v>78595</v>
      </c>
      <c r="G6" s="118">
        <f>[3]Alaska!$EP$23</f>
        <v>9371</v>
      </c>
      <c r="H6" s="147">
        <f>SUM(B6:G6)</f>
        <v>196252</v>
      </c>
    </row>
    <row r="7" spans="1:11" ht="15" x14ac:dyDescent="0.25">
      <c r="A7" s="60" t="s">
        <v>7</v>
      </c>
      <c r="B7" s="155">
        <f t="shared" ref="B7:G7" si="0">SUM(B5:B6)</f>
        <v>28867</v>
      </c>
      <c r="C7" s="155">
        <f t="shared" si="0"/>
        <v>140</v>
      </c>
      <c r="D7" s="155">
        <f t="shared" si="0"/>
        <v>7610</v>
      </c>
      <c r="E7" s="155">
        <f t="shared" si="0"/>
        <v>182585</v>
      </c>
      <c r="F7" s="155">
        <f>SUM(F5:F6)</f>
        <v>158558</v>
      </c>
      <c r="G7" s="155">
        <f t="shared" si="0"/>
        <v>18420</v>
      </c>
      <c r="H7" s="156">
        <f>SUM(B7:G7)</f>
        <v>396180</v>
      </c>
    </row>
    <row r="8" spans="1:11" x14ac:dyDescent="0.2">
      <c r="A8" s="62"/>
      <c r="B8" s="154"/>
      <c r="C8" s="154"/>
      <c r="D8" s="154"/>
      <c r="E8" s="154"/>
      <c r="F8" s="154"/>
      <c r="G8" s="154"/>
      <c r="H8" s="147"/>
    </row>
    <row r="9" spans="1:11" x14ac:dyDescent="0.2">
      <c r="A9" s="62" t="s">
        <v>35</v>
      </c>
      <c r="B9" s="154"/>
      <c r="C9" s="154"/>
      <c r="D9" s="154"/>
      <c r="E9" s="154"/>
      <c r="F9" s="154"/>
      <c r="G9" s="154"/>
      <c r="H9" s="147"/>
    </row>
    <row r="10" spans="1:11" x14ac:dyDescent="0.2">
      <c r="A10" s="62" t="s">
        <v>33</v>
      </c>
      <c r="B10" s="154">
        <f>[3]Frontier!$EP$27</f>
        <v>154</v>
      </c>
      <c r="C10" s="154">
        <f>'[3]Great Lakes'!$EP$27</f>
        <v>14</v>
      </c>
      <c r="D10" s="154">
        <f>[3]Icelandair!$EP$37</f>
        <v>36</v>
      </c>
      <c r="E10" s="154">
        <f>[3]Southwest!$EP$27</f>
        <v>1157</v>
      </c>
      <c r="F10" s="154">
        <f>'[3]Sun Country'!$EP$27+'[3]Sun Country'!$EP$37</f>
        <v>1713</v>
      </c>
      <c r="G10" s="154">
        <f>[3]Alaska!$EP$27</f>
        <v>338</v>
      </c>
      <c r="H10" s="147">
        <f>SUM(B10:G10)</f>
        <v>3412</v>
      </c>
    </row>
    <row r="11" spans="1:11" x14ac:dyDescent="0.2">
      <c r="A11" s="62" t="s">
        <v>36</v>
      </c>
      <c r="B11" s="157">
        <f>[3]Frontier!$EP$28</f>
        <v>174</v>
      </c>
      <c r="C11" s="157">
        <f>'[3]Great Lakes'!$EP$28</f>
        <v>22</v>
      </c>
      <c r="D11" s="157">
        <f>[3]Icelandair!$EP$38</f>
        <v>57</v>
      </c>
      <c r="E11" s="157">
        <f>[3]Southwest!$EP$28</f>
        <v>1288</v>
      </c>
      <c r="F11" s="157">
        <f>'[3]Sun Country'!$EP$28+'[3]Sun Country'!$EP$38</f>
        <v>1826</v>
      </c>
      <c r="G11" s="157">
        <f>[3]Alaska!$EP$28</f>
        <v>388</v>
      </c>
      <c r="H11" s="147">
        <f>SUM(B11:G11)</f>
        <v>3755</v>
      </c>
    </row>
    <row r="12" spans="1:11" ht="15.75" thickBot="1" x14ac:dyDescent="0.3">
      <c r="A12" s="63" t="s">
        <v>37</v>
      </c>
      <c r="B12" s="150">
        <f t="shared" ref="B12:G12" si="1">SUM(B10:B11)</f>
        <v>328</v>
      </c>
      <c r="C12" s="150">
        <f t="shared" si="1"/>
        <v>36</v>
      </c>
      <c r="D12" s="150">
        <f t="shared" si="1"/>
        <v>93</v>
      </c>
      <c r="E12" s="150">
        <f t="shared" si="1"/>
        <v>2445</v>
      </c>
      <c r="F12" s="150">
        <f>SUM(F10:F11)</f>
        <v>3539</v>
      </c>
      <c r="G12" s="150">
        <f t="shared" si="1"/>
        <v>726</v>
      </c>
      <c r="H12" s="158">
        <f>SUM(B12:G12)</f>
        <v>7167</v>
      </c>
      <c r="K12" s="130"/>
    </row>
    <row r="13" spans="1:11" ht="15" x14ac:dyDescent="0.25">
      <c r="A13" s="59"/>
      <c r="B13" s="296"/>
      <c r="C13" s="296"/>
      <c r="D13" s="296"/>
      <c r="E13" s="296"/>
      <c r="F13" s="296"/>
      <c r="G13" s="296"/>
      <c r="H13" s="297"/>
    </row>
    <row r="14" spans="1:11" ht="13.5" thickBot="1" x14ac:dyDescent="0.25"/>
    <row r="15" spans="1:11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5"/>
    </row>
    <row r="16" spans="1:11" x14ac:dyDescent="0.2">
      <c r="A16" s="62" t="s">
        <v>25</v>
      </c>
      <c r="B16" s="146">
        <f>[3]Frontier!$EP$4</f>
        <v>98</v>
      </c>
      <c r="C16" s="146">
        <f>'[3]Great Lakes'!$EP$4</f>
        <v>32</v>
      </c>
      <c r="D16" s="146">
        <f>[3]Icelandair!$EP$15</f>
        <v>24</v>
      </c>
      <c r="E16" s="106">
        <f>[3]Southwest!$EP$4</f>
        <v>736</v>
      </c>
      <c r="F16" s="118">
        <f>'[3]Sun Country'!$EP$4+'[3]Sun Country'!$EP$15</f>
        <v>664</v>
      </c>
      <c r="G16" s="118">
        <f>[3]Alaska!$EP$4</f>
        <v>63</v>
      </c>
      <c r="H16" s="147">
        <f>SUM(B16:G16)</f>
        <v>1617</v>
      </c>
    </row>
    <row r="17" spans="1:255" x14ac:dyDescent="0.2">
      <c r="A17" s="62" t="s">
        <v>26</v>
      </c>
      <c r="B17" s="146">
        <f>[3]Frontier!$EP$5</f>
        <v>98</v>
      </c>
      <c r="C17" s="146">
        <f>'[3]Great Lakes'!$EP$5</f>
        <v>32</v>
      </c>
      <c r="D17" s="146">
        <f>[3]Icelandair!$EP$16</f>
        <v>24</v>
      </c>
      <c r="E17" s="106">
        <f>[3]Southwest!$EP$5</f>
        <v>735</v>
      </c>
      <c r="F17" s="118">
        <f>'[3]Sun Country'!$EP$5+'[3]Sun Country'!$EP$16</f>
        <v>668</v>
      </c>
      <c r="G17" s="118">
        <f>[3]Alaska!$EP$5</f>
        <v>63</v>
      </c>
      <c r="H17" s="147">
        <f>SUM(B17:G17)</f>
        <v>1620</v>
      </c>
    </row>
    <row r="18" spans="1:255" x14ac:dyDescent="0.2">
      <c r="A18" s="66" t="s">
        <v>27</v>
      </c>
      <c r="B18" s="148">
        <f t="shared" ref="B18:G18" si="2">SUM(B16:B17)</f>
        <v>196</v>
      </c>
      <c r="C18" s="148">
        <f t="shared" si="2"/>
        <v>64</v>
      </c>
      <c r="D18" s="148">
        <f t="shared" si="2"/>
        <v>48</v>
      </c>
      <c r="E18" s="148">
        <f t="shared" si="2"/>
        <v>1471</v>
      </c>
      <c r="F18" s="148">
        <f t="shared" si="2"/>
        <v>1332</v>
      </c>
      <c r="G18" s="148">
        <f t="shared" si="2"/>
        <v>126</v>
      </c>
      <c r="H18" s="149">
        <f>SUM(B18:G18)</f>
        <v>3237</v>
      </c>
    </row>
    <row r="19" spans="1:255" x14ac:dyDescent="0.2">
      <c r="A19" s="66"/>
      <c r="B19" s="116"/>
      <c r="C19" s="116"/>
      <c r="D19" s="116"/>
      <c r="E19" s="116"/>
      <c r="F19" s="116"/>
      <c r="G19" s="116"/>
      <c r="H19" s="147"/>
    </row>
    <row r="20" spans="1:255" x14ac:dyDescent="0.2">
      <c r="A20" s="62" t="s">
        <v>28</v>
      </c>
      <c r="B20" s="146">
        <f>[3]Frontier!$EP$8</f>
        <v>0</v>
      </c>
      <c r="C20" s="146">
        <f>'[3]Great Lakes'!$EP$8</f>
        <v>0</v>
      </c>
      <c r="D20" s="146">
        <f>[3]Icelandair!$EP$8</f>
        <v>0</v>
      </c>
      <c r="E20" s="118">
        <f>[3]Southwest!$EP$8</f>
        <v>0</v>
      </c>
      <c r="F20" s="118">
        <f>'[3]Sun Country'!$EP$8</f>
        <v>51</v>
      </c>
      <c r="G20" s="118">
        <f>[3]Alaska!$EP$8</f>
        <v>0</v>
      </c>
      <c r="H20" s="147">
        <f>SUM(B20:G20)</f>
        <v>51</v>
      </c>
    </row>
    <row r="21" spans="1:255" x14ac:dyDescent="0.2">
      <c r="A21" s="62" t="s">
        <v>29</v>
      </c>
      <c r="B21" s="146">
        <f>[3]Frontier!$EP$9</f>
        <v>0</v>
      </c>
      <c r="C21" s="146">
        <f>'[3]Great Lakes'!$EP$9</f>
        <v>0</v>
      </c>
      <c r="D21" s="146">
        <f>[3]Icelandair!$EP$9</f>
        <v>0</v>
      </c>
      <c r="E21" s="118">
        <f>[3]Southwest!$EP$9</f>
        <v>0</v>
      </c>
      <c r="F21" s="118">
        <f>'[3]Sun Country'!$EP$9</f>
        <v>48</v>
      </c>
      <c r="G21" s="118">
        <f>[3]Alaska!$EP$9</f>
        <v>0</v>
      </c>
      <c r="H21" s="147">
        <f>SUM(B21:G21)</f>
        <v>48</v>
      </c>
    </row>
    <row r="22" spans="1:255" x14ac:dyDescent="0.2">
      <c r="A22" s="66" t="s">
        <v>30</v>
      </c>
      <c r="B22" s="148">
        <f t="shared" ref="B22:G22" si="3">SUM(B20:B21)</f>
        <v>0</v>
      </c>
      <c r="C22" s="148">
        <f t="shared" si="3"/>
        <v>0</v>
      </c>
      <c r="D22" s="148">
        <f t="shared" si="3"/>
        <v>0</v>
      </c>
      <c r="E22" s="148">
        <f t="shared" si="3"/>
        <v>0</v>
      </c>
      <c r="F22" s="148">
        <f t="shared" si="3"/>
        <v>99</v>
      </c>
      <c r="G22" s="148">
        <f t="shared" si="3"/>
        <v>0</v>
      </c>
      <c r="H22" s="149">
        <f>SUM(B22:G22)</f>
        <v>99</v>
      </c>
    </row>
    <row r="23" spans="1:255" ht="15.75" thickBot="1" x14ac:dyDescent="0.3">
      <c r="A23" s="63" t="s">
        <v>31</v>
      </c>
      <c r="B23" s="150">
        <f t="shared" ref="B23:G23" si="4">B22+B18</f>
        <v>196</v>
      </c>
      <c r="C23" s="150">
        <f t="shared" si="4"/>
        <v>64</v>
      </c>
      <c r="D23" s="150">
        <f t="shared" si="4"/>
        <v>48</v>
      </c>
      <c r="E23" s="150">
        <f t="shared" si="4"/>
        <v>1471</v>
      </c>
      <c r="F23" s="150">
        <f t="shared" si="4"/>
        <v>1431</v>
      </c>
      <c r="G23" s="150">
        <f t="shared" si="4"/>
        <v>126</v>
      </c>
      <c r="H23" s="151">
        <f>SUM(B23:G23)</f>
        <v>3336</v>
      </c>
    </row>
    <row r="24" spans="1:25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13.5" thickBot="1" x14ac:dyDescent="0.25">
      <c r="B25" s="424"/>
      <c r="C25" s="424"/>
      <c r="D25" s="424"/>
      <c r="E25" s="424"/>
      <c r="F25" s="424"/>
      <c r="G25" s="424"/>
      <c r="H25" s="130"/>
    </row>
    <row r="26" spans="1:255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60"/>
    </row>
    <row r="27" spans="1:255" x14ac:dyDescent="0.2">
      <c r="A27" s="62" t="s">
        <v>39</v>
      </c>
      <c r="B27" s="161"/>
      <c r="C27" s="161"/>
      <c r="D27" s="161"/>
      <c r="E27" s="161"/>
      <c r="F27" s="161"/>
      <c r="G27" s="161"/>
      <c r="H27" s="153"/>
    </row>
    <row r="28" spans="1:255" x14ac:dyDescent="0.2">
      <c r="A28" s="62" t="s">
        <v>40</v>
      </c>
      <c r="B28" s="146">
        <f>[3]Frontier!$EP$47</f>
        <v>0</v>
      </c>
      <c r="C28" s="146">
        <f>'[3]Great Lakes'!$EP$47</f>
        <v>0</v>
      </c>
      <c r="D28" s="146">
        <f>[3]Icelandair!$EP$47</f>
        <v>28239</v>
      </c>
      <c r="E28" s="118">
        <f>[3]Southwest!$EP$47</f>
        <v>219212</v>
      </c>
      <c r="F28" s="118">
        <f>'[3]Sun Country'!$EP$47</f>
        <v>1719897</v>
      </c>
      <c r="G28" s="118">
        <f>[3]Alaska!$EP$47</f>
        <v>42944</v>
      </c>
      <c r="H28" s="147">
        <f>SUM(B28:G28)</f>
        <v>2010292</v>
      </c>
    </row>
    <row r="29" spans="1:255" x14ac:dyDescent="0.2">
      <c r="A29" s="62" t="s">
        <v>41</v>
      </c>
      <c r="B29" s="146">
        <f>[3]Frontier!$EP$48</f>
        <v>0</v>
      </c>
      <c r="C29" s="146">
        <f>'[3]Great Lakes'!$EP$48</f>
        <v>0</v>
      </c>
      <c r="D29" s="146">
        <f>[3]Icelandair!$EP$48</f>
        <v>0</v>
      </c>
      <c r="E29" s="118">
        <f>[3]Southwest!$EP$48</f>
        <v>0</v>
      </c>
      <c r="F29" s="118">
        <f>'[3]Sun Country'!$EP$48</f>
        <v>278563</v>
      </c>
      <c r="G29" s="118">
        <f>[3]Alaska!$EP$48</f>
        <v>0</v>
      </c>
      <c r="H29" s="147">
        <f>SUM(B29:G29)</f>
        <v>278563</v>
      </c>
    </row>
    <row r="30" spans="1:255" x14ac:dyDescent="0.2">
      <c r="A30" s="66" t="s">
        <v>42</v>
      </c>
      <c r="B30" s="162">
        <f t="shared" ref="B30:G30" si="5">SUM(B28:B29)</f>
        <v>0</v>
      </c>
      <c r="C30" s="162">
        <f t="shared" si="5"/>
        <v>0</v>
      </c>
      <c r="D30" s="162">
        <f t="shared" si="5"/>
        <v>28239</v>
      </c>
      <c r="E30" s="162">
        <f t="shared" si="5"/>
        <v>219212</v>
      </c>
      <c r="F30" s="162">
        <f t="shared" si="5"/>
        <v>1998460</v>
      </c>
      <c r="G30" s="162">
        <f t="shared" si="5"/>
        <v>42944</v>
      </c>
      <c r="H30" s="165">
        <f>SUM(B30:G30)</f>
        <v>2288855</v>
      </c>
    </row>
    <row r="31" spans="1:255" x14ac:dyDescent="0.2">
      <c r="A31" s="62"/>
      <c r="B31" s="154"/>
      <c r="C31" s="154"/>
      <c r="D31" s="154"/>
      <c r="E31" s="154"/>
      <c r="F31" s="154"/>
      <c r="G31" s="154"/>
      <c r="H31" s="147"/>
    </row>
    <row r="32" spans="1:255" x14ac:dyDescent="0.2">
      <c r="A32" s="62" t="s">
        <v>43</v>
      </c>
      <c r="B32" s="146"/>
      <c r="C32" s="146"/>
      <c r="D32" s="146"/>
      <c r="E32" s="118"/>
      <c r="F32" s="118"/>
      <c r="G32" s="118"/>
      <c r="H32" s="147"/>
    </row>
    <row r="33" spans="1:8" x14ac:dyDescent="0.2">
      <c r="A33" s="62" t="s">
        <v>40</v>
      </c>
      <c r="B33" s="146">
        <f>[3]Frontier!$EP$52</f>
        <v>0</v>
      </c>
      <c r="C33" s="146">
        <f>'[3]Great Lakes'!$EP$52</f>
        <v>0</v>
      </c>
      <c r="D33" s="146">
        <f>[3]Icelandair!$EP$52</f>
        <v>140</v>
      </c>
      <c r="E33" s="118">
        <f>[3]Southwest!$EP$52</f>
        <v>104292</v>
      </c>
      <c r="F33" s="118">
        <f>'[3]Sun Country'!$EP$52</f>
        <v>115476</v>
      </c>
      <c r="G33" s="118">
        <f>[3]Alaska!$EP$52</f>
        <v>8838</v>
      </c>
      <c r="H33" s="147">
        <f>SUM(B33:G33)</f>
        <v>228746</v>
      </c>
    </row>
    <row r="34" spans="1:8" x14ac:dyDescent="0.2">
      <c r="A34" s="62" t="s">
        <v>41</v>
      </c>
      <c r="B34" s="146">
        <f>[3]Frontier!$EP$53</f>
        <v>0</v>
      </c>
      <c r="C34" s="146">
        <f>'[3]Great Lakes'!$EP$53</f>
        <v>0</v>
      </c>
      <c r="D34" s="146">
        <f>[3]Icelandair!$EP$53</f>
        <v>0</v>
      </c>
      <c r="E34" s="118">
        <f>[3]Southwest!$EP$53</f>
        <v>0</v>
      </c>
      <c r="F34" s="118">
        <f>'[3]Sun Country'!$EP$53</f>
        <v>293275</v>
      </c>
      <c r="G34" s="118">
        <f>[3]Alaska!$EP$53</f>
        <v>0</v>
      </c>
      <c r="H34" s="163">
        <f>SUM(B34:G34)</f>
        <v>293275</v>
      </c>
    </row>
    <row r="35" spans="1:8" x14ac:dyDescent="0.2">
      <c r="A35" s="66" t="s">
        <v>44</v>
      </c>
      <c r="B35" s="164">
        <f t="shared" ref="B35:G35" si="6">SUM(B33:B34)</f>
        <v>0</v>
      </c>
      <c r="C35" s="164">
        <f t="shared" si="6"/>
        <v>0</v>
      </c>
      <c r="D35" s="164">
        <f t="shared" si="6"/>
        <v>140</v>
      </c>
      <c r="E35" s="164">
        <f t="shared" si="6"/>
        <v>104292</v>
      </c>
      <c r="F35" s="164">
        <f t="shared" si="6"/>
        <v>408751</v>
      </c>
      <c r="G35" s="164">
        <f t="shared" si="6"/>
        <v>8838</v>
      </c>
      <c r="H35" s="165">
        <f>SUM(B35:G35)</f>
        <v>522021</v>
      </c>
    </row>
    <row r="36" spans="1:8" hidden="1" x14ac:dyDescent="0.2">
      <c r="A36" s="62"/>
      <c r="B36" s="154"/>
      <c r="C36" s="154"/>
      <c r="D36" s="154"/>
      <c r="E36" s="154"/>
      <c r="F36" s="154"/>
      <c r="G36" s="154"/>
      <c r="H36" s="147"/>
    </row>
    <row r="37" spans="1:8" hidden="1" x14ac:dyDescent="0.2">
      <c r="A37" s="62" t="s">
        <v>45</v>
      </c>
      <c r="B37" s="154"/>
      <c r="C37" s="154"/>
      <c r="D37" s="154"/>
      <c r="E37" s="154"/>
      <c r="F37" s="154"/>
      <c r="G37" s="154"/>
      <c r="H37" s="147"/>
    </row>
    <row r="38" spans="1:8" hidden="1" x14ac:dyDescent="0.2">
      <c r="A38" s="62" t="s">
        <v>40</v>
      </c>
      <c r="B38" s="154">
        <f>[3]Frontier!$EP$57</f>
        <v>0</v>
      </c>
      <c r="C38" s="154">
        <f>'[3]Great Lakes'!$EP$57</f>
        <v>0</v>
      </c>
      <c r="D38" s="154">
        <f>[3]Icelandair!$EP$57</f>
        <v>0</v>
      </c>
      <c r="E38" s="154">
        <f>[3]Southwest!$EP$57</f>
        <v>0</v>
      </c>
      <c r="F38" s="154">
        <f>'[3]Sun Country'!$EP$57</f>
        <v>0</v>
      </c>
      <c r="G38" s="154">
        <f>[3]Alaska!$EP$57</f>
        <v>0</v>
      </c>
      <c r="H38" s="147">
        <f>SUM(B38:F38)</f>
        <v>0</v>
      </c>
    </row>
    <row r="39" spans="1:8" hidden="1" x14ac:dyDescent="0.2">
      <c r="A39" s="62" t="s">
        <v>41</v>
      </c>
      <c r="B39" s="157">
        <f>[3]Frontier!$EP$58</f>
        <v>0</v>
      </c>
      <c r="C39" s="157">
        <f>'[3]Great Lakes'!$EP$58</f>
        <v>0</v>
      </c>
      <c r="D39" s="157">
        <f>[3]Icelandair!$EP$58</f>
        <v>0</v>
      </c>
      <c r="E39" s="157">
        <f>[3]Southwest!$EP$58</f>
        <v>0</v>
      </c>
      <c r="F39" s="157">
        <f>'[3]Sun Country'!$EP$58</f>
        <v>0</v>
      </c>
      <c r="G39" s="157">
        <f>[3]Alaska!$EP$58</f>
        <v>0</v>
      </c>
      <c r="H39" s="163">
        <f>SUM(B39:F39)</f>
        <v>0</v>
      </c>
    </row>
    <row r="40" spans="1:8" hidden="1" x14ac:dyDescent="0.2">
      <c r="A40" s="66" t="s">
        <v>46</v>
      </c>
      <c r="B40" s="166">
        <f t="shared" ref="B40:G40" si="7">SUM(B38:B39)</f>
        <v>0</v>
      </c>
      <c r="C40" s="166">
        <f t="shared" si="7"/>
        <v>0</v>
      </c>
      <c r="D40" s="166">
        <f t="shared" si="7"/>
        <v>0</v>
      </c>
      <c r="E40" s="166">
        <f t="shared" si="7"/>
        <v>0</v>
      </c>
      <c r="F40" s="166">
        <f t="shared" si="7"/>
        <v>0</v>
      </c>
      <c r="G40" s="166">
        <f t="shared" si="7"/>
        <v>0</v>
      </c>
      <c r="H40" s="147">
        <f>SUM(B40:F40)</f>
        <v>0</v>
      </c>
    </row>
    <row r="41" spans="1:8" x14ac:dyDescent="0.2">
      <c r="A41" s="62"/>
      <c r="B41" s="154"/>
      <c r="C41" s="154"/>
      <c r="D41" s="154"/>
      <c r="E41" s="154"/>
      <c r="F41" s="154"/>
      <c r="G41" s="154"/>
      <c r="H41" s="147"/>
    </row>
    <row r="42" spans="1:8" x14ac:dyDescent="0.2">
      <c r="A42" s="62" t="s">
        <v>47</v>
      </c>
      <c r="B42" s="154"/>
      <c r="C42" s="154"/>
      <c r="D42" s="154"/>
      <c r="E42" s="154"/>
      <c r="F42" s="154"/>
      <c r="G42" s="154"/>
      <c r="H42" s="147"/>
    </row>
    <row r="43" spans="1:8" x14ac:dyDescent="0.2">
      <c r="A43" s="62" t="s">
        <v>48</v>
      </c>
      <c r="B43" s="154">
        <f t="shared" ref="B43:G43" si="8">B28+B33+B38</f>
        <v>0</v>
      </c>
      <c r="C43" s="154">
        <f>C28+C33+C38</f>
        <v>0</v>
      </c>
      <c r="D43" s="154">
        <f t="shared" si="8"/>
        <v>28379</v>
      </c>
      <c r="E43" s="154">
        <f t="shared" si="8"/>
        <v>323504</v>
      </c>
      <c r="F43" s="154">
        <f t="shared" si="8"/>
        <v>1835373</v>
      </c>
      <c r="G43" s="154">
        <f t="shared" si="8"/>
        <v>51782</v>
      </c>
      <c r="H43" s="147">
        <f>SUM(B43:G43)</f>
        <v>2239038</v>
      </c>
    </row>
    <row r="44" spans="1:8" x14ac:dyDescent="0.2">
      <c r="A44" s="62" t="s">
        <v>41</v>
      </c>
      <c r="B44" s="157">
        <f t="shared" ref="B44:G44" si="9">+B39+B34+B29</f>
        <v>0</v>
      </c>
      <c r="C44" s="157">
        <f>+C39+C34+C29</f>
        <v>0</v>
      </c>
      <c r="D44" s="157">
        <f t="shared" si="9"/>
        <v>0</v>
      </c>
      <c r="E44" s="157">
        <f t="shared" si="9"/>
        <v>0</v>
      </c>
      <c r="F44" s="157">
        <f t="shared" si="9"/>
        <v>571838</v>
      </c>
      <c r="G44" s="157">
        <f t="shared" si="9"/>
        <v>0</v>
      </c>
      <c r="H44" s="147">
        <f>SUM(B44:G44)</f>
        <v>571838</v>
      </c>
    </row>
    <row r="45" spans="1:8" ht="15.75" thickBot="1" x14ac:dyDescent="0.3">
      <c r="A45" s="63" t="s">
        <v>49</v>
      </c>
      <c r="B45" s="167">
        <f t="shared" ref="B45:G45" si="10">B43+B44</f>
        <v>0</v>
      </c>
      <c r="C45" s="167">
        <f t="shared" si="10"/>
        <v>0</v>
      </c>
      <c r="D45" s="167">
        <f t="shared" si="10"/>
        <v>28379</v>
      </c>
      <c r="E45" s="167">
        <f t="shared" si="10"/>
        <v>323504</v>
      </c>
      <c r="F45" s="167">
        <f t="shared" si="10"/>
        <v>2407211</v>
      </c>
      <c r="G45" s="167">
        <f t="shared" si="10"/>
        <v>51782</v>
      </c>
      <c r="H45" s="168">
        <f>SUM(B45:G45)</f>
        <v>2810876</v>
      </c>
    </row>
    <row r="48" spans="1:8" x14ac:dyDescent="0.2">
      <c r="A48" s="385" t="s">
        <v>128</v>
      </c>
      <c r="B48" s="398"/>
      <c r="C48" s="398"/>
      <c r="E48" s="326">
        <f>[3]Southwest!$EP$70+[3]Southwest!$EP$73</f>
        <v>88985</v>
      </c>
      <c r="F48" s="326">
        <f>'[3]Sun Country'!$EP$70+'[3]Sun Country'!$EP$73</f>
        <v>67584</v>
      </c>
      <c r="G48" s="398"/>
      <c r="H48" s="314">
        <f>SUM(B48:G48)</f>
        <v>156569</v>
      </c>
    </row>
    <row r="49" spans="1:8" x14ac:dyDescent="0.2">
      <c r="A49" s="400" t="s">
        <v>129</v>
      </c>
      <c r="B49" s="398"/>
      <c r="C49" s="398"/>
      <c r="E49" s="326">
        <f>[3]Southwest!$EP$71+[3]Southwest!$EP$74</f>
        <v>434</v>
      </c>
      <c r="F49" s="326">
        <f>'[3]Sun Country'!$EP$71+'[3]Sun Country'!$EP$74</f>
        <v>11011</v>
      </c>
      <c r="G49" s="398"/>
      <c r="H49" s="314">
        <f>SUM(B49:G49)</f>
        <v>11445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May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J6" sqref="J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6"/>
    </row>
    <row r="2" spans="1:12" s="7" customFormat="1" ht="51.75" thickBot="1" x14ac:dyDescent="0.25">
      <c r="A2" s="389">
        <v>42491</v>
      </c>
      <c r="B2" s="453" t="s">
        <v>169</v>
      </c>
      <c r="C2" s="453" t="s">
        <v>172</v>
      </c>
      <c r="D2" s="453" t="s">
        <v>200</v>
      </c>
      <c r="E2" s="453" t="s">
        <v>199</v>
      </c>
      <c r="F2" s="453" t="s">
        <v>201</v>
      </c>
      <c r="G2" s="453" t="s">
        <v>206</v>
      </c>
      <c r="H2" s="453" t="s">
        <v>213</v>
      </c>
      <c r="I2" s="453" t="s">
        <v>215</v>
      </c>
      <c r="J2" s="453" t="s">
        <v>205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[3]Pinnacle!$EP$22+[3]Pinnacle!$EP$32</f>
        <v>121836</v>
      </c>
      <c r="C5" s="132">
        <f>[3]MESA_UA!$EP$22</f>
        <v>7234</v>
      </c>
      <c r="D5" s="130">
        <f>'[3]Sky West'!$EP$22+'[3]Sky West'!$EP$32</f>
        <v>130865</v>
      </c>
      <c r="E5" s="130">
        <f>'[3]Sky West_UA'!$EP$22</f>
        <v>14365</v>
      </c>
      <c r="F5" s="130">
        <f>'[3]Sky West_AS'!$EP$22</f>
        <v>2044</v>
      </c>
      <c r="G5" s="130">
        <f>[3]Republic!$EP$22</f>
        <v>11683</v>
      </c>
      <c r="H5" s="130">
        <f>[3]Republic_UA!$EP$22</f>
        <v>6643</v>
      </c>
      <c r="I5" s="130">
        <f>'[3]Air Georgian'!$EP$32</f>
        <v>4425</v>
      </c>
      <c r="J5" s="130">
        <f>'[3]American Eagle'!$EP$22</f>
        <v>297</v>
      </c>
      <c r="K5" s="130">
        <f>'Other Regional'!M5</f>
        <v>65794</v>
      </c>
      <c r="L5" s="110">
        <f>SUM(B5:K5)</f>
        <v>365186</v>
      </c>
    </row>
    <row r="6" spans="1:12" s="10" customFormat="1" x14ac:dyDescent="0.2">
      <c r="A6" s="62" t="s">
        <v>34</v>
      </c>
      <c r="B6" s="131">
        <f>[3]Pinnacle!$EP$23+[3]Pinnacle!$EP$33</f>
        <v>121894</v>
      </c>
      <c r="C6" s="132">
        <f>[3]MESA_UA!$EP$23</f>
        <v>6894</v>
      </c>
      <c r="D6" s="130">
        <f>'[3]Sky West'!$EP$23+'[3]Sky West'!$EP$33</f>
        <v>131039</v>
      </c>
      <c r="E6" s="130">
        <f>'[3]Sky West_UA'!$EP$23</f>
        <v>14497</v>
      </c>
      <c r="F6" s="130">
        <f>'[3]Sky West_AS'!$EP$23</f>
        <v>1992</v>
      </c>
      <c r="G6" s="130">
        <f>[3]Republic!$EP$23</f>
        <v>12009</v>
      </c>
      <c r="H6" s="130">
        <f>[3]Republic_UA!$EP$23</f>
        <v>5928</v>
      </c>
      <c r="I6" s="130">
        <f>'[3]Air Georgian'!$EP$33</f>
        <v>4616</v>
      </c>
      <c r="J6" s="130">
        <f>'[3]American Eagle'!$EP$23</f>
        <v>279</v>
      </c>
      <c r="K6" s="130">
        <f>'Other Regional'!M6</f>
        <v>64856</v>
      </c>
      <c r="L6" s="115">
        <f>SUM(B6:K6)</f>
        <v>364004</v>
      </c>
    </row>
    <row r="7" spans="1:12" ht="15" thickBot="1" x14ac:dyDescent="0.25">
      <c r="A7" s="73" t="s">
        <v>7</v>
      </c>
      <c r="B7" s="133">
        <f>SUM(B5:B6)</f>
        <v>243730</v>
      </c>
      <c r="C7" s="133">
        <f t="shared" ref="C7:K7" si="0">SUM(C5:C6)</f>
        <v>14128</v>
      </c>
      <c r="D7" s="133">
        <f t="shared" si="0"/>
        <v>261904</v>
      </c>
      <c r="E7" s="133">
        <f t="shared" si="0"/>
        <v>28862</v>
      </c>
      <c r="F7" s="133">
        <f t="shared" ref="F7" si="1">SUM(F5:F6)</f>
        <v>4036</v>
      </c>
      <c r="G7" s="133">
        <f t="shared" si="0"/>
        <v>23692</v>
      </c>
      <c r="H7" s="133">
        <f t="shared" ref="H7:I7" si="2">SUM(H5:H6)</f>
        <v>12571</v>
      </c>
      <c r="I7" s="133">
        <f t="shared" si="2"/>
        <v>9041</v>
      </c>
      <c r="J7" s="133">
        <f t="shared" si="0"/>
        <v>576</v>
      </c>
      <c r="K7" s="133">
        <f t="shared" si="0"/>
        <v>130650</v>
      </c>
      <c r="L7" s="134">
        <f>SUM(B7:K7)</f>
        <v>729190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[3]Pinnacle!$EP$27+[3]Pinnacle!$EP$37</f>
        <v>4004</v>
      </c>
      <c r="C10" s="132">
        <f>[3]MESA_UA!$EP$27</f>
        <v>175</v>
      </c>
      <c r="D10" s="130">
        <f>'[3]Sky West'!$EP$27+'[3]Sky West'!$EP$37</f>
        <v>4979</v>
      </c>
      <c r="E10" s="130">
        <f>'[3]Sky West_UA'!$EP$27</f>
        <v>425</v>
      </c>
      <c r="F10" s="130">
        <f>'[3]Sky West_AS'!$EP$27</f>
        <v>107</v>
      </c>
      <c r="G10" s="130">
        <f>[3]Republic!$EP$27</f>
        <v>0</v>
      </c>
      <c r="H10" s="130">
        <f>[3]Republic_UA!$EP$27</f>
        <v>0</v>
      </c>
      <c r="I10" s="130">
        <f>'[3]Air Georgian'!$EP$37</f>
        <v>0</v>
      </c>
      <c r="J10" s="130">
        <f>'[3]American Eagle'!$EP$27</f>
        <v>10</v>
      </c>
      <c r="K10" s="130">
        <f>'Other Regional'!M10</f>
        <v>2067</v>
      </c>
      <c r="L10" s="110">
        <f>SUM(B10:K10)</f>
        <v>11767</v>
      </c>
    </row>
    <row r="11" spans="1:12" x14ac:dyDescent="0.2">
      <c r="A11" s="62" t="s">
        <v>36</v>
      </c>
      <c r="B11" s="131">
        <f>[3]Pinnacle!$EP$28+[3]Pinnacle!$EP$38</f>
        <v>4055</v>
      </c>
      <c r="C11" s="132">
        <f>[3]MESA_UA!$EP$28</f>
        <v>229</v>
      </c>
      <c r="D11" s="130">
        <f>'[3]Sky West'!$EP$28+'[3]Sky West'!$EP$38</f>
        <v>4739</v>
      </c>
      <c r="E11" s="130">
        <f>'[3]Sky West_UA'!$EP$28</f>
        <v>377</v>
      </c>
      <c r="F11" s="130">
        <f>'[3]Sky West_AS'!$EP$28</f>
        <v>99</v>
      </c>
      <c r="G11" s="130">
        <f>[3]Republic!$EP$28</f>
        <v>0</v>
      </c>
      <c r="H11" s="130">
        <f>[3]Republic_UA!$EP$28</f>
        <v>0</v>
      </c>
      <c r="I11" s="130">
        <f>'[3]Air Georgian'!$EP$38</f>
        <v>0</v>
      </c>
      <c r="J11" s="130">
        <f>'[3]American Eagle'!$EP$28</f>
        <v>15</v>
      </c>
      <c r="K11" s="130">
        <f>'Other Regional'!M11</f>
        <v>2130</v>
      </c>
      <c r="L11" s="115">
        <f>SUM(B11:K11)</f>
        <v>11644</v>
      </c>
    </row>
    <row r="12" spans="1:12" ht="15" thickBot="1" x14ac:dyDescent="0.25">
      <c r="A12" s="74" t="s">
        <v>37</v>
      </c>
      <c r="B12" s="136">
        <f t="shared" ref="B12:K12" si="3">SUM(B10:B11)</f>
        <v>8059</v>
      </c>
      <c r="C12" s="136">
        <f t="shared" si="3"/>
        <v>404</v>
      </c>
      <c r="D12" s="136">
        <f t="shared" si="3"/>
        <v>9718</v>
      </c>
      <c r="E12" s="136">
        <f t="shared" si="3"/>
        <v>802</v>
      </c>
      <c r="F12" s="136">
        <f t="shared" ref="F12" si="4">SUM(F10:F11)</f>
        <v>206</v>
      </c>
      <c r="G12" s="136">
        <f t="shared" si="3"/>
        <v>0</v>
      </c>
      <c r="H12" s="136">
        <f t="shared" ref="H12:I12" si="5">SUM(H10:H11)</f>
        <v>0</v>
      </c>
      <c r="I12" s="136">
        <f t="shared" si="5"/>
        <v>0</v>
      </c>
      <c r="J12" s="136">
        <f t="shared" si="3"/>
        <v>25</v>
      </c>
      <c r="K12" s="136">
        <f t="shared" si="3"/>
        <v>4197</v>
      </c>
      <c r="L12" s="137">
        <f>SUM(B12:K12)</f>
        <v>23411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[3]Pinnacle!$EP$4+[3]Pinnacle!$EP$15</f>
        <v>2211</v>
      </c>
      <c r="C15" s="108">
        <f>[3]MESA_UA!$EP$4</f>
        <v>116</v>
      </c>
      <c r="D15" s="106">
        <f>'[3]Sky West'!$EP$4+'[3]Sky West'!$EP$15</f>
        <v>2848</v>
      </c>
      <c r="E15" s="106">
        <f>'[3]Sky West_UA'!$EP$4</f>
        <v>227</v>
      </c>
      <c r="F15" s="106">
        <f>'[3]Sky West_AS'!$EP$4</f>
        <v>32</v>
      </c>
      <c r="G15" s="109">
        <f>[3]Republic!$EP$4</f>
        <v>182</v>
      </c>
      <c r="H15" s="109">
        <f>[3]Republic_UA!$EP$4</f>
        <v>105</v>
      </c>
      <c r="I15" s="109">
        <f>'[3]Air Georgian'!$EP$15</f>
        <v>108</v>
      </c>
      <c r="J15" s="109">
        <f>'[3]American Eagle'!$EP$4</f>
        <v>5</v>
      </c>
      <c r="K15" s="107">
        <f>'Other Regional'!M15</f>
        <v>1111</v>
      </c>
      <c r="L15" s="110">
        <f t="shared" si="6"/>
        <v>6945</v>
      </c>
    </row>
    <row r="16" spans="1:12" x14ac:dyDescent="0.2">
      <c r="A16" s="62" t="s">
        <v>58</v>
      </c>
      <c r="B16" s="14">
        <f>[3]Pinnacle!$EP$5+[3]Pinnacle!$EP$16</f>
        <v>2211</v>
      </c>
      <c r="C16" s="113">
        <f>[3]MESA_UA!$EP$5</f>
        <v>116</v>
      </c>
      <c r="D16" s="111">
        <f>'[3]Sky West'!$EP$5+'[3]Sky West'!$EP$16</f>
        <v>2842</v>
      </c>
      <c r="E16" s="111">
        <f>'[3]Sky West_UA'!$EP$5</f>
        <v>227</v>
      </c>
      <c r="F16" s="111">
        <f>'[3]Sky West_AS'!$EP$5</f>
        <v>32</v>
      </c>
      <c r="G16" s="114">
        <f>[3]Republic!$EP$5</f>
        <v>182</v>
      </c>
      <c r="H16" s="114">
        <f>[3]Republic_UA!$EP$5</f>
        <v>105</v>
      </c>
      <c r="I16" s="114">
        <f>'[3]Air Georgian'!$EP$16</f>
        <v>108</v>
      </c>
      <c r="J16" s="114">
        <f>'[3]American Eagle'!$EP$5</f>
        <v>5</v>
      </c>
      <c r="K16" s="112">
        <f>'Other Regional'!M16</f>
        <v>1109</v>
      </c>
      <c r="L16" s="115">
        <f t="shared" si="6"/>
        <v>6937</v>
      </c>
    </row>
    <row r="17" spans="1:12" x14ac:dyDescent="0.2">
      <c r="A17" s="71" t="s">
        <v>59</v>
      </c>
      <c r="B17" s="116">
        <f t="shared" ref="B17:J17" si="7">SUM(B15:B16)</f>
        <v>4422</v>
      </c>
      <c r="C17" s="116">
        <f t="shared" si="7"/>
        <v>232</v>
      </c>
      <c r="D17" s="116">
        <f t="shared" si="7"/>
        <v>5690</v>
      </c>
      <c r="E17" s="116">
        <f t="shared" si="7"/>
        <v>454</v>
      </c>
      <c r="F17" s="116">
        <f t="shared" ref="F17" si="8">SUM(F15:F16)</f>
        <v>64</v>
      </c>
      <c r="G17" s="116">
        <f t="shared" si="7"/>
        <v>364</v>
      </c>
      <c r="H17" s="116">
        <f t="shared" ref="H17:I17" si="9">SUM(H15:H16)</f>
        <v>210</v>
      </c>
      <c r="I17" s="116">
        <f t="shared" si="9"/>
        <v>216</v>
      </c>
      <c r="J17" s="116">
        <f t="shared" si="7"/>
        <v>10</v>
      </c>
      <c r="K17" s="116">
        <f>SUM(K15:K16)</f>
        <v>2220</v>
      </c>
      <c r="L17" s="117">
        <f t="shared" si="6"/>
        <v>13882</v>
      </c>
    </row>
    <row r="18" spans="1:12" x14ac:dyDescent="0.2">
      <c r="A18" s="62" t="s">
        <v>60</v>
      </c>
      <c r="B18" s="118">
        <f>[3]Pinnacle!$EP$8</f>
        <v>0</v>
      </c>
      <c r="C18" s="119">
        <f>[3]MESA_UA!$EP$8</f>
        <v>0</v>
      </c>
      <c r="D18" s="118">
        <f>'[3]Sky West'!$EP$8</f>
        <v>0</v>
      </c>
      <c r="E18" s="118">
        <f>'[3]Sky West_UA'!$EP$8</f>
        <v>0</v>
      </c>
      <c r="F18" s="118">
        <f>'[3]Sky West_AS'!$EP$8</f>
        <v>0</v>
      </c>
      <c r="G18" s="118">
        <f>[3]Republic!$EP$8</f>
        <v>0</v>
      </c>
      <c r="H18" s="118">
        <f>[3]Republic_UA!$EP$8</f>
        <v>0</v>
      </c>
      <c r="I18" s="118">
        <f>'[3]Air Georgian'!$EP$8</f>
        <v>0</v>
      </c>
      <c r="J18" s="118">
        <f>'[3]American Eagle'!$EP$8</f>
        <v>0</v>
      </c>
      <c r="K18" s="118">
        <f>'Other Regional'!M18</f>
        <v>0</v>
      </c>
      <c r="L18" s="110">
        <f t="shared" si="6"/>
        <v>0</v>
      </c>
    </row>
    <row r="19" spans="1:12" x14ac:dyDescent="0.2">
      <c r="A19" s="62" t="s">
        <v>61</v>
      </c>
      <c r="B19" s="120">
        <f>[3]Pinnacle!$EP$9</f>
        <v>0</v>
      </c>
      <c r="C19" s="121">
        <f>[3]MESA_UA!$EP$9</f>
        <v>0</v>
      </c>
      <c r="D19" s="120">
        <f>'[3]Sky West'!$EP$9</f>
        <v>3</v>
      </c>
      <c r="E19" s="120">
        <f>'[3]Sky West_UA'!$EP$9</f>
        <v>0</v>
      </c>
      <c r="F19" s="120">
        <f>'[3]Sky West_AS'!$EP$9</f>
        <v>0</v>
      </c>
      <c r="G19" s="120">
        <f>[3]Republic!$EP$9</f>
        <v>0</v>
      </c>
      <c r="H19" s="120">
        <f>[3]Republic_UA!$EP$9</f>
        <v>0</v>
      </c>
      <c r="I19" s="120">
        <f>'[3]Air Georgian'!$EP$9</f>
        <v>0</v>
      </c>
      <c r="J19" s="120">
        <f>'[3]American Eagle'!$EP$9</f>
        <v>0</v>
      </c>
      <c r="K19" s="120">
        <f>'Other Regional'!M19</f>
        <v>2</v>
      </c>
      <c r="L19" s="115">
        <f t="shared" si="6"/>
        <v>5</v>
      </c>
    </row>
    <row r="20" spans="1:12" x14ac:dyDescent="0.2">
      <c r="A20" s="71" t="s">
        <v>62</v>
      </c>
      <c r="B20" s="116">
        <f t="shared" ref="B20:K20" si="10">SUM(B18:B19)</f>
        <v>0</v>
      </c>
      <c r="C20" s="116">
        <f t="shared" si="10"/>
        <v>0</v>
      </c>
      <c r="D20" s="116">
        <f t="shared" si="10"/>
        <v>3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2</v>
      </c>
      <c r="L20" s="117">
        <f t="shared" si="6"/>
        <v>5</v>
      </c>
    </row>
    <row r="21" spans="1:12" ht="15.75" thickBot="1" x14ac:dyDescent="0.3">
      <c r="A21" s="72" t="s">
        <v>31</v>
      </c>
      <c r="B21" s="122">
        <f t="shared" ref="B21:J21" si="13">SUM(B20,B17)</f>
        <v>4422</v>
      </c>
      <c r="C21" s="122">
        <f t="shared" si="13"/>
        <v>232</v>
      </c>
      <c r="D21" s="122">
        <f t="shared" si="13"/>
        <v>5693</v>
      </c>
      <c r="E21" s="122">
        <f t="shared" si="13"/>
        <v>454</v>
      </c>
      <c r="F21" s="122">
        <f t="shared" ref="F21" si="14">SUM(F20,F17)</f>
        <v>64</v>
      </c>
      <c r="G21" s="122">
        <f t="shared" si="13"/>
        <v>364</v>
      </c>
      <c r="H21" s="122">
        <f t="shared" ref="H21:I21" si="15">SUM(H20,H17)</f>
        <v>210</v>
      </c>
      <c r="I21" s="122">
        <f t="shared" si="15"/>
        <v>216</v>
      </c>
      <c r="J21" s="122">
        <f t="shared" si="13"/>
        <v>10</v>
      </c>
      <c r="K21" s="122">
        <f>SUM(K20,K17)</f>
        <v>2222</v>
      </c>
      <c r="L21" s="123">
        <f t="shared" si="6"/>
        <v>13887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[3]Pinnacle!$EP$47</f>
        <v>0</v>
      </c>
      <c r="C25" s="132">
        <f>[3]MESA_UA!$EP$47</f>
        <v>0</v>
      </c>
      <c r="D25" s="130">
        <f>'[3]Sky West'!$EP$47</f>
        <v>0</v>
      </c>
      <c r="E25" s="130">
        <f>'[3]Sky West_UA'!$EP$47</f>
        <v>0</v>
      </c>
      <c r="F25" s="130">
        <f>'[3]Sky West_AS'!$EP$47</f>
        <v>0</v>
      </c>
      <c r="G25" s="130">
        <f>[3]Republic!$EP$47</f>
        <v>0</v>
      </c>
      <c r="H25" s="130">
        <f>[3]Republic_UA!$EP$47</f>
        <v>0</v>
      </c>
      <c r="I25" s="130">
        <f>'[3]Air Georgian'!$EP$47</f>
        <v>0</v>
      </c>
      <c r="J25" s="130">
        <f>'[3]American Eagle'!$EP$47</f>
        <v>0</v>
      </c>
      <c r="K25" s="130">
        <f>'Other Regional'!M25</f>
        <v>0</v>
      </c>
      <c r="L25" s="110">
        <f>SUM(B25:K25)</f>
        <v>0</v>
      </c>
    </row>
    <row r="26" spans="1:12" x14ac:dyDescent="0.2">
      <c r="A26" s="75" t="s">
        <v>41</v>
      </c>
      <c r="B26" s="130">
        <f>[3]Pinnacle!$EP$48</f>
        <v>0</v>
      </c>
      <c r="C26" s="132">
        <f>[3]MESA_UA!$EP$48</f>
        <v>0</v>
      </c>
      <c r="D26" s="130">
        <f>'[3]Sky West'!$EP$48</f>
        <v>0</v>
      </c>
      <c r="E26" s="130">
        <f>'[3]Sky West_UA'!$EP$48</f>
        <v>0</v>
      </c>
      <c r="F26" s="130">
        <f>'[3]Sky West_AS'!$EP$48</f>
        <v>0</v>
      </c>
      <c r="G26" s="130">
        <f>[3]Republic!$EP$48</f>
        <v>0</v>
      </c>
      <c r="H26" s="130">
        <f>[3]Republic_UA!$EP$48</f>
        <v>0</v>
      </c>
      <c r="I26" s="130">
        <f>'[3]Air Georgian'!$EP$48</f>
        <v>0</v>
      </c>
      <c r="J26" s="130">
        <f>'[3]American Eagle'!$EP$48</f>
        <v>0</v>
      </c>
      <c r="K26" s="130">
        <f>'Other Regional'!M26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0</v>
      </c>
      <c r="G27" s="133">
        <f t="shared" si="16"/>
        <v>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0</v>
      </c>
      <c r="L27" s="134">
        <f>SUM(B27:K27)</f>
        <v>0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[3]Pinnacle!$EP$52</f>
        <v>0</v>
      </c>
      <c r="C30" s="132">
        <f>[3]MESA_UA!$EP$52</f>
        <v>0</v>
      </c>
      <c r="D30" s="130">
        <f>'[3]Sky West'!$EP$52</f>
        <v>0</v>
      </c>
      <c r="E30" s="130">
        <f>'[3]Sky West_UA'!$EP$52</f>
        <v>0</v>
      </c>
      <c r="F30" s="130">
        <f>'[3]Sky West_AS'!$EP$52</f>
        <v>0</v>
      </c>
      <c r="G30" s="130">
        <f>[3]Republic!$EP$52</f>
        <v>0</v>
      </c>
      <c r="H30" s="130">
        <f>[3]Republic_UA!$EP$52</f>
        <v>0</v>
      </c>
      <c r="I30" s="130">
        <f>'[3]Air Georgian'!$EP$52</f>
        <v>0</v>
      </c>
      <c r="J30" s="130">
        <f>'[3]American Eagle'!$EP$52</f>
        <v>0</v>
      </c>
      <c r="K30" s="130">
        <f>'Other Regional'!M30</f>
        <v>0</v>
      </c>
      <c r="L30" s="110">
        <f t="shared" ref="L30:L37" si="19">SUM(B30:K30)</f>
        <v>0</v>
      </c>
    </row>
    <row r="31" spans="1:12" x14ac:dyDescent="0.2">
      <c r="A31" s="75" t="s">
        <v>64</v>
      </c>
      <c r="B31" s="130">
        <f>[3]Pinnacle!$EP$53</f>
        <v>0</v>
      </c>
      <c r="C31" s="132">
        <f>[3]MESA_UA!$EP$53</f>
        <v>0</v>
      </c>
      <c r="D31" s="130">
        <f>'[3]Sky West'!$EP$53</f>
        <v>0</v>
      </c>
      <c r="E31" s="130">
        <f>'[3]Sky West_UA'!$EP$53</f>
        <v>0</v>
      </c>
      <c r="F31" s="130">
        <f>'[3]Sky West_AS'!$EP$53</f>
        <v>0</v>
      </c>
      <c r="G31" s="130">
        <f>[3]Republic!$EP$53</f>
        <v>0</v>
      </c>
      <c r="H31" s="130">
        <f>[3]Republic_UA!$EP$53</f>
        <v>0</v>
      </c>
      <c r="I31" s="130">
        <f>'[3]Air Georgian'!$EP$53</f>
        <v>0</v>
      </c>
      <c r="J31" s="130">
        <f>'[3]American Eagle'!$EP$53</f>
        <v>0</v>
      </c>
      <c r="K31" s="130">
        <f>'Other Regional'!M31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[3]Pinnacle!$EP$57</f>
        <v>0</v>
      </c>
      <c r="C35" s="132">
        <f>[3]MESA_UA!$EP$57</f>
        <v>0</v>
      </c>
      <c r="D35" s="130">
        <f>'[3]Sky West'!$EP$57</f>
        <v>0</v>
      </c>
      <c r="E35" s="130">
        <f>'[3]Sky West_UA'!$EP$57</f>
        <v>0</v>
      </c>
      <c r="F35" s="130">
        <f>'[3]Sky West_AS'!$EP$57</f>
        <v>0</v>
      </c>
      <c r="G35" s="130">
        <f>[3]Republic!$EP$57</f>
        <v>0</v>
      </c>
      <c r="H35" s="130">
        <f>[3]Republic!$EP$57</f>
        <v>0</v>
      </c>
      <c r="I35" s="130">
        <f>[3]Republic!$EP$57</f>
        <v>0</v>
      </c>
      <c r="J35" s="130">
        <f>'[3]American Eagle'!$EP$57</f>
        <v>0</v>
      </c>
      <c r="K35" s="130">
        <f>'Other Regional'!M35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[3]Pinnacle!$EP$58</f>
        <v>0</v>
      </c>
      <c r="C36" s="132">
        <f>[3]MESA_UA!$EP$58</f>
        <v>0</v>
      </c>
      <c r="D36" s="130">
        <f>'[3]Sky West'!$EP$58</f>
        <v>0</v>
      </c>
      <c r="E36" s="130">
        <f>'[3]Sky West_UA'!$EP$58</f>
        <v>0</v>
      </c>
      <c r="F36" s="130">
        <f>'[3]Sky West_AS'!$EP$58</f>
        <v>0</v>
      </c>
      <c r="G36" s="130">
        <f>[3]Republic!$EP$58</f>
        <v>0</v>
      </c>
      <c r="H36" s="130">
        <f>[3]Republic!$EP$58</f>
        <v>0</v>
      </c>
      <c r="I36" s="130">
        <f>[3]Republic!$EP$58</f>
        <v>0</v>
      </c>
      <c r="J36" s="130">
        <f>'[3]American Eagle'!$EP$58</f>
        <v>0</v>
      </c>
      <c r="K36" s="130">
        <f>'Other Regional'!M36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0</v>
      </c>
      <c r="G40" s="130">
        <f t="shared" si="26"/>
        <v>0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0</v>
      </c>
      <c r="L40" s="110">
        <f>SUM(B40:K40)</f>
        <v>0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0</v>
      </c>
      <c r="G42" s="136">
        <f t="shared" si="26"/>
        <v>0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0</v>
      </c>
      <c r="L42" s="137">
        <f>SUM(B42:K42)</f>
        <v>0</v>
      </c>
    </row>
    <row r="44" spans="1:12" x14ac:dyDescent="0.2">
      <c r="A44" s="385" t="s">
        <v>128</v>
      </c>
      <c r="B44" s="325">
        <f>[3]Pinnacle!$EP$70+[3]Pinnacle!$EP$73</f>
        <v>38396</v>
      </c>
      <c r="D44" s="326">
        <f>'[3]Sky West'!$EP$70+'[3]Sky West'!$EP$73</f>
        <v>29091</v>
      </c>
      <c r="E44" s="326">
        <f>'[3]Sky West_UA'!$EP$70+'[3]Sky West_UA'!$EP$73</f>
        <v>0</v>
      </c>
      <c r="F44" s="5"/>
      <c r="K44" s="326">
        <f>+'Other Regional'!M46</f>
        <v>22498</v>
      </c>
      <c r="L44" s="314">
        <f>SUM(B44:K44)</f>
        <v>89985</v>
      </c>
    </row>
    <row r="45" spans="1:12" x14ac:dyDescent="0.2">
      <c r="A45" s="400" t="s">
        <v>129</v>
      </c>
      <c r="B45" s="325">
        <f>[3]Pinnacle!$EP$71+[3]Pinnacle!$EP$74</f>
        <v>83498</v>
      </c>
      <c r="D45" s="326">
        <f>'[3]Sky West'!$EP$71+'[3]Sky West'!$EP$74</f>
        <v>101948</v>
      </c>
      <c r="E45" s="326">
        <f>'[3]Sky West_UA'!$EP$71+'[3]Sky West_UA'!$EP$74</f>
        <v>0</v>
      </c>
      <c r="F45" s="5"/>
      <c r="K45" s="326">
        <f>+'Other Regional'!M47</f>
        <v>37411</v>
      </c>
      <c r="L45" s="314">
        <f>SUM(B45:K45)</f>
        <v>222857</v>
      </c>
    </row>
    <row r="46" spans="1:12" x14ac:dyDescent="0.2">
      <c r="A46" s="316" t="s">
        <v>130</v>
      </c>
      <c r="B46" s="317">
        <f>SUM(B44:B45)</f>
        <v>121894</v>
      </c>
      <c r="K46" s="2"/>
      <c r="L46" s="315"/>
    </row>
    <row r="47" spans="1:12" x14ac:dyDescent="0.2">
      <c r="A47" s="318"/>
      <c r="B47" s="319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May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zoomScaleNormal="100" zoomScaleSheetLayoutView="100" workbookViewId="0">
      <selection activeCell="N31" sqref="N3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8" bestFit="1" customWidth="1"/>
    <col min="10" max="10" width="9.7109375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6" customHeight="1" x14ac:dyDescent="0.2">
      <c r="A1" s="396"/>
    </row>
    <row r="2" spans="1:13" s="7" customFormat="1" ht="55.5" customHeight="1" x14ac:dyDescent="0.2">
      <c r="A2" s="389">
        <v>42491</v>
      </c>
      <c r="B2" s="453" t="s">
        <v>203</v>
      </c>
      <c r="C2" s="453" t="s">
        <v>202</v>
      </c>
      <c r="D2" s="453" t="s">
        <v>204</v>
      </c>
      <c r="E2" s="453" t="s">
        <v>138</v>
      </c>
      <c r="F2" s="453" t="s">
        <v>209</v>
      </c>
      <c r="G2" s="453" t="s">
        <v>208</v>
      </c>
      <c r="H2" s="453" t="s">
        <v>171</v>
      </c>
      <c r="I2" s="453" t="s">
        <v>183</v>
      </c>
      <c r="J2" s="453" t="s">
        <v>220</v>
      </c>
      <c r="K2" s="453" t="s">
        <v>210</v>
      </c>
      <c r="L2" s="453" t="s">
        <v>207</v>
      </c>
      <c r="M2" s="19" t="s">
        <v>24</v>
      </c>
    </row>
    <row r="3" spans="1:13" ht="15" x14ac:dyDescent="0.25">
      <c r="A3" s="284" t="s">
        <v>3</v>
      </c>
      <c r="B3" s="412"/>
      <c r="C3" s="412"/>
      <c r="D3" s="412"/>
      <c r="E3" s="412"/>
      <c r="F3" s="413"/>
      <c r="G3" s="413"/>
      <c r="H3" s="413"/>
      <c r="I3" s="413"/>
      <c r="J3" s="413"/>
      <c r="K3" s="413"/>
      <c r="L3" s="412"/>
      <c r="M3" s="478"/>
    </row>
    <row r="4" spans="1:13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33</v>
      </c>
      <c r="B5" s="131">
        <f>'[3]Shuttle America'!$EP$22</f>
        <v>2345</v>
      </c>
      <c r="C5" s="131">
        <f>'[3]Shuttle America_Delta'!$EP$22</f>
        <v>3883</v>
      </c>
      <c r="D5" s="131">
        <f>'[3]Jazz Air'!$EP$32</f>
        <v>0</v>
      </c>
      <c r="E5" s="21">
        <f>[3]Compass!$EP$22+[3]Compass!$EP$32</f>
        <v>40211</v>
      </c>
      <c r="F5" s="131">
        <f>'[3]Atlantic Southeast'!$EP$22+'[3]Atlantic Southeast'!$EP$32</f>
        <v>17166</v>
      </c>
      <c r="G5" s="131">
        <f>'[3]Continental Express'!$EP$22</f>
        <v>598</v>
      </c>
      <c r="H5" s="130">
        <f>'[3]Go Jet_UA'!$EP$22</f>
        <v>962</v>
      </c>
      <c r="I5" s="130">
        <f>'[3]Go Jet'!$EP$22</f>
        <v>0</v>
      </c>
      <c r="J5" s="130">
        <f>[3]PSA!$EP$22</f>
        <v>580</v>
      </c>
      <c r="K5" s="132">
        <f>'[3]Air Wisconsin'!$EP$22</f>
        <v>49</v>
      </c>
      <c r="L5" s="130">
        <f>[3]MESA!$EP$22</f>
        <v>0</v>
      </c>
      <c r="M5" s="110">
        <f>SUM(B5:L5)</f>
        <v>65794</v>
      </c>
    </row>
    <row r="6" spans="1:13" s="10" customFormat="1" x14ac:dyDescent="0.2">
      <c r="A6" s="62" t="s">
        <v>34</v>
      </c>
      <c r="B6" s="131">
        <f>'[3]Shuttle America'!$EP$23</f>
        <v>2787</v>
      </c>
      <c r="C6" s="131">
        <f>'[3]Shuttle America_Delta'!$EP$23</f>
        <v>3723</v>
      </c>
      <c r="D6" s="131">
        <f>'[3]Jazz Air'!$EP$33</f>
        <v>0</v>
      </c>
      <c r="E6" s="14">
        <f>[3]Compass!$EP$23+[3]Compass!$EP$33</f>
        <v>39213</v>
      </c>
      <c r="F6" s="131">
        <f>'[3]Atlantic Southeast'!$EP$23+'[3]Atlantic Southeast'!$EP$33</f>
        <v>16973</v>
      </c>
      <c r="G6" s="131">
        <f>'[3]Continental Express'!$EP$23</f>
        <v>667</v>
      </c>
      <c r="H6" s="130">
        <f>'[3]Go Jet_UA'!$EP$23</f>
        <v>986</v>
      </c>
      <c r="I6" s="130">
        <f>'[3]Go Jet'!$EP$23</f>
        <v>0</v>
      </c>
      <c r="J6" s="130">
        <f>[3]PSA!$EP$23</f>
        <v>507</v>
      </c>
      <c r="K6" s="132">
        <f>'[3]Air Wisconsin'!$EP$23</f>
        <v>0</v>
      </c>
      <c r="L6" s="130">
        <f>[3]MESA!$EP$23</f>
        <v>0</v>
      </c>
      <c r="M6" s="115">
        <f>SUM(B6:L6)</f>
        <v>64856</v>
      </c>
    </row>
    <row r="7" spans="1:13" ht="15" thickBot="1" x14ac:dyDescent="0.25">
      <c r="A7" s="73" t="s">
        <v>7</v>
      </c>
      <c r="B7" s="133">
        <f t="shared" ref="B7:L7" si="0">SUM(B5:B6)</f>
        <v>5132</v>
      </c>
      <c r="C7" s="133">
        <f t="shared" si="0"/>
        <v>7606</v>
      </c>
      <c r="D7" s="133">
        <f t="shared" si="0"/>
        <v>0</v>
      </c>
      <c r="E7" s="133">
        <f>SUM(E5:E6)</f>
        <v>79424</v>
      </c>
      <c r="F7" s="133">
        <f t="shared" si="0"/>
        <v>34139</v>
      </c>
      <c r="G7" s="133">
        <f t="shared" si="0"/>
        <v>1265</v>
      </c>
      <c r="H7" s="133">
        <f t="shared" si="0"/>
        <v>1948</v>
      </c>
      <c r="I7" s="133">
        <f t="shared" ref="I7:J7" si="1">SUM(I5:I6)</f>
        <v>0</v>
      </c>
      <c r="J7" s="133">
        <f t="shared" si="1"/>
        <v>1087</v>
      </c>
      <c r="K7" s="133">
        <f t="shared" si="0"/>
        <v>49</v>
      </c>
      <c r="L7" s="133">
        <f t="shared" si="0"/>
        <v>0</v>
      </c>
      <c r="M7" s="134">
        <f>SUM(M5:M6)</f>
        <v>130650</v>
      </c>
    </row>
    <row r="8" spans="1:13" ht="13.5" thickTop="1" x14ac:dyDescent="0.2">
      <c r="A8" s="62"/>
      <c r="B8" s="131"/>
      <c r="C8" s="131"/>
      <c r="D8" s="131"/>
      <c r="E8" s="346"/>
      <c r="F8" s="131"/>
      <c r="G8" s="131"/>
      <c r="H8" s="130"/>
      <c r="I8" s="130"/>
      <c r="J8" s="130"/>
      <c r="K8" s="132"/>
      <c r="L8" s="130"/>
      <c r="M8" s="135"/>
    </row>
    <row r="9" spans="1:13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130"/>
      <c r="J9" s="130"/>
      <c r="K9" s="132"/>
      <c r="L9" s="130"/>
      <c r="M9" s="110"/>
    </row>
    <row r="10" spans="1:13" x14ac:dyDescent="0.2">
      <c r="A10" s="62" t="s">
        <v>33</v>
      </c>
      <c r="B10" s="131">
        <f>'[3]Shuttle America'!$EP$27</f>
        <v>0</v>
      </c>
      <c r="C10" s="131">
        <f>'[3]Shuttle America_Delta'!$EP$27</f>
        <v>130</v>
      </c>
      <c r="D10" s="131">
        <f>'[3]Jazz Air'!$EP$37</f>
        <v>0</v>
      </c>
      <c r="E10" s="21">
        <f>[3]Compass!$EP$27+[3]Compass!$EP$37</f>
        <v>1360</v>
      </c>
      <c r="F10" s="21">
        <f>'[3]Atlantic Southeast'!$EP$27+'[3]Atlantic Southeast'!$EP$37</f>
        <v>524</v>
      </c>
      <c r="G10" s="131">
        <f>'[3]Continental Express'!$EP$27</f>
        <v>11</v>
      </c>
      <c r="H10" s="130">
        <f>'[3]Go Jet_UA'!$EP$27</f>
        <v>31</v>
      </c>
      <c r="I10" s="130">
        <f>'[3]Go Jet'!$EP$27</f>
        <v>0</v>
      </c>
      <c r="J10" s="130">
        <f>[3]PSA!$EP$27</f>
        <v>10</v>
      </c>
      <c r="K10" s="132">
        <f>'[3]Air Wisconsin'!$EP$27</f>
        <v>1</v>
      </c>
      <c r="L10" s="130">
        <f>[3]MESA!$EP$27</f>
        <v>0</v>
      </c>
      <c r="M10" s="110">
        <f>SUM(B10:L10)</f>
        <v>2067</v>
      </c>
    </row>
    <row r="11" spans="1:13" x14ac:dyDescent="0.2">
      <c r="A11" s="62" t="s">
        <v>36</v>
      </c>
      <c r="B11" s="131">
        <f>'[3]Shuttle America'!$EP$28</f>
        <v>0</v>
      </c>
      <c r="C11" s="131">
        <f>'[3]Shuttle America_Delta'!$EP$28</f>
        <v>133</v>
      </c>
      <c r="D11" s="131">
        <f>'[3]Jazz Air'!$EP$38</f>
        <v>0</v>
      </c>
      <c r="E11" s="14">
        <f>[3]Compass!$EP$28+[3]Compass!$EP$38</f>
        <v>1427</v>
      </c>
      <c r="F11" s="14">
        <f>'[3]Atlantic Southeast'!$EP$28+'[3]Atlantic Southeast'!$EP$38</f>
        <v>503</v>
      </c>
      <c r="G11" s="131">
        <f>'[3]Continental Express'!$EP$28</f>
        <v>21</v>
      </c>
      <c r="H11" s="130">
        <f>'[3]Go Jet_UA'!$EP$28</f>
        <v>32</v>
      </c>
      <c r="I11" s="130">
        <f>'[3]Go Jet'!$EP$28</f>
        <v>0</v>
      </c>
      <c r="J11" s="130">
        <f>[3]PSA!$EP$28</f>
        <v>14</v>
      </c>
      <c r="K11" s="132">
        <f>'[3]Air Wisconsin'!$EP$28</f>
        <v>0</v>
      </c>
      <c r="L11" s="130">
        <f>[3]MESA!$EP$28</f>
        <v>0</v>
      </c>
      <c r="M11" s="115">
        <f>SUM(B11:L11)</f>
        <v>2130</v>
      </c>
    </row>
    <row r="12" spans="1:13" ht="15" thickBot="1" x14ac:dyDescent="0.25">
      <c r="A12" s="74" t="s">
        <v>37</v>
      </c>
      <c r="B12" s="136">
        <f>SUM(B10:B11)</f>
        <v>0</v>
      </c>
      <c r="C12" s="136">
        <f>SUM(C10:C11)</f>
        <v>263</v>
      </c>
      <c r="D12" s="136">
        <f t="shared" ref="D12:L12" si="2">SUM(D10:D11)</f>
        <v>0</v>
      </c>
      <c r="E12" s="136">
        <f t="shared" si="2"/>
        <v>2787</v>
      </c>
      <c r="F12" s="136">
        <f t="shared" si="2"/>
        <v>1027</v>
      </c>
      <c r="G12" s="136">
        <f t="shared" si="2"/>
        <v>32</v>
      </c>
      <c r="H12" s="136">
        <f t="shared" si="2"/>
        <v>63</v>
      </c>
      <c r="I12" s="136">
        <f t="shared" ref="I12:J12" si="3">SUM(I10:I11)</f>
        <v>0</v>
      </c>
      <c r="J12" s="136">
        <f t="shared" si="3"/>
        <v>24</v>
      </c>
      <c r="K12" s="136">
        <f t="shared" si="2"/>
        <v>1</v>
      </c>
      <c r="L12" s="136">
        <f t="shared" si="2"/>
        <v>0</v>
      </c>
      <c r="M12" s="137">
        <f>SUM(B12:L12)</f>
        <v>4197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3"/>
      <c r="K14" s="104"/>
      <c r="L14" s="103"/>
      <c r="M14" s="105"/>
    </row>
    <row r="15" spans="1:13" x14ac:dyDescent="0.2">
      <c r="A15" s="62" t="s">
        <v>57</v>
      </c>
      <c r="B15" s="106">
        <f>'[3]Shuttle America'!$EP$4</f>
        <v>43</v>
      </c>
      <c r="C15" s="106">
        <f>'[3]Shuttle America_Delta'!$EP$4</f>
        <v>63</v>
      </c>
      <c r="D15" s="107">
        <f>'[3]Jazz Air'!$EP$15</f>
        <v>0</v>
      </c>
      <c r="E15" s="21">
        <f>[3]Compass!$EP$4+[3]Compass!$EP$15</f>
        <v>669</v>
      </c>
      <c r="F15" s="107">
        <f>'[3]Atlantic Southeast'!$EP$4+'[3]Atlantic Southeast'!$EP$15</f>
        <v>298</v>
      </c>
      <c r="G15" s="107">
        <f>'[3]Continental Express'!$EP$4</f>
        <v>13</v>
      </c>
      <c r="H15" s="106">
        <f>'[3]Go Jet_UA'!$EP$4</f>
        <v>15</v>
      </c>
      <c r="I15" s="106">
        <f>'[3]Go Jet'!$EP$4</f>
        <v>0</v>
      </c>
      <c r="J15" s="106">
        <f>[3]PSA!$EP$4</f>
        <v>9</v>
      </c>
      <c r="K15" s="108">
        <f>'[3]Air Wisconsin'!$EP$4</f>
        <v>1</v>
      </c>
      <c r="L15" s="106">
        <f>[3]MESA!$EP$4</f>
        <v>0</v>
      </c>
      <c r="M15" s="110">
        <f t="shared" ref="M15:M21" si="4">SUM(B15:L15)</f>
        <v>1111</v>
      </c>
    </row>
    <row r="16" spans="1:13" x14ac:dyDescent="0.2">
      <c r="A16" s="62" t="s">
        <v>58</v>
      </c>
      <c r="B16" s="111">
        <f>'[3]Shuttle America'!$EP$5</f>
        <v>43</v>
      </c>
      <c r="C16" s="111">
        <f>'[3]Shuttle America_Delta'!$EP$5</f>
        <v>63</v>
      </c>
      <c r="D16" s="112">
        <f>'[3]Jazz Air'!$EP$16</f>
        <v>0</v>
      </c>
      <c r="E16" s="14">
        <f>[3]Compass!$EP$5+[3]Compass!$EP$16</f>
        <v>668</v>
      </c>
      <c r="F16" s="112">
        <f>'[3]Atlantic Southeast'!$EP$5+'[3]Atlantic Southeast'!$EP$16</f>
        <v>297</v>
      </c>
      <c r="G16" s="112">
        <f>'[3]Continental Express'!$EP$5</f>
        <v>13</v>
      </c>
      <c r="H16" s="111">
        <f>'[3]Go Jet_UA'!$EP$5</f>
        <v>15</v>
      </c>
      <c r="I16" s="111">
        <f>'[3]Go Jet'!$EP$5</f>
        <v>0</v>
      </c>
      <c r="J16" s="111">
        <f>[3]PSA!$EP$5</f>
        <v>9</v>
      </c>
      <c r="K16" s="113">
        <f>'[3]Air Wisconsin'!$EP$5</f>
        <v>1</v>
      </c>
      <c r="L16" s="111">
        <f>[3]MESA!$EP$5</f>
        <v>0</v>
      </c>
      <c r="M16" s="115">
        <f t="shared" si="4"/>
        <v>1109</v>
      </c>
    </row>
    <row r="17" spans="1:13" x14ac:dyDescent="0.2">
      <c r="A17" s="71" t="s">
        <v>59</v>
      </c>
      <c r="B17" s="116">
        <f>SUM(B15:B16)</f>
        <v>86</v>
      </c>
      <c r="C17" s="116">
        <f>SUM(C15:C16)</f>
        <v>126</v>
      </c>
      <c r="D17" s="116">
        <f t="shared" ref="D17:L17" si="5">SUM(D15:D16)</f>
        <v>0</v>
      </c>
      <c r="E17" s="291">
        <f>SUM(E15:E16)</f>
        <v>1337</v>
      </c>
      <c r="F17" s="116">
        <f t="shared" si="5"/>
        <v>595</v>
      </c>
      <c r="G17" s="116">
        <f t="shared" si="5"/>
        <v>26</v>
      </c>
      <c r="H17" s="116">
        <f t="shared" si="5"/>
        <v>30</v>
      </c>
      <c r="I17" s="116">
        <f t="shared" ref="I17:J17" si="6">SUM(I15:I16)</f>
        <v>0</v>
      </c>
      <c r="J17" s="116">
        <f t="shared" si="6"/>
        <v>18</v>
      </c>
      <c r="K17" s="116">
        <f t="shared" si="5"/>
        <v>2</v>
      </c>
      <c r="L17" s="116">
        <f t="shared" si="5"/>
        <v>0</v>
      </c>
      <c r="M17" s="117">
        <f t="shared" si="4"/>
        <v>2220</v>
      </c>
    </row>
    <row r="18" spans="1:13" x14ac:dyDescent="0.2">
      <c r="A18" s="62" t="s">
        <v>60</v>
      </c>
      <c r="B18" s="118">
        <f>'[3]Shuttle America'!$EP$8</f>
        <v>0</v>
      </c>
      <c r="C18" s="118">
        <f>'[3]Shuttle America_Delta'!$EP$8</f>
        <v>0</v>
      </c>
      <c r="D18" s="118">
        <f>'[3]Jazz Air'!$EP$8</f>
        <v>0</v>
      </c>
      <c r="E18" s="21">
        <f>[3]Compass!$EP$8</f>
        <v>0</v>
      </c>
      <c r="F18" s="109">
        <f>'[3]Atlantic Southeast'!$EP$8</f>
        <v>0</v>
      </c>
      <c r="G18" s="109">
        <f>'[3]Continental Express'!$EP$8</f>
        <v>0</v>
      </c>
      <c r="H18" s="118">
        <f>'[3]Go Jet_UA'!$EP$8</f>
        <v>0</v>
      </c>
      <c r="I18" s="118">
        <f>'[3]Go Jet'!$EP$8</f>
        <v>0</v>
      </c>
      <c r="J18" s="118">
        <f>[3]PSA!$EP$8</f>
        <v>0</v>
      </c>
      <c r="K18" s="119">
        <f>'[3]Air Wisconsin'!$EP$8</f>
        <v>0</v>
      </c>
      <c r="L18" s="118">
        <f>[3]MESA!$EP$8</f>
        <v>0</v>
      </c>
      <c r="M18" s="110">
        <f t="shared" si="4"/>
        <v>0</v>
      </c>
    </row>
    <row r="19" spans="1:13" x14ac:dyDescent="0.2">
      <c r="A19" s="62" t="s">
        <v>61</v>
      </c>
      <c r="B19" s="120">
        <f>'[3]Shuttle America'!$EP$9</f>
        <v>0</v>
      </c>
      <c r="C19" s="120">
        <f>'[3]Shuttle America_Delta'!$EP$9</f>
        <v>0</v>
      </c>
      <c r="D19" s="120">
        <f>'[3]Jazz Air'!$EP$9</f>
        <v>0</v>
      </c>
      <c r="E19" s="14">
        <f>[3]Compass!$EP$9</f>
        <v>2</v>
      </c>
      <c r="F19" s="114">
        <f>'[3]Atlantic Southeast'!$EP$9</f>
        <v>0</v>
      </c>
      <c r="G19" s="114">
        <f>'[3]Continental Express'!$EP$9</f>
        <v>0</v>
      </c>
      <c r="H19" s="120">
        <f>'[3]Go Jet_UA'!$EP$9</f>
        <v>0</v>
      </c>
      <c r="I19" s="120">
        <f>'[3]Go Jet'!$EP$9</f>
        <v>0</v>
      </c>
      <c r="J19" s="120">
        <f>[3]PSA!$EP$9</f>
        <v>0</v>
      </c>
      <c r="K19" s="121">
        <f>'[3]Air Wisconsin'!$EP$9</f>
        <v>0</v>
      </c>
      <c r="L19" s="120">
        <f>[3]MESA!$EP$9</f>
        <v>0</v>
      </c>
      <c r="M19" s="115">
        <f t="shared" si="4"/>
        <v>2</v>
      </c>
    </row>
    <row r="20" spans="1:13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L20" si="7">SUM(D18:D19)</f>
        <v>0</v>
      </c>
      <c r="E20" s="291">
        <f>SUM(E18:E19)</f>
        <v>2</v>
      </c>
      <c r="F20" s="116">
        <f t="shared" si="7"/>
        <v>0</v>
      </c>
      <c r="G20" s="116">
        <f t="shared" si="7"/>
        <v>0</v>
      </c>
      <c r="H20" s="116">
        <f t="shared" si="7"/>
        <v>0</v>
      </c>
      <c r="I20" s="116">
        <f t="shared" ref="I20:J20" si="8">SUM(I18:I19)</f>
        <v>0</v>
      </c>
      <c r="J20" s="116">
        <f t="shared" si="8"/>
        <v>0</v>
      </c>
      <c r="K20" s="116">
        <f t="shared" si="7"/>
        <v>0</v>
      </c>
      <c r="L20" s="116">
        <f t="shared" si="7"/>
        <v>0</v>
      </c>
      <c r="M20" s="117">
        <f t="shared" si="4"/>
        <v>2</v>
      </c>
    </row>
    <row r="21" spans="1:13" ht="15.75" thickBot="1" x14ac:dyDescent="0.3">
      <c r="A21" s="72" t="s">
        <v>31</v>
      </c>
      <c r="B21" s="122">
        <f>SUM(B20,B17)</f>
        <v>86</v>
      </c>
      <c r="C21" s="122">
        <f>SUM(C20,C17)</f>
        <v>126</v>
      </c>
      <c r="D21" s="122">
        <f t="shared" ref="D21:L21" si="9">SUM(D20,D17)</f>
        <v>0</v>
      </c>
      <c r="E21" s="122">
        <f t="shared" si="9"/>
        <v>1339</v>
      </c>
      <c r="F21" s="122">
        <f t="shared" si="9"/>
        <v>595</v>
      </c>
      <c r="G21" s="122">
        <f t="shared" si="9"/>
        <v>26</v>
      </c>
      <c r="H21" s="122">
        <f t="shared" si="9"/>
        <v>30</v>
      </c>
      <c r="I21" s="122">
        <f t="shared" ref="I21:J21" si="10">SUM(I20,I17)</f>
        <v>0</v>
      </c>
      <c r="J21" s="122">
        <f t="shared" si="10"/>
        <v>18</v>
      </c>
      <c r="K21" s="122">
        <f t="shared" si="9"/>
        <v>2</v>
      </c>
      <c r="L21" s="122">
        <f t="shared" si="9"/>
        <v>0</v>
      </c>
      <c r="M21" s="123">
        <f t="shared" si="4"/>
        <v>2222</v>
      </c>
    </row>
    <row r="22" spans="1:13" ht="3.75" customHeight="1" thickBot="1" x14ac:dyDescent="0.25"/>
    <row r="23" spans="1:13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8"/>
      <c r="K23" s="139"/>
      <c r="L23" s="138"/>
      <c r="M23" s="140"/>
    </row>
    <row r="24" spans="1:13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0"/>
      <c r="K24" s="132"/>
      <c r="L24" s="130"/>
      <c r="M24" s="110"/>
    </row>
    <row r="25" spans="1:13" x14ac:dyDescent="0.2">
      <c r="A25" s="75" t="s">
        <v>40</v>
      </c>
      <c r="B25" s="130">
        <f>'[3]Shuttle America'!$EP$47</f>
        <v>0</v>
      </c>
      <c r="C25" s="130">
        <f>'[3]Shuttle America_Delta'!$EP$47</f>
        <v>0</v>
      </c>
      <c r="D25" s="130">
        <f>'[3]Jazz Air'!$EP$47</f>
        <v>0</v>
      </c>
      <c r="E25" s="130">
        <f>[3]Compass!$EP$47</f>
        <v>0</v>
      </c>
      <c r="F25" s="131">
        <f>'[3]Atlantic Southeast'!$EP$47</f>
        <v>0</v>
      </c>
      <c r="G25" s="131">
        <f>'[3]Continental Express'!$EP$47</f>
        <v>0</v>
      </c>
      <c r="H25" s="130">
        <f>'[3]Go Jet_UA'!$EP$47</f>
        <v>0</v>
      </c>
      <c r="I25" s="130">
        <f>'[3]Go Jet'!$EP$47</f>
        <v>0</v>
      </c>
      <c r="J25" s="130">
        <f>[3]PSA!$EP$47</f>
        <v>0</v>
      </c>
      <c r="K25" s="132">
        <f>'[3]Air Wisconsin'!$EP$47</f>
        <v>0</v>
      </c>
      <c r="L25" s="130">
        <f>[3]MESA!$EP$47</f>
        <v>0</v>
      </c>
      <c r="M25" s="110">
        <f>SUM(B25:L25)</f>
        <v>0</v>
      </c>
    </row>
    <row r="26" spans="1:13" x14ac:dyDescent="0.2">
      <c r="A26" s="75" t="s">
        <v>41</v>
      </c>
      <c r="B26" s="130">
        <f>'[3]Shuttle America'!$EP$48</f>
        <v>0</v>
      </c>
      <c r="C26" s="130">
        <f>'[3]Shuttle America_Delta'!$EP$48</f>
        <v>0</v>
      </c>
      <c r="D26" s="130">
        <f>'[3]Jazz Air'!$EP$48</f>
        <v>0</v>
      </c>
      <c r="E26" s="130">
        <f>[3]Compass!$EP$48</f>
        <v>0</v>
      </c>
      <c r="F26" s="131">
        <f>'[3]Atlantic Southeast'!$EP$48</f>
        <v>0</v>
      </c>
      <c r="G26" s="131">
        <f>'[3]Continental Express'!$EP$48</f>
        <v>0</v>
      </c>
      <c r="H26" s="130">
        <f>'[3]Go Jet_UA'!$EP$48</f>
        <v>0</v>
      </c>
      <c r="I26" s="130">
        <f>'[3]Go Jet'!$EP$48</f>
        <v>0</v>
      </c>
      <c r="J26" s="130">
        <f>[3]PSA!$EP$48</f>
        <v>0</v>
      </c>
      <c r="K26" s="132">
        <f>'[3]Air Wisconsin'!$EP$48</f>
        <v>0</v>
      </c>
      <c r="L26" s="130">
        <f>[3]MESA!$EP$48</f>
        <v>0</v>
      </c>
      <c r="M26" s="110">
        <f>SUM(B26:L26)</f>
        <v>0</v>
      </c>
    </row>
    <row r="27" spans="1:13" ht="15" thickBot="1" x14ac:dyDescent="0.25">
      <c r="A27" s="73" t="s">
        <v>42</v>
      </c>
      <c r="B27" s="133">
        <f>SUM(B25:B26)</f>
        <v>0</v>
      </c>
      <c r="C27" s="133">
        <f>SUM(C25:C26)</f>
        <v>0</v>
      </c>
      <c r="D27" s="133">
        <f t="shared" ref="D27:L27" si="11">SUM(D25:D26)</f>
        <v>0</v>
      </c>
      <c r="E27" s="133">
        <f>SUM(E25:E26)</f>
        <v>0</v>
      </c>
      <c r="F27" s="133">
        <f t="shared" si="11"/>
        <v>0</v>
      </c>
      <c r="G27" s="133">
        <f t="shared" si="11"/>
        <v>0</v>
      </c>
      <c r="H27" s="133">
        <f t="shared" si="11"/>
        <v>0</v>
      </c>
      <c r="I27" s="133">
        <f t="shared" ref="I27:J27" si="12">SUM(I25:I26)</f>
        <v>0</v>
      </c>
      <c r="J27" s="133">
        <f t="shared" si="12"/>
        <v>0</v>
      </c>
      <c r="K27" s="133">
        <f t="shared" si="11"/>
        <v>0</v>
      </c>
      <c r="L27" s="133">
        <f t="shared" si="11"/>
        <v>0</v>
      </c>
      <c r="M27" s="134">
        <f>SUM(B27:L27)</f>
        <v>0</v>
      </c>
    </row>
    <row r="28" spans="1:13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0"/>
      <c r="K28" s="132"/>
      <c r="L28" s="130"/>
      <c r="M28" s="110"/>
    </row>
    <row r="29" spans="1:13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0"/>
      <c r="K29" s="132"/>
      <c r="L29" s="130"/>
      <c r="M29" s="110"/>
    </row>
    <row r="30" spans="1:13" x14ac:dyDescent="0.2">
      <c r="A30" s="75" t="s">
        <v>63</v>
      </c>
      <c r="B30" s="130">
        <f>'[3]Shuttle America'!$EP$52</f>
        <v>0</v>
      </c>
      <c r="C30" s="130">
        <f>'[3]Shuttle America_Delta'!$EP$52</f>
        <v>0</v>
      </c>
      <c r="D30" s="130">
        <f>'[3]Jazz Air'!$EP$52</f>
        <v>0</v>
      </c>
      <c r="E30" s="130">
        <f>[3]Compass!$EP$52</f>
        <v>0</v>
      </c>
      <c r="F30" s="131">
        <f>'[3]Atlantic Southeast'!$EP$52</f>
        <v>0</v>
      </c>
      <c r="G30" s="131">
        <f>'[3]Continental Express'!$EP$52</f>
        <v>0</v>
      </c>
      <c r="H30" s="130">
        <f>'[3]Go Jet_UA'!$EP$52</f>
        <v>0</v>
      </c>
      <c r="I30" s="130">
        <f>'[3]Go Jet'!$EP$52</f>
        <v>0</v>
      </c>
      <c r="J30" s="130">
        <f>[3]PSA!$EP$52</f>
        <v>0</v>
      </c>
      <c r="K30" s="132">
        <f>'[3]Air Wisconsin'!BH$52</f>
        <v>0</v>
      </c>
      <c r="L30" s="130">
        <f>[3]MESA!$EP$52</f>
        <v>0</v>
      </c>
      <c r="M30" s="110">
        <f>SUM(B30:L30)</f>
        <v>0</v>
      </c>
    </row>
    <row r="31" spans="1:13" x14ac:dyDescent="0.2">
      <c r="A31" s="75" t="s">
        <v>64</v>
      </c>
      <c r="B31" s="130">
        <f>'[3]Shuttle America'!$EP$53</f>
        <v>0</v>
      </c>
      <c r="C31" s="130">
        <f>'[3]Shuttle America_Delta'!$EP$53</f>
        <v>0</v>
      </c>
      <c r="D31" s="130">
        <f>'[3]Jazz Air'!$EP$53</f>
        <v>0</v>
      </c>
      <c r="E31" s="130">
        <f>[3]Compass!$EP$53</f>
        <v>0</v>
      </c>
      <c r="F31" s="131">
        <f>'[3]Atlantic Southeast'!$EP$53</f>
        <v>0</v>
      </c>
      <c r="G31" s="131">
        <f>'[3]Continental Express'!$EP$53</f>
        <v>0</v>
      </c>
      <c r="H31" s="130">
        <f>'[3]Go Jet_UA'!$EP$53</f>
        <v>0</v>
      </c>
      <c r="I31" s="130">
        <f>'[3]Go Jet'!$EP$53</f>
        <v>0</v>
      </c>
      <c r="J31" s="130">
        <f>[3]PSA!$EP$53</f>
        <v>0</v>
      </c>
      <c r="K31" s="132">
        <f>'[3]Air Wisconsin'!$EP$53</f>
        <v>0</v>
      </c>
      <c r="L31" s="130">
        <f>[3]MESA!$EP$53</f>
        <v>0</v>
      </c>
      <c r="M31" s="110">
        <f>SUM(B31:L31)</f>
        <v>0</v>
      </c>
    </row>
    <row r="32" spans="1:13" ht="15" thickBot="1" x14ac:dyDescent="0.25">
      <c r="A32" s="73" t="s">
        <v>44</v>
      </c>
      <c r="B32" s="133">
        <f t="shared" ref="B32:L32" si="13">SUM(B30:B31)</f>
        <v>0</v>
      </c>
      <c r="C32" s="133">
        <f t="shared" si="13"/>
        <v>0</v>
      </c>
      <c r="D32" s="133">
        <f t="shared" si="13"/>
        <v>0</v>
      </c>
      <c r="E32" s="133">
        <f t="shared" si="13"/>
        <v>0</v>
      </c>
      <c r="F32" s="133">
        <f t="shared" si="13"/>
        <v>0</v>
      </c>
      <c r="G32" s="133">
        <f t="shared" si="13"/>
        <v>0</v>
      </c>
      <c r="H32" s="133">
        <f t="shared" si="13"/>
        <v>0</v>
      </c>
      <c r="I32" s="133">
        <f t="shared" ref="I32:J32" si="14">SUM(I30:I31)</f>
        <v>0</v>
      </c>
      <c r="J32" s="133">
        <f t="shared" si="14"/>
        <v>0</v>
      </c>
      <c r="K32" s="133">
        <f t="shared" si="13"/>
        <v>0</v>
      </c>
      <c r="L32" s="133">
        <f t="shared" si="13"/>
        <v>0</v>
      </c>
      <c r="M32" s="134">
        <f>SUM(B32:L32)</f>
        <v>0</v>
      </c>
    </row>
    <row r="33" spans="1:13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0"/>
      <c r="K33" s="132"/>
      <c r="L33" s="130"/>
      <c r="M33" s="110"/>
    </row>
    <row r="34" spans="1:13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0"/>
      <c r="K34" s="132"/>
      <c r="L34" s="130"/>
      <c r="M34" s="110"/>
    </row>
    <row r="35" spans="1:13" ht="13.5" hidden="1" thickTop="1" x14ac:dyDescent="0.2">
      <c r="A35" s="75" t="s">
        <v>40</v>
      </c>
      <c r="B35" s="130">
        <f>'[3]Shuttle America'!$EP$57</f>
        <v>0</v>
      </c>
      <c r="C35" s="130">
        <f>'[3]Shuttle America_Delta'!$EP$57</f>
        <v>0</v>
      </c>
      <c r="D35" s="130">
        <f>'[3]Jazz Air'!$EP$57</f>
        <v>0</v>
      </c>
      <c r="E35" s="130">
        <f>[3]Compass!$EP$57</f>
        <v>0</v>
      </c>
      <c r="F35" s="131">
        <f>'[3]Atlantic Southeast'!$EP$57</f>
        <v>0</v>
      </c>
      <c r="G35" s="131">
        <f>'[3]Continental Express'!$EP$57</f>
        <v>0</v>
      </c>
      <c r="H35" s="130">
        <f>'[3]Go Jet_UA'!$AJ$57</f>
        <v>0</v>
      </c>
      <c r="I35" s="130">
        <f>'[3]Go Jet'!$AJ$57</f>
        <v>0</v>
      </c>
      <c r="J35" s="130">
        <f>[3]PSA!$AJ$57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'[3]Jazz Air'!BG$58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0">
        <f>[3]PSA!$AJ$58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L37" si="15">SUM(D35:D36)</f>
        <v>0</v>
      </c>
      <c r="E37" s="141">
        <f>SUM(E35:E36)</f>
        <v>0</v>
      </c>
      <c r="F37" s="142">
        <f t="shared" si="15"/>
        <v>0</v>
      </c>
      <c r="G37" s="142">
        <f t="shared" si="15"/>
        <v>0</v>
      </c>
      <c r="H37" s="141">
        <f t="shared" si="15"/>
        <v>0</v>
      </c>
      <c r="I37" s="141">
        <f t="shared" ref="I37:J37" si="16">SUM(I35:I36)</f>
        <v>0</v>
      </c>
      <c r="J37" s="141">
        <f t="shared" si="16"/>
        <v>0</v>
      </c>
      <c r="K37" s="141">
        <f t="shared" si="15"/>
        <v>0</v>
      </c>
      <c r="L37" s="141">
        <f t="shared" si="15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0"/>
      <c r="K38" s="132"/>
      <c r="L38" s="130"/>
      <c r="M38" s="110"/>
    </row>
    <row r="39" spans="1:13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0"/>
      <c r="K39" s="132"/>
      <c r="L39" s="130"/>
      <c r="M39" s="110"/>
    </row>
    <row r="40" spans="1:13" x14ac:dyDescent="0.2">
      <c r="A40" s="75" t="s">
        <v>48</v>
      </c>
      <c r="B40" s="130">
        <f t="shared" ref="B40:L40" si="17">SUM(B35,B30,B25)</f>
        <v>0</v>
      </c>
      <c r="C40" s="130">
        <f>SUM(C35,C30,C25)</f>
        <v>0</v>
      </c>
      <c r="D40" s="130">
        <f t="shared" si="17"/>
        <v>0</v>
      </c>
      <c r="E40" s="130">
        <f t="shared" si="17"/>
        <v>0</v>
      </c>
      <c r="F40" s="130">
        <f t="shared" si="17"/>
        <v>0</v>
      </c>
      <c r="G40" s="130">
        <f t="shared" si="17"/>
        <v>0</v>
      </c>
      <c r="H40" s="130">
        <f t="shared" ref="H40:J41" si="18">SUM(H35,H30,H25)</f>
        <v>0</v>
      </c>
      <c r="I40" s="130">
        <f t="shared" si="18"/>
        <v>0</v>
      </c>
      <c r="J40" s="130">
        <f t="shared" si="18"/>
        <v>0</v>
      </c>
      <c r="K40" s="130">
        <f t="shared" si="17"/>
        <v>0</v>
      </c>
      <c r="L40" s="130">
        <f t="shared" si="17"/>
        <v>0</v>
      </c>
      <c r="M40" s="110">
        <f>SUM(B40:L40)</f>
        <v>0</v>
      </c>
    </row>
    <row r="41" spans="1:13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L41" si="19">SUM(D36,D31,D26)</f>
        <v>0</v>
      </c>
      <c r="E41" s="130">
        <f t="shared" si="19"/>
        <v>0</v>
      </c>
      <c r="F41" s="130">
        <f t="shared" si="19"/>
        <v>0</v>
      </c>
      <c r="G41" s="130">
        <f t="shared" si="19"/>
        <v>0</v>
      </c>
      <c r="H41" s="130">
        <f t="shared" si="18"/>
        <v>0</v>
      </c>
      <c r="I41" s="130">
        <f t="shared" si="18"/>
        <v>0</v>
      </c>
      <c r="J41" s="130">
        <f t="shared" si="18"/>
        <v>0</v>
      </c>
      <c r="K41" s="130">
        <f t="shared" si="19"/>
        <v>0</v>
      </c>
      <c r="L41" s="130">
        <f t="shared" si="19"/>
        <v>0</v>
      </c>
      <c r="M41" s="110">
        <f>SUM(B41:L41)</f>
        <v>0</v>
      </c>
    </row>
    <row r="42" spans="1:13" ht="15" thickBot="1" x14ac:dyDescent="0.25">
      <c r="A42" s="74" t="s">
        <v>49</v>
      </c>
      <c r="B42" s="136">
        <f>SUM(B40:B41)</f>
        <v>0</v>
      </c>
      <c r="C42" s="136">
        <f>SUM(C40:C41)</f>
        <v>0</v>
      </c>
      <c r="D42" s="136">
        <f t="shared" ref="D42:L42" si="20">SUM(D40:D41)</f>
        <v>0</v>
      </c>
      <c r="E42" s="136">
        <f t="shared" si="20"/>
        <v>0</v>
      </c>
      <c r="F42" s="136">
        <f t="shared" si="20"/>
        <v>0</v>
      </c>
      <c r="G42" s="136">
        <f t="shared" si="20"/>
        <v>0</v>
      </c>
      <c r="H42" s="136">
        <f t="shared" si="20"/>
        <v>0</v>
      </c>
      <c r="I42" s="136">
        <f t="shared" ref="I42:J42" si="21">SUM(I40:I41)</f>
        <v>0</v>
      </c>
      <c r="J42" s="136">
        <f t="shared" si="21"/>
        <v>0</v>
      </c>
      <c r="K42" s="136">
        <f t="shared" si="20"/>
        <v>0</v>
      </c>
      <c r="L42" s="136">
        <f t="shared" si="20"/>
        <v>0</v>
      </c>
      <c r="M42" s="137">
        <f>SUM(B42:L42)</f>
        <v>0</v>
      </c>
    </row>
    <row r="43" spans="1:13" ht="4.5" customHeight="1" x14ac:dyDescent="0.2"/>
    <row r="44" spans="1:13" hidden="1" x14ac:dyDescent="0.2">
      <c r="A44" s="327" t="s">
        <v>131</v>
      </c>
      <c r="E44" s="326">
        <f>[3]Compass!BG$70+[3]Compass!BG$73</f>
        <v>27782</v>
      </c>
      <c r="F44" s="312"/>
      <c r="M44" s="314">
        <f>SUM(E44:E44)</f>
        <v>27782</v>
      </c>
    </row>
    <row r="45" spans="1:13" hidden="1" x14ac:dyDescent="0.2">
      <c r="A45" s="327" t="s">
        <v>132</v>
      </c>
      <c r="E45" s="326">
        <f>[3]Compass!BG$71+[3]Compass!BG$74</f>
        <v>47176</v>
      </c>
      <c r="F45" s="330"/>
      <c r="M45" s="314">
        <f>SUM(E45:E45)</f>
        <v>47176</v>
      </c>
    </row>
    <row r="46" spans="1:13" x14ac:dyDescent="0.2">
      <c r="A46" s="385" t="s">
        <v>128</v>
      </c>
      <c r="C46" s="326">
        <f>'[3]Shuttle America_Delta'!$EP$70+'[3]Shuttle America_Delta'!$EP$73</f>
        <v>1258</v>
      </c>
      <c r="E46" s="326">
        <f>[3]Compass!$EP$70+[3]Compass!$EP$73</f>
        <v>15333</v>
      </c>
      <c r="F46" s="326">
        <f>'[3]Atlantic Southeast'!$EP$70+'[3]Atlantic Southeast'!$EP$73</f>
        <v>5907</v>
      </c>
      <c r="H46" s="326">
        <f>'[3]Go Jet'!$EP$70+'[3]Go Jet'!$EP$73</f>
        <v>0</v>
      </c>
      <c r="I46" s="5"/>
      <c r="J46" s="5"/>
      <c r="M46" s="399">
        <f>SUM(B46:L46)</f>
        <v>22498</v>
      </c>
    </row>
    <row r="47" spans="1:13" x14ac:dyDescent="0.2">
      <c r="A47" s="400" t="s">
        <v>129</v>
      </c>
      <c r="C47" s="326">
        <f>'[3]Shuttle America_Delta'!$EP$71+'[3]Shuttle America_Delta'!$EP$74</f>
        <v>2465</v>
      </c>
      <c r="E47" s="326">
        <f>[3]Compass!$EP$71+[3]Compass!$EP$74</f>
        <v>23880</v>
      </c>
      <c r="F47" s="326">
        <f>'[3]Atlantic Southeast'!$EP$71+'[3]Atlantic Southeast'!$EP$74</f>
        <v>11066</v>
      </c>
      <c r="H47" s="326">
        <f>'[3]Go Jet'!$EP$71+'[3]Go Jet'!$EP$74</f>
        <v>0</v>
      </c>
      <c r="I47" s="5"/>
      <c r="J47" s="5"/>
      <c r="M47" s="399">
        <f>SUM(B47:L47)</f>
        <v>37411</v>
      </c>
    </row>
  </sheetData>
  <phoneticPr fontId="6" type="noConversion"/>
  <printOptions horizontalCentered="1"/>
  <pageMargins left="0.75" right="0.75" top="0.92" bottom="1" header="0.5" footer="0.5"/>
  <pageSetup scale="90" orientation="landscape" r:id="rId1"/>
  <headerFooter alignWithMargins="0">
    <oddHeader>&amp;L
Schedule 5
&amp;CMinneapolis-St. Paul International Airport
&amp;"Arial,Bold"Other Regional
May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2" sqref="E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9">
        <v>42491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29"/>
      <c r="C4" s="184"/>
      <c r="D4" s="184"/>
      <c r="E4" s="184"/>
      <c r="F4" s="184"/>
      <c r="G4" s="254"/>
    </row>
    <row r="5" spans="1:17" x14ac:dyDescent="0.2">
      <c r="A5" s="62" t="s">
        <v>33</v>
      </c>
      <c r="B5" s="429">
        <f>'[3]Charter Misc'!$EP$22</f>
        <v>11</v>
      </c>
      <c r="C5" s="184">
        <f>[3]Ryan!$EP$22</f>
        <v>0</v>
      </c>
      <c r="D5" s="184">
        <f>'[3]Charter Misc'!$EP$32</f>
        <v>0</v>
      </c>
      <c r="E5" s="184">
        <f>[3]Omni!$EP$32</f>
        <v>0</v>
      </c>
      <c r="F5" s="184">
        <f>[3]Xtra!$EP$32+[3]Xtra!$EP$22</f>
        <v>0</v>
      </c>
      <c r="G5" s="345">
        <f>SUM(B5:F5)</f>
        <v>11</v>
      </c>
    </row>
    <row r="6" spans="1:17" x14ac:dyDescent="0.2">
      <c r="A6" s="62" t="s">
        <v>34</v>
      </c>
      <c r="B6" s="430">
        <f>'[3]Charter Misc'!$EP$23</f>
        <v>86</v>
      </c>
      <c r="C6" s="187">
        <f>[3]Ryan!$EP$23</f>
        <v>0</v>
      </c>
      <c r="D6" s="187">
        <f>'[3]Charter Misc'!$EP$33</f>
        <v>0</v>
      </c>
      <c r="E6" s="187">
        <f>[3]Omni!$EP$33</f>
        <v>243</v>
      </c>
      <c r="F6" s="187">
        <f>[3]Xtra!$EP$33+[3]Xtra!$EP$23</f>
        <v>0</v>
      </c>
      <c r="G6" s="344">
        <f>SUM(B6:F6)</f>
        <v>329</v>
      </c>
    </row>
    <row r="7" spans="1:17" ht="15.75" thickBot="1" x14ac:dyDescent="0.3">
      <c r="A7" s="183" t="s">
        <v>7</v>
      </c>
      <c r="B7" s="431">
        <f>SUM(B5:B6)</f>
        <v>97</v>
      </c>
      <c r="C7" s="302">
        <f>SUM(C5:C6)</f>
        <v>0</v>
      </c>
      <c r="D7" s="302">
        <f>SUM(D5:D6)</f>
        <v>0</v>
      </c>
      <c r="E7" s="302">
        <f>SUM(E5:E6)</f>
        <v>243</v>
      </c>
      <c r="F7" s="302">
        <f>SUM(F5:F6)</f>
        <v>0</v>
      </c>
      <c r="G7" s="303">
        <f>SUM(B7:F7)</f>
        <v>340</v>
      </c>
    </row>
    <row r="8" spans="1:17" ht="13.5" thickBot="1" x14ac:dyDescent="0.25"/>
    <row r="9" spans="1:17" x14ac:dyDescent="0.2">
      <c r="A9" s="181" t="s">
        <v>9</v>
      </c>
      <c r="B9" s="432"/>
      <c r="C9" s="45"/>
      <c r="D9" s="45"/>
      <c r="E9" s="45"/>
      <c r="F9" s="45"/>
      <c r="G9" s="57"/>
    </row>
    <row r="10" spans="1:17" x14ac:dyDescent="0.2">
      <c r="A10" s="182" t="s">
        <v>84</v>
      </c>
      <c r="B10" s="429">
        <f>'[3]Charter Misc'!$EP$4</f>
        <v>3</v>
      </c>
      <c r="C10" s="184">
        <f>[3]Ryan!$EP$4</f>
        <v>0</v>
      </c>
      <c r="D10" s="184">
        <f>'[3]Charter Misc'!$EP$15</f>
        <v>0</v>
      </c>
      <c r="E10" s="184">
        <f>[3]Omni!$EP$15+[3]Omni!$EP$8</f>
        <v>1</v>
      </c>
      <c r="F10" s="184">
        <f>[3]Xtra!$EP$15+[3]Xtra!$EP$4</f>
        <v>0</v>
      </c>
      <c r="G10" s="344">
        <f>SUM(B10:F10)</f>
        <v>4</v>
      </c>
    </row>
    <row r="11" spans="1:17" x14ac:dyDescent="0.2">
      <c r="A11" s="182" t="s">
        <v>85</v>
      </c>
      <c r="B11" s="429">
        <f>'[3]Charter Misc'!$EP$5</f>
        <v>3</v>
      </c>
      <c r="C11" s="184">
        <f>[3]Ryan!$EP$5</f>
        <v>0</v>
      </c>
      <c r="D11" s="184">
        <f>'[3]Charter Misc'!$EP$16</f>
        <v>0</v>
      </c>
      <c r="E11" s="184">
        <f>[3]Omni!$EP$16+[3]Omni!$EP$9</f>
        <v>1</v>
      </c>
      <c r="F11" s="184">
        <f>[3]Xtra!$EP$16+[3]Xtra!$EP$5</f>
        <v>0</v>
      </c>
      <c r="G11" s="344">
        <f>SUM(B11:F11)</f>
        <v>4</v>
      </c>
    </row>
    <row r="12" spans="1:17" ht="15.75" thickBot="1" x14ac:dyDescent="0.3">
      <c r="A12" s="282" t="s">
        <v>31</v>
      </c>
      <c r="B12" s="433">
        <f>SUM(B10:B11)</f>
        <v>6</v>
      </c>
      <c r="C12" s="304">
        <f>SUM(C10:C11)</f>
        <v>0</v>
      </c>
      <c r="D12" s="304">
        <f>SUM(D10:D11)</f>
        <v>0</v>
      </c>
      <c r="E12" s="304">
        <f>SUM(E10:E11)</f>
        <v>2</v>
      </c>
      <c r="F12" s="304">
        <f>SUM(F10:F11)</f>
        <v>0</v>
      </c>
      <c r="G12" s="305">
        <f>SUM(B12:F12)</f>
        <v>8</v>
      </c>
      <c r="Q12" s="130"/>
    </row>
    <row r="17" spans="1:16" x14ac:dyDescent="0.2">
      <c r="B17" s="485" t="s">
        <v>161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7"/>
    </row>
    <row r="18" spans="1:16" ht="13.5" thickBot="1" x14ac:dyDescent="0.25">
      <c r="A18" s="321"/>
      <c r="E18" s="226"/>
      <c r="G18" s="226"/>
      <c r="H18" s="226"/>
      <c r="L18" s="233"/>
      <c r="N18" s="234"/>
    </row>
    <row r="19" spans="1:16" ht="13.5" customHeight="1" thickBot="1" x14ac:dyDescent="0.25">
      <c r="A19" s="414"/>
      <c r="B19" s="488" t="s">
        <v>125</v>
      </c>
      <c r="C19" s="489"/>
      <c r="D19" s="489"/>
      <c r="E19" s="490"/>
      <c r="G19" s="488" t="s">
        <v>126</v>
      </c>
      <c r="H19" s="491"/>
      <c r="I19" s="491"/>
      <c r="J19" s="492"/>
      <c r="L19" s="493" t="s">
        <v>127</v>
      </c>
      <c r="M19" s="494"/>
      <c r="N19" s="494"/>
      <c r="O19" s="495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1" t="s">
        <v>189</v>
      </c>
      <c r="J20" s="441" t="s">
        <v>180</v>
      </c>
      <c r="K20" s="243" t="s">
        <v>103</v>
      </c>
      <c r="L20" s="242" t="s">
        <v>107</v>
      </c>
      <c r="M20" s="236" t="s">
        <v>108</v>
      </c>
      <c r="N20" s="441" t="s">
        <v>189</v>
      </c>
      <c r="O20" s="441" t="s">
        <v>180</v>
      </c>
      <c r="P20" s="243" t="s">
        <v>103</v>
      </c>
    </row>
    <row r="21" spans="1:16" ht="14.1" customHeight="1" x14ac:dyDescent="0.2">
      <c r="A21" s="246" t="s">
        <v>109</v>
      </c>
      <c r="B21" s="473">
        <f>+[4]Charter!$B$21</f>
        <v>135014</v>
      </c>
      <c r="C21" s="474">
        <f>+[4]Charter!$C$21</f>
        <v>133261</v>
      </c>
      <c r="D21" s="474">
        <f t="shared" ref="D21:D32" si="0">SUM(B21:C21)</f>
        <v>268275</v>
      </c>
      <c r="E21" s="475">
        <f>[5]Charter!$D$21</f>
        <v>236565</v>
      </c>
      <c r="F21" s="343">
        <f t="shared" ref="F21:F32" si="1">(D21-E21)/E21</f>
        <v>0.13404349755881048</v>
      </c>
      <c r="G21" s="473">
        <f t="shared" ref="G21:H22" si="2">L21-B21</f>
        <v>1203116</v>
      </c>
      <c r="H21" s="474">
        <f t="shared" si="2"/>
        <v>1225993</v>
      </c>
      <c r="I21" s="340">
        <f>SUM(G21:H21)</f>
        <v>2429109</v>
      </c>
      <c r="J21" s="475">
        <f>[5]Charter!$I$21</f>
        <v>2357435</v>
      </c>
      <c r="K21" s="247">
        <f t="shared" ref="K21:K32" si="3">(I21-J21)/J21</f>
        <v>3.0403383338246867E-2</v>
      </c>
      <c r="L21" s="473">
        <f>+[4]Charter!$L$21</f>
        <v>1338130</v>
      </c>
      <c r="M21" s="474">
        <f>+[4]Charter!$M$21</f>
        <v>1359254</v>
      </c>
      <c r="N21" s="474">
        <f t="shared" ref="N21:N32" si="4">SUM(L21:M21)</f>
        <v>2697384</v>
      </c>
      <c r="O21" s="475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6">
        <f>+[6]Charter!$B$22</f>
        <v>140758</v>
      </c>
      <c r="C22" s="338">
        <f>+[6]Charter!$C$22</f>
        <v>141113</v>
      </c>
      <c r="D22" s="337">
        <f t="shared" ref="D22" si="5">SUM(B22:C22)</f>
        <v>281871</v>
      </c>
      <c r="E22" s="342">
        <f>[7]Charter!$D$22</f>
        <v>251730</v>
      </c>
      <c r="F22" s="339">
        <f t="shared" si="1"/>
        <v>0.11973543081873436</v>
      </c>
      <c r="G22" s="336">
        <f t="shared" si="2"/>
        <v>1175038</v>
      </c>
      <c r="H22" s="338">
        <f t="shared" si="2"/>
        <v>1184918</v>
      </c>
      <c r="I22" s="337">
        <f>SUM(G22:H22)</f>
        <v>2359956</v>
      </c>
      <c r="J22" s="342">
        <f>[7]Charter!$I$22</f>
        <v>2278585</v>
      </c>
      <c r="K22" s="250">
        <f t="shared" si="3"/>
        <v>3.5711197958382068E-2</v>
      </c>
      <c r="L22" s="336">
        <f>+[6]Charter!$L$22</f>
        <v>1315796</v>
      </c>
      <c r="M22" s="338">
        <f>+[6]Charter!$M$22</f>
        <v>1326031</v>
      </c>
      <c r="N22" s="337">
        <f t="shared" ref="N22" si="6">SUM(L22:M22)</f>
        <v>2641827</v>
      </c>
      <c r="O22" s="342">
        <f>[7]Charter!$N$22</f>
        <v>2530315</v>
      </c>
      <c r="P22" s="249">
        <f t="shared" ref="P22:P32" si="7">(N22-O22)/O22</f>
        <v>4.407040230168971E-2</v>
      </c>
    </row>
    <row r="23" spans="1:16" ht="14.1" customHeight="1" x14ac:dyDescent="0.2">
      <c r="A23" s="248" t="s">
        <v>111</v>
      </c>
      <c r="B23" s="336">
        <f>+[8]Charter!$B$23</f>
        <v>170911</v>
      </c>
      <c r="C23" s="338">
        <f>+[8]Charter!$C$23</f>
        <v>169553</v>
      </c>
      <c r="D23" s="337">
        <f t="shared" ref="D23" si="8">SUM(B23:C23)</f>
        <v>340464</v>
      </c>
      <c r="E23" s="342">
        <f>[9]Charter!$D$23</f>
        <v>312232</v>
      </c>
      <c r="F23" s="249">
        <f t="shared" si="1"/>
        <v>9.0419944144097972E-2</v>
      </c>
      <c r="G23" s="336">
        <f t="shared" ref="G23" si="9">L23-B23</f>
        <v>1482455</v>
      </c>
      <c r="H23" s="338">
        <f t="shared" ref="H23" si="10">M23-C23</f>
        <v>1493304</v>
      </c>
      <c r="I23" s="337">
        <f>SUM(G23:H23)</f>
        <v>2975759</v>
      </c>
      <c r="J23" s="342">
        <f>[9]Charter!$I$23</f>
        <v>2912274</v>
      </c>
      <c r="K23" s="250">
        <f t="shared" si="3"/>
        <v>2.1799116429292022E-2</v>
      </c>
      <c r="L23" s="336">
        <f>+[8]Charter!$L$23</f>
        <v>1653366</v>
      </c>
      <c r="M23" s="338">
        <f>+[8]Charter!$M$23</f>
        <v>1662857</v>
      </c>
      <c r="N23" s="337">
        <f t="shared" ref="N23" si="11">SUM(L23:M23)</f>
        <v>3316223</v>
      </c>
      <c r="O23" s="342">
        <f>[9]Charter!$N$23</f>
        <v>3224506</v>
      </c>
      <c r="P23" s="249">
        <f t="shared" si="7"/>
        <v>2.8443736808056799E-2</v>
      </c>
    </row>
    <row r="24" spans="1:16" ht="14.1" customHeight="1" x14ac:dyDescent="0.2">
      <c r="A24" s="248" t="s">
        <v>112</v>
      </c>
      <c r="B24" s="336">
        <f>+[2]Charter!$B$24</f>
        <v>120288</v>
      </c>
      <c r="C24" s="338">
        <f>+[2]Charter!$C$24</f>
        <v>106367</v>
      </c>
      <c r="D24" s="337">
        <f t="shared" ref="D24" si="12">SUM(B24:C24)</f>
        <v>226655</v>
      </c>
      <c r="E24" s="342">
        <f>[10]Charter!$D$24</f>
        <v>205270</v>
      </c>
      <c r="F24" s="249">
        <f t="shared" si="1"/>
        <v>0.10417986067131095</v>
      </c>
      <c r="G24" s="336">
        <f t="shared" ref="G24" si="13">L24-B24</f>
        <v>1421061</v>
      </c>
      <c r="H24" s="338">
        <f t="shared" ref="H24" si="14">M24-C24</f>
        <v>1355226</v>
      </c>
      <c r="I24" s="337">
        <f>SUM(G24:H24)</f>
        <v>2776287</v>
      </c>
      <c r="J24" s="342">
        <f>[10]Charter!$I$24</f>
        <v>2699423</v>
      </c>
      <c r="K24" s="250">
        <f t="shared" si="3"/>
        <v>2.8474233197242522E-2</v>
      </c>
      <c r="L24" s="336">
        <f>+[2]Charter!$L$24</f>
        <v>1541349</v>
      </c>
      <c r="M24" s="338">
        <f>+[2]Charter!$M$24</f>
        <v>1461593</v>
      </c>
      <c r="N24" s="337">
        <f t="shared" ref="N24" si="15">SUM(L24:M24)</f>
        <v>3002942</v>
      </c>
      <c r="O24" s="342">
        <f>[10]Charter!$N$24</f>
        <v>2904693</v>
      </c>
      <c r="P24" s="249">
        <f t="shared" si="7"/>
        <v>3.382422858456987E-2</v>
      </c>
    </row>
    <row r="25" spans="1:16" ht="14.1" customHeight="1" x14ac:dyDescent="0.2">
      <c r="A25" s="235" t="s">
        <v>80</v>
      </c>
      <c r="B25" s="336">
        <f>'Intl Detail'!$N$4+'Intl Detail'!$N$9</f>
        <v>97442</v>
      </c>
      <c r="C25" s="338">
        <f>'Intl Detail'!$N$5+'Intl Detail'!$N$10</f>
        <v>100703</v>
      </c>
      <c r="D25" s="337">
        <f t="shared" ref="D25" si="16">SUM(B25:C25)</f>
        <v>198145</v>
      </c>
      <c r="E25" s="342">
        <f>[1]Charter!$D$25</f>
        <v>198399</v>
      </c>
      <c r="F25" s="238">
        <f t="shared" si="1"/>
        <v>-1.2802483883487315E-3</v>
      </c>
      <c r="G25" s="336">
        <f t="shared" ref="G25" si="17">L25-B25</f>
        <v>1494297</v>
      </c>
      <c r="H25" s="338">
        <f t="shared" ref="H25" si="18">M25-C25</f>
        <v>1471824</v>
      </c>
      <c r="I25" s="337">
        <f>SUM(G25:H25)</f>
        <v>2966121</v>
      </c>
      <c r="J25" s="342">
        <f>[1]Charter!$I$25</f>
        <v>2835494</v>
      </c>
      <c r="K25" s="244">
        <f t="shared" si="3"/>
        <v>4.6068515750694587E-2</v>
      </c>
      <c r="L25" s="336">
        <f>'Monthly Summary'!$B$11</f>
        <v>1591739</v>
      </c>
      <c r="M25" s="338">
        <f>'Monthly Summary'!$C$11</f>
        <v>1572527</v>
      </c>
      <c r="N25" s="337">
        <f t="shared" ref="N25" si="19">SUM(L25:M25)</f>
        <v>3164266</v>
      </c>
      <c r="O25" s="342">
        <f>[1]Charter!$N$25</f>
        <v>3033893</v>
      </c>
      <c r="P25" s="238">
        <f t="shared" si="7"/>
        <v>4.2972181286551635E-2</v>
      </c>
    </row>
    <row r="26" spans="1:16" ht="14.1" customHeight="1" x14ac:dyDescent="0.2">
      <c r="A26" s="248" t="s">
        <v>113</v>
      </c>
      <c r="B26" s="336"/>
      <c r="C26" s="338"/>
      <c r="D26" s="337">
        <f t="shared" si="0"/>
        <v>0</v>
      </c>
      <c r="E26" s="341"/>
      <c r="F26" s="249" t="e">
        <f t="shared" si="1"/>
        <v>#DIV/0!</v>
      </c>
      <c r="G26" s="336"/>
      <c r="H26" s="338"/>
      <c r="I26" s="337">
        <f t="shared" ref="I26:I32" si="20">SUM(G26:H26)</f>
        <v>0</v>
      </c>
      <c r="J26" s="341"/>
      <c r="K26" s="250" t="e">
        <f t="shared" si="3"/>
        <v>#DIV/0!</v>
      </c>
      <c r="L26" s="336"/>
      <c r="M26" s="338"/>
      <c r="N26" s="337">
        <f t="shared" si="4"/>
        <v>0</v>
      </c>
      <c r="O26" s="341"/>
      <c r="P26" s="249" t="e">
        <f t="shared" si="7"/>
        <v>#DIV/0!</v>
      </c>
    </row>
    <row r="27" spans="1:16" ht="14.1" customHeight="1" x14ac:dyDescent="0.2">
      <c r="A27" s="235" t="s">
        <v>114</v>
      </c>
      <c r="B27" s="336"/>
      <c r="C27" s="338"/>
      <c r="D27" s="337">
        <f t="shared" si="0"/>
        <v>0</v>
      </c>
      <c r="E27" s="341"/>
      <c r="F27" s="238" t="e">
        <f t="shared" si="1"/>
        <v>#DIV/0!</v>
      </c>
      <c r="G27" s="336"/>
      <c r="H27" s="338"/>
      <c r="I27" s="337">
        <f t="shared" si="20"/>
        <v>0</v>
      </c>
      <c r="J27" s="341"/>
      <c r="K27" s="244" t="e">
        <f t="shared" si="3"/>
        <v>#DIV/0!</v>
      </c>
      <c r="L27" s="336"/>
      <c r="M27" s="338"/>
      <c r="N27" s="337">
        <f t="shared" si="4"/>
        <v>0</v>
      </c>
      <c r="O27" s="341"/>
      <c r="P27" s="238" t="e">
        <f t="shared" si="7"/>
        <v>#DIV/0!</v>
      </c>
    </row>
    <row r="28" spans="1:16" ht="14.1" customHeight="1" x14ac:dyDescent="0.2">
      <c r="A28" s="248" t="s">
        <v>115</v>
      </c>
      <c r="B28" s="336"/>
      <c r="C28" s="338"/>
      <c r="D28" s="337">
        <f t="shared" si="0"/>
        <v>0</v>
      </c>
      <c r="E28" s="341"/>
      <c r="F28" s="249" t="e">
        <f t="shared" si="1"/>
        <v>#DIV/0!</v>
      </c>
      <c r="G28" s="336"/>
      <c r="H28" s="338"/>
      <c r="I28" s="337">
        <f t="shared" si="20"/>
        <v>0</v>
      </c>
      <c r="J28" s="341"/>
      <c r="K28" s="250" t="e">
        <f t="shared" si="3"/>
        <v>#DIV/0!</v>
      </c>
      <c r="L28" s="336"/>
      <c r="M28" s="338"/>
      <c r="N28" s="337">
        <f t="shared" si="4"/>
        <v>0</v>
      </c>
      <c r="O28" s="341"/>
      <c r="P28" s="249" t="e">
        <f t="shared" si="7"/>
        <v>#DIV/0!</v>
      </c>
    </row>
    <row r="29" spans="1:16" ht="14.1" customHeight="1" x14ac:dyDescent="0.2">
      <c r="A29" s="235" t="s">
        <v>116</v>
      </c>
      <c r="B29" s="336"/>
      <c r="C29" s="338"/>
      <c r="D29" s="337">
        <f t="shared" si="0"/>
        <v>0</v>
      </c>
      <c r="E29" s="341"/>
      <c r="F29" s="238" t="e">
        <f t="shared" si="1"/>
        <v>#DIV/0!</v>
      </c>
      <c r="G29" s="336"/>
      <c r="H29" s="338"/>
      <c r="I29" s="337">
        <f t="shared" si="20"/>
        <v>0</v>
      </c>
      <c r="J29" s="341"/>
      <c r="K29" s="244" t="e">
        <f t="shared" si="3"/>
        <v>#DIV/0!</v>
      </c>
      <c r="L29" s="336"/>
      <c r="M29" s="338"/>
      <c r="N29" s="337">
        <f t="shared" si="4"/>
        <v>0</v>
      </c>
      <c r="O29" s="341"/>
      <c r="P29" s="238" t="e">
        <f t="shared" si="7"/>
        <v>#DIV/0!</v>
      </c>
    </row>
    <row r="30" spans="1:16" ht="14.1" customHeight="1" x14ac:dyDescent="0.2">
      <c r="A30" s="248" t="s">
        <v>117</v>
      </c>
      <c r="B30" s="336"/>
      <c r="C30" s="338"/>
      <c r="D30" s="337">
        <f>SUM(B30:C30)</f>
        <v>0</v>
      </c>
      <c r="E30" s="341"/>
      <c r="F30" s="249" t="e">
        <f t="shared" si="1"/>
        <v>#DIV/0!</v>
      </c>
      <c r="G30" s="336"/>
      <c r="H30" s="338"/>
      <c r="I30" s="337">
        <f>SUM(G30:H30)</f>
        <v>0</v>
      </c>
      <c r="J30" s="341"/>
      <c r="K30" s="250" t="e">
        <f t="shared" si="3"/>
        <v>#DIV/0!</v>
      </c>
      <c r="L30" s="336"/>
      <c r="M30" s="338"/>
      <c r="N30" s="337">
        <f>SUM(L30:M30)</f>
        <v>0</v>
      </c>
      <c r="O30" s="341"/>
      <c r="P30" s="249" t="e">
        <f t="shared" si="7"/>
        <v>#DIV/0!</v>
      </c>
    </row>
    <row r="31" spans="1:16" ht="14.1" customHeight="1" x14ac:dyDescent="0.2">
      <c r="A31" s="235" t="s">
        <v>118</v>
      </c>
      <c r="B31" s="336"/>
      <c r="C31" s="338"/>
      <c r="D31" s="337">
        <f>SUM(B31:C31)</f>
        <v>0</v>
      </c>
      <c r="E31" s="341"/>
      <c r="F31" s="238" t="e">
        <f t="shared" si="1"/>
        <v>#DIV/0!</v>
      </c>
      <c r="G31" s="336"/>
      <c r="H31" s="338"/>
      <c r="I31" s="337">
        <f t="shared" si="20"/>
        <v>0</v>
      </c>
      <c r="J31" s="341"/>
      <c r="K31" s="244" t="e">
        <f t="shared" si="3"/>
        <v>#DIV/0!</v>
      </c>
      <c r="L31" s="336"/>
      <c r="M31" s="338"/>
      <c r="N31" s="337">
        <f>SUM(L31:M31)</f>
        <v>0</v>
      </c>
      <c r="O31" s="341"/>
      <c r="P31" s="238" t="e">
        <f t="shared" si="7"/>
        <v>#DIV/0!</v>
      </c>
    </row>
    <row r="32" spans="1:16" ht="14.1" customHeight="1" x14ac:dyDescent="0.2">
      <c r="A32" s="251" t="s">
        <v>119</v>
      </c>
      <c r="B32" s="336"/>
      <c r="C32" s="338"/>
      <c r="D32" s="161">
        <f t="shared" si="0"/>
        <v>0</v>
      </c>
      <c r="E32" s="341"/>
      <c r="F32" s="252" t="e">
        <f t="shared" si="1"/>
        <v>#DIV/0!</v>
      </c>
      <c r="G32" s="253"/>
      <c r="H32" s="161"/>
      <c r="I32" s="161">
        <f t="shared" si="20"/>
        <v>0</v>
      </c>
      <c r="J32" s="341"/>
      <c r="K32" s="252" t="e">
        <f t="shared" si="3"/>
        <v>#DIV/0!</v>
      </c>
      <c r="L32" s="336"/>
      <c r="M32" s="338"/>
      <c r="N32" s="161">
        <f t="shared" si="4"/>
        <v>0</v>
      </c>
      <c r="O32" s="341"/>
      <c r="P32" s="252" t="e">
        <f t="shared" si="7"/>
        <v>#DIV/0!</v>
      </c>
    </row>
    <row r="33" spans="1:16" ht="13.5" thickBot="1" x14ac:dyDescent="0.25">
      <c r="A33" s="245" t="s">
        <v>81</v>
      </c>
      <c r="B33" s="255">
        <f>SUM(B21:B32)</f>
        <v>664413</v>
      </c>
      <c r="C33" s="256">
        <f>SUM(C21:C32)</f>
        <v>650997</v>
      </c>
      <c r="D33" s="256">
        <f>SUM(D21:D32)</f>
        <v>1315410</v>
      </c>
      <c r="E33" s="257">
        <f>SUM(E21:E32)</f>
        <v>1204196</v>
      </c>
      <c r="F33" s="240">
        <f>(D33-E33)/E33</f>
        <v>9.23553972941282E-2</v>
      </c>
      <c r="G33" s="258">
        <f>SUM(G21:G32)</f>
        <v>6775967</v>
      </c>
      <c r="H33" s="256">
        <f>SUM(H21:H32)</f>
        <v>6731265</v>
      </c>
      <c r="I33" s="256">
        <f>SUM(I21:I32)</f>
        <v>13507232</v>
      </c>
      <c r="J33" s="259">
        <f>SUM(J21:J32)</f>
        <v>13083211</v>
      </c>
      <c r="K33" s="241">
        <f>(I33-J33)/J33</f>
        <v>3.2409551447270854E-2</v>
      </c>
      <c r="L33" s="258">
        <f>SUM(L21:L32)</f>
        <v>7440380</v>
      </c>
      <c r="M33" s="256">
        <f>SUM(M21:M32)</f>
        <v>7382262</v>
      </c>
      <c r="N33" s="256">
        <f>SUM(N21:N32)</f>
        <v>14822642</v>
      </c>
      <c r="O33" s="257">
        <f>SUM(O21:O32)</f>
        <v>14287407</v>
      </c>
      <c r="P33" s="239">
        <f>(N33-O33)/O33</f>
        <v>3.7462011126301646E-2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May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B4" sqref="B4:M34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499" t="s">
        <v>217</v>
      </c>
      <c r="C1" s="500"/>
      <c r="D1" s="501"/>
      <c r="E1" s="59"/>
      <c r="F1" s="499" t="s">
        <v>98</v>
      </c>
      <c r="G1" s="500"/>
      <c r="H1" s="500"/>
      <c r="I1" s="500"/>
      <c r="J1" s="500"/>
      <c r="K1" s="500"/>
      <c r="L1" s="501"/>
    </row>
    <row r="2" spans="1:20" s="191" customFormat="1" ht="30.75" customHeight="1" thickBot="1" x14ac:dyDescent="0.25">
      <c r="A2" s="389">
        <v>42491</v>
      </c>
      <c r="B2" s="458" t="s">
        <v>212</v>
      </c>
      <c r="C2" s="8" t="s">
        <v>86</v>
      </c>
      <c r="D2" s="8" t="s">
        <v>87</v>
      </c>
      <c r="E2" s="199"/>
      <c r="F2" s="180" t="s">
        <v>88</v>
      </c>
      <c r="G2" s="477" t="s">
        <v>216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[3]DHL!$EP$4</f>
        <v>22</v>
      </c>
      <c r="C4" s="161">
        <f>[3]FedEx!$EP$4+[3]FedEx!$EP$15</f>
        <v>82</v>
      </c>
      <c r="D4" s="161">
        <f>[3]UPS!$EP$4</f>
        <v>85</v>
      </c>
      <c r="E4" s="192"/>
      <c r="F4" s="118">
        <f>[3]ATI_BAX!$EP$4</f>
        <v>0</v>
      </c>
      <c r="G4" s="118">
        <f>[3]IFL!$EP$4</f>
        <v>32</v>
      </c>
      <c r="H4" s="118">
        <f>'[3]Suburban Air Freight'!$EP$15</f>
        <v>23</v>
      </c>
      <c r="I4" s="118">
        <f>[3]Bemidji!$EP$4</f>
        <v>246</v>
      </c>
      <c r="J4" s="118">
        <f>'[3]CSA Air'!$EP$4</f>
        <v>23</v>
      </c>
      <c r="K4" s="118">
        <f>'[3]Mountain Cargo'!$EP$4</f>
        <v>20</v>
      </c>
      <c r="L4" s="118">
        <f>'[3]Misc Cargo'!$EP$4</f>
        <v>21</v>
      </c>
      <c r="M4" s="204">
        <f>SUM(B4:L4)</f>
        <v>554</v>
      </c>
    </row>
    <row r="5" spans="1:20" x14ac:dyDescent="0.2">
      <c r="A5" s="53" t="s">
        <v>58</v>
      </c>
      <c r="B5" s="198">
        <f>[3]DHL!$EP$5</f>
        <v>22</v>
      </c>
      <c r="C5" s="198">
        <f>[3]FedEx!$EP$5</f>
        <v>82</v>
      </c>
      <c r="D5" s="198">
        <f>[3]UPS!$EP$5</f>
        <v>85</v>
      </c>
      <c r="E5" s="192"/>
      <c r="F5" s="120">
        <f>[3]ATI_BAX!$EP$5</f>
        <v>0</v>
      </c>
      <c r="G5" s="120">
        <f>[3]IFL!$EP$5</f>
        <v>32</v>
      </c>
      <c r="H5" s="120">
        <f>'[3]Suburban Air Freight'!$EP$16</f>
        <v>23</v>
      </c>
      <c r="I5" s="120">
        <f>[3]Bemidji!$EP$5</f>
        <v>246</v>
      </c>
      <c r="J5" s="120">
        <f>'[3]CSA Air'!$EP$5</f>
        <v>23</v>
      </c>
      <c r="K5" s="120">
        <f>'[3]Mountain Cargo'!$EP$5</f>
        <v>20</v>
      </c>
      <c r="L5" s="120">
        <f>'[3]Misc Cargo'!$EP$5</f>
        <v>21</v>
      </c>
      <c r="M5" s="208">
        <f>SUM(B5:L5)</f>
        <v>554</v>
      </c>
    </row>
    <row r="6" spans="1:20" s="189" customFormat="1" x14ac:dyDescent="0.2">
      <c r="A6" s="205" t="s">
        <v>59</v>
      </c>
      <c r="B6" s="206">
        <f>SUM(B4:B5)</f>
        <v>44</v>
      </c>
      <c r="C6" s="206">
        <f>SUM(C4:C5)</f>
        <v>164</v>
      </c>
      <c r="D6" s="206">
        <f>SUM(D4:D5)</f>
        <v>170</v>
      </c>
      <c r="E6" s="193"/>
      <c r="F6" s="188">
        <f t="shared" ref="F6:L6" si="0">SUM(F4:F5)</f>
        <v>0</v>
      </c>
      <c r="G6" s="188">
        <f t="shared" ref="G6" si="1">SUM(G4:G5)</f>
        <v>64</v>
      </c>
      <c r="H6" s="188">
        <f t="shared" si="0"/>
        <v>46</v>
      </c>
      <c r="I6" s="188">
        <f t="shared" si="0"/>
        <v>492</v>
      </c>
      <c r="J6" s="188">
        <f t="shared" si="0"/>
        <v>46</v>
      </c>
      <c r="K6" s="188">
        <f t="shared" si="0"/>
        <v>40</v>
      </c>
      <c r="L6" s="188">
        <f t="shared" si="0"/>
        <v>42</v>
      </c>
      <c r="M6" s="207">
        <f>SUM(B6:L6)</f>
        <v>1108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Cargo'!$EP$8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Cargo'!$EP$9</f>
        <v>0</v>
      </c>
      <c r="M9" s="208">
        <f>SUM(B9:L9)</f>
        <v>0</v>
      </c>
      <c r="P9" s="15"/>
      <c r="Q9" s="331"/>
      <c r="R9" s="331"/>
      <c r="S9" s="331"/>
      <c r="T9" s="331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44</v>
      </c>
      <c r="C12" s="210">
        <f>C6+C10</f>
        <v>164</v>
      </c>
      <c r="D12" s="210">
        <f>D6+D10</f>
        <v>170</v>
      </c>
      <c r="E12" s="211"/>
      <c r="F12" s="212">
        <f t="shared" ref="F12:L12" si="4">F6+F10</f>
        <v>0</v>
      </c>
      <c r="G12" s="212">
        <f t="shared" ref="G12" si="5">G6+G10</f>
        <v>64</v>
      </c>
      <c r="H12" s="212">
        <f t="shared" si="4"/>
        <v>46</v>
      </c>
      <c r="I12" s="212">
        <f t="shared" si="4"/>
        <v>492</v>
      </c>
      <c r="J12" s="212">
        <f t="shared" si="4"/>
        <v>46</v>
      </c>
      <c r="K12" s="212">
        <f t="shared" si="4"/>
        <v>40</v>
      </c>
      <c r="L12" s="212">
        <f t="shared" si="4"/>
        <v>42</v>
      </c>
      <c r="M12" s="213">
        <f>SUM(B12:L12)</f>
        <v>1108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[3]DHL!$EP$47</f>
        <v>695549</v>
      </c>
      <c r="C16" s="161">
        <f>[3]FedEx!$EP$47</f>
        <v>8209104</v>
      </c>
      <c r="D16" s="161">
        <f>[3]UPS!$EP$47</f>
        <v>5257615</v>
      </c>
      <c r="E16" s="192"/>
      <c r="F16" s="118">
        <f>[3]ATI_BAX!$EP$47</f>
        <v>0</v>
      </c>
      <c r="G16" s="118">
        <f>[3]IFL!$EP$47</f>
        <v>45786</v>
      </c>
      <c r="H16" s="118">
        <f>'[3]Suburban Air Freight'!$EP$47</f>
        <v>20880</v>
      </c>
      <c r="I16" s="496" t="s">
        <v>92</v>
      </c>
      <c r="J16" s="118">
        <f>'[3]CSA Air'!$EP$47</f>
        <v>27163</v>
      </c>
      <c r="K16" s="118">
        <f>'[3]Mountain Cargo'!$EP$47</f>
        <v>47234</v>
      </c>
      <c r="L16" s="118">
        <f>'[3]Misc Cargo'!$EP$47</f>
        <v>42469</v>
      </c>
      <c r="M16" s="204">
        <f>SUM(B16:H16)+SUM(J16:L16)</f>
        <v>14345800</v>
      </c>
    </row>
    <row r="17" spans="1:14" x14ac:dyDescent="0.2">
      <c r="A17" s="53" t="s">
        <v>41</v>
      </c>
      <c r="B17" s="161">
        <f>[3]DHL!$EP$48</f>
        <v>0</v>
      </c>
      <c r="C17" s="161">
        <f>[3]FedEx!$EP$48</f>
        <v>0</v>
      </c>
      <c r="D17" s="161">
        <f>[3]UPS!$EP$48</f>
        <v>3982</v>
      </c>
      <c r="E17" s="192"/>
      <c r="F17" s="118">
        <f>[3]ATI_BAX!$EP$48</f>
        <v>0</v>
      </c>
      <c r="G17" s="118">
        <f>[3]IFL!$EP$48</f>
        <v>0</v>
      </c>
      <c r="H17" s="118">
        <f>'[3]Suburban Air Freight'!$EP$48</f>
        <v>0</v>
      </c>
      <c r="I17" s="497"/>
      <c r="J17" s="118">
        <f>'[3]CSA Air'!$EP$48</f>
        <v>0</v>
      </c>
      <c r="K17" s="118">
        <f>'[3]Mountain Cargo'!$EP$48</f>
        <v>0</v>
      </c>
      <c r="L17" s="118">
        <f>'[3]Misc Cargo'!$EP$48</f>
        <v>0</v>
      </c>
      <c r="M17" s="204">
        <f>SUM(B17:H17)+SUM(J17:L17)</f>
        <v>3982</v>
      </c>
    </row>
    <row r="18" spans="1:14" ht="18" customHeight="1" x14ac:dyDescent="0.2">
      <c r="A18" s="219" t="s">
        <v>42</v>
      </c>
      <c r="B18" s="306">
        <f>SUM(B16:B17)</f>
        <v>695549</v>
      </c>
      <c r="C18" s="306">
        <f>SUM(C16:C17)</f>
        <v>8209104</v>
      </c>
      <c r="D18" s="306">
        <f>SUM(D16:D17)</f>
        <v>5261597</v>
      </c>
      <c r="E18" s="197"/>
      <c r="F18" s="307">
        <f>SUM(F16:F17)</f>
        <v>0</v>
      </c>
      <c r="G18" s="307">
        <f>SUM(G16:G17)</f>
        <v>45786</v>
      </c>
      <c r="H18" s="307">
        <f>SUM(H16:H17)</f>
        <v>20880</v>
      </c>
      <c r="I18" s="497"/>
      <c r="J18" s="307">
        <f>SUM(J16:J17)</f>
        <v>27163</v>
      </c>
      <c r="K18" s="307">
        <f>SUM(K16:K17)</f>
        <v>47234</v>
      </c>
      <c r="L18" s="307">
        <f>SUM(L16:L17)</f>
        <v>42469</v>
      </c>
      <c r="M18" s="220">
        <f>SUM(B18:H18)+SUM(J18:L18)</f>
        <v>14349782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7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7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[3]DHL!$EP$52</f>
        <v>436061</v>
      </c>
      <c r="C21" s="161">
        <f>[3]FedEx!$EP$52</f>
        <v>7963106</v>
      </c>
      <c r="D21" s="161">
        <f>[3]UPS!$EP$52</f>
        <v>3837683</v>
      </c>
      <c r="E21" s="192"/>
      <c r="F21" s="118">
        <f>[3]ATI_BAX!$EP$52</f>
        <v>0</v>
      </c>
      <c r="G21" s="118">
        <f>[3]IFL!$EP$52</f>
        <v>49066</v>
      </c>
      <c r="H21" s="118">
        <f>'[3]Suburban Air Freight'!$EP$52</f>
        <v>77348</v>
      </c>
      <c r="I21" s="497"/>
      <c r="J21" s="118">
        <f>'[3]CSA Air'!$EP$52</f>
        <v>36259</v>
      </c>
      <c r="K21" s="118">
        <f>'[3]Mountain Cargo'!$EP$52</f>
        <v>129059</v>
      </c>
      <c r="L21" s="118">
        <f>'[3]Misc Cargo'!$EP$52</f>
        <v>32041</v>
      </c>
      <c r="M21" s="204">
        <f>SUM(B21:H21)+SUM(J21:L21)</f>
        <v>12560623</v>
      </c>
    </row>
    <row r="22" spans="1:14" x14ac:dyDescent="0.2">
      <c r="A22" s="53" t="s">
        <v>64</v>
      </c>
      <c r="B22" s="161">
        <f>[3]DHL!$EP$53</f>
        <v>0</v>
      </c>
      <c r="C22" s="161">
        <f>[3]FedEx!$EP$53</f>
        <v>0</v>
      </c>
      <c r="D22" s="161">
        <f>[3]UPS!$EP$53</f>
        <v>22226</v>
      </c>
      <c r="E22" s="192"/>
      <c r="F22" s="118">
        <f>[3]ATI_BAX!$EP$53</f>
        <v>0</v>
      </c>
      <c r="G22" s="118">
        <f>[3]IFL!$EP$53</f>
        <v>0</v>
      </c>
      <c r="H22" s="118">
        <f>'[3]Suburban Air Freight'!$EP$53</f>
        <v>0</v>
      </c>
      <c r="I22" s="497"/>
      <c r="J22" s="118">
        <f>'[3]CSA Air'!$EP$53</f>
        <v>0</v>
      </c>
      <c r="K22" s="118">
        <f>'[3]Mountain Cargo'!$EP$53</f>
        <v>0</v>
      </c>
      <c r="L22" s="118">
        <f>'[3]Misc Cargo'!$EP$53</f>
        <v>0</v>
      </c>
      <c r="M22" s="204">
        <f>SUM(B22:H22)+SUM(J22:L22)</f>
        <v>22226</v>
      </c>
    </row>
    <row r="23" spans="1:14" ht="18" customHeight="1" x14ac:dyDescent="0.2">
      <c r="A23" s="219" t="s">
        <v>44</v>
      </c>
      <c r="B23" s="306">
        <f>SUM(B21:B22)</f>
        <v>436061</v>
      </c>
      <c r="C23" s="306">
        <f>SUM(C21:C22)</f>
        <v>7963106</v>
      </c>
      <c r="D23" s="306">
        <f>SUM(D21:D22)</f>
        <v>3859909</v>
      </c>
      <c r="E23" s="197"/>
      <c r="F23" s="307">
        <f>SUM(F21:F22)</f>
        <v>0</v>
      </c>
      <c r="G23" s="307">
        <f>SUM(G21:G22)</f>
        <v>49066</v>
      </c>
      <c r="H23" s="307">
        <f>SUM(H21:H22)</f>
        <v>77348</v>
      </c>
      <c r="I23" s="497"/>
      <c r="J23" s="307">
        <f>SUM(J21:J22)</f>
        <v>36259</v>
      </c>
      <c r="K23" s="307">
        <f>SUM(K21:K22)</f>
        <v>129059</v>
      </c>
      <c r="L23" s="307">
        <f>SUM(L21:L22)</f>
        <v>32041</v>
      </c>
      <c r="M23" s="220">
        <f>SUM(B23:H23)+SUM(J23:L23)</f>
        <v>12582849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7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7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[3]DHL!$EP$57</f>
        <v>0</v>
      </c>
      <c r="C26" s="161">
        <f>[3]FedEx!$EP$57</f>
        <v>0</v>
      </c>
      <c r="D26" s="161">
        <f>[3]UPS!$EP$57</f>
        <v>0</v>
      </c>
      <c r="E26" s="192"/>
      <c r="F26" s="118">
        <f>[3]ATI_BAX!$EP$57</f>
        <v>0</v>
      </c>
      <c r="G26" s="118">
        <f>[3]IFL!$EP$57</f>
        <v>0</v>
      </c>
      <c r="H26" s="118">
        <f>'[3]Suburban Air Freight'!$EP$57</f>
        <v>0</v>
      </c>
      <c r="I26" s="497"/>
      <c r="J26" s="118">
        <f>'[3]CSA Air'!$EP$57</f>
        <v>0</v>
      </c>
      <c r="K26" s="118">
        <f>'[3]Mountain Cargo'!$EP$57</f>
        <v>0</v>
      </c>
      <c r="L26" s="118">
        <f>'[3]Misc Cargo'!$EP$57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[3]DHL!$EP$58</f>
        <v>0</v>
      </c>
      <c r="C27" s="161">
        <f>[3]FedEx!$EP$58</f>
        <v>0</v>
      </c>
      <c r="D27" s="161">
        <f>[3]UPS!$EP$58</f>
        <v>0</v>
      </c>
      <c r="E27" s="192"/>
      <c r="F27" s="118">
        <f>[3]ATI_BAX!$EP$58</f>
        <v>0</v>
      </c>
      <c r="G27" s="118">
        <f>[3]IFL!$EP$58</f>
        <v>0</v>
      </c>
      <c r="H27" s="118">
        <f>'[3]Suburban Air Freight'!$EP$58</f>
        <v>0</v>
      </c>
      <c r="I27" s="497"/>
      <c r="J27" s="118">
        <f>'[3]CSA Air'!$EP$58</f>
        <v>0</v>
      </c>
      <c r="K27" s="118">
        <f>'[3]Mountain Cargo'!$EP$58</f>
        <v>0</v>
      </c>
      <c r="L27" s="118">
        <f>'[3]Misc Cargo'!$EP$58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6">
        <f>SUM(B26:B27)</f>
        <v>0</v>
      </c>
      <c r="C28" s="306">
        <f>SUM(C26:C27)</f>
        <v>0</v>
      </c>
      <c r="D28" s="306">
        <f>SUM(D26:D27)</f>
        <v>0</v>
      </c>
      <c r="E28" s="197"/>
      <c r="F28" s="307">
        <f>SUM(F26:F27)</f>
        <v>0</v>
      </c>
      <c r="G28" s="307">
        <f>SUM(G26:G27)</f>
        <v>0</v>
      </c>
      <c r="H28" s="307">
        <f>SUM(H26:H27)</f>
        <v>0</v>
      </c>
      <c r="I28" s="497"/>
      <c r="J28" s="307">
        <f>SUM(J26:J27)</f>
        <v>0</v>
      </c>
      <c r="K28" s="307">
        <f>SUM(K26:K27)</f>
        <v>0</v>
      </c>
      <c r="L28" s="307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7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7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1131610</v>
      </c>
      <c r="C31" s="161">
        <f t="shared" si="6"/>
        <v>16172210</v>
      </c>
      <c r="D31" s="161">
        <f t="shared" si="6"/>
        <v>9095298</v>
      </c>
      <c r="E31" s="192"/>
      <c r="F31" s="118">
        <f t="shared" ref="F31:H33" si="7">F26+F21+F16</f>
        <v>0</v>
      </c>
      <c r="G31" s="118">
        <f t="shared" ref="G31" si="8">G26+G21+G16</f>
        <v>94852</v>
      </c>
      <c r="H31" s="118">
        <f t="shared" si="7"/>
        <v>98228</v>
      </c>
      <c r="I31" s="497"/>
      <c r="J31" s="118">
        <f t="shared" ref="J31:L33" si="9">J26+J21+J16</f>
        <v>63422</v>
      </c>
      <c r="K31" s="118">
        <f t="shared" si="9"/>
        <v>176293</v>
      </c>
      <c r="L31" s="118">
        <f>L26+L21+L16</f>
        <v>74510</v>
      </c>
      <c r="M31" s="204">
        <f>SUM(B31:H31)+SUM(J31:L31)</f>
        <v>26906423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26208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8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26208</v>
      </c>
    </row>
    <row r="33" spans="1:13" ht="18" customHeight="1" thickBot="1" x14ac:dyDescent="0.25">
      <c r="A33" s="209" t="s">
        <v>49</v>
      </c>
      <c r="B33" s="210">
        <f t="shared" si="6"/>
        <v>1131610</v>
      </c>
      <c r="C33" s="210">
        <f t="shared" si="6"/>
        <v>16172210</v>
      </c>
      <c r="D33" s="210">
        <f t="shared" si="6"/>
        <v>9121506</v>
      </c>
      <c r="E33" s="223"/>
      <c r="F33" s="212">
        <f t="shared" si="7"/>
        <v>0</v>
      </c>
      <c r="G33" s="212">
        <f t="shared" ref="G33" si="11">G28+G23+G18</f>
        <v>94852</v>
      </c>
      <c r="H33" s="212">
        <f t="shared" si="7"/>
        <v>98228</v>
      </c>
      <c r="I33" s="308">
        <f>I28+I23+I18</f>
        <v>0</v>
      </c>
      <c r="J33" s="212">
        <f t="shared" si="9"/>
        <v>63422</v>
      </c>
      <c r="K33" s="212">
        <f t="shared" si="9"/>
        <v>176293</v>
      </c>
      <c r="L33" s="212">
        <f t="shared" si="9"/>
        <v>74510</v>
      </c>
      <c r="M33" s="213">
        <f>SUM(B33:H33)+SUM(J33:L33)</f>
        <v>26932631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May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view="pageLayout" topLeftCell="C1" zoomScaleNormal="100" workbookViewId="0">
      <selection activeCell="H22" sqref="H2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9">
        <v>42491</v>
      </c>
      <c r="B2" s="77" t="s">
        <v>67</v>
      </c>
      <c r="C2" s="77" t="s">
        <v>68</v>
      </c>
      <c r="D2" s="77" t="s">
        <v>69</v>
      </c>
      <c r="E2" s="320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5345228</v>
      </c>
      <c r="C5" s="118">
        <f>'Regional Major'!L25</f>
        <v>0</v>
      </c>
      <c r="D5" s="118">
        <f>Cargo!M16</f>
        <v>14345800</v>
      </c>
      <c r="E5" s="118">
        <f>SUM(B5:D5)</f>
        <v>19691028</v>
      </c>
      <c r="F5" s="118">
        <f>E5*0.00045359237</f>
        <v>8931.7000582563596</v>
      </c>
      <c r="G5" s="146">
        <f>'[1]Cargo Summary'!F5</f>
        <v>7266.5248198196496</v>
      </c>
      <c r="H5" s="98">
        <f>(F5-G5)/G5</f>
        <v>0.22915702894111062</v>
      </c>
      <c r="I5" s="146">
        <f>+F5+'[2]Cargo Summary'!I5</f>
        <v>37214.632648193772</v>
      </c>
      <c r="J5" s="146">
        <f>'[1]Cargo Summary'!I5</f>
        <v>36386.108082629689</v>
      </c>
      <c r="K5" s="85">
        <f>(I5-J5)/J5</f>
        <v>2.2770354105544226E-2</v>
      </c>
      <c r="M5" s="35"/>
    </row>
    <row r="6" spans="1:18" x14ac:dyDescent="0.2">
      <c r="A6" s="62" t="s">
        <v>18</v>
      </c>
      <c r="B6" s="169">
        <f>'Major Airline Stats'!I29</f>
        <v>880309</v>
      </c>
      <c r="C6" s="118">
        <f>'Regional Major'!L26</f>
        <v>0</v>
      </c>
      <c r="D6" s="118">
        <f>Cargo!M17</f>
        <v>3982</v>
      </c>
      <c r="E6" s="118">
        <f>SUM(B6:D6)</f>
        <v>884291</v>
      </c>
      <c r="F6" s="118">
        <f>E6*0.00045359237</f>
        <v>401.10765045966997</v>
      </c>
      <c r="G6" s="146">
        <f>'[1]Cargo Summary'!F6</f>
        <v>649.31747765499995</v>
      </c>
      <c r="H6" s="37">
        <f>(F6-G6)/G6</f>
        <v>-0.38226266154383515</v>
      </c>
      <c r="I6" s="146">
        <f>+F6+'[2]Cargo Summary'!I6</f>
        <v>2221.1908276136242</v>
      </c>
      <c r="J6" s="146">
        <f>'[1]Cargo Summary'!I6</f>
        <v>2988.4779076044201</v>
      </c>
      <c r="K6" s="85">
        <f>(I6-J6)/J6</f>
        <v>-0.25674845313006089</v>
      </c>
      <c r="M6" s="35"/>
    </row>
    <row r="7" spans="1:18" ht="18" customHeight="1" thickBot="1" x14ac:dyDescent="0.25">
      <c r="A7" s="73" t="s">
        <v>76</v>
      </c>
      <c r="B7" s="171">
        <f>SUM(B5:B6)</f>
        <v>6225537</v>
      </c>
      <c r="C7" s="133">
        <f t="shared" ref="C7:J7" si="0">SUM(C5:C6)</f>
        <v>0</v>
      </c>
      <c r="D7" s="133">
        <f t="shared" si="0"/>
        <v>14349782</v>
      </c>
      <c r="E7" s="133">
        <f t="shared" si="0"/>
        <v>20575319</v>
      </c>
      <c r="F7" s="133">
        <f t="shared" si="0"/>
        <v>9332.8077087160291</v>
      </c>
      <c r="G7" s="133">
        <f t="shared" si="0"/>
        <v>7915.84229747465</v>
      </c>
      <c r="H7" s="44">
        <f>(F7-G7)/G7</f>
        <v>0.17900374438907482</v>
      </c>
      <c r="I7" s="133">
        <f t="shared" si="0"/>
        <v>39435.823475807396</v>
      </c>
      <c r="J7" s="133">
        <f t="shared" si="0"/>
        <v>39374.585990234111</v>
      </c>
      <c r="K7" s="322">
        <f>(I7-J7)/J7</f>
        <v>1.5552540816168461E-3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2865359</v>
      </c>
      <c r="C10" s="118">
        <f>'Regional Major'!L30</f>
        <v>0</v>
      </c>
      <c r="D10" s="118">
        <f>Cargo!M21</f>
        <v>12560623</v>
      </c>
      <c r="E10" s="118">
        <f>SUM(B10:D10)</f>
        <v>15425982</v>
      </c>
      <c r="F10" s="118">
        <f>E10*0.00045359237</f>
        <v>6997.1077349573397</v>
      </c>
      <c r="G10" s="146">
        <f>'[1]Cargo Summary'!F10</f>
        <v>7917.5786490670098</v>
      </c>
      <c r="H10" s="37">
        <f>(F10-G10)/G10</f>
        <v>-0.11625661769941954</v>
      </c>
      <c r="I10" s="146">
        <f>+F10+'[2]Cargo Summary'!I10</f>
        <v>37295.615669156454</v>
      </c>
      <c r="J10" s="146">
        <f>'[1]Cargo Summary'!I10</f>
        <v>39164.618082161112</v>
      </c>
      <c r="K10" s="85">
        <f>(I10-J10)/J10</f>
        <v>-4.7721706594554048E-2</v>
      </c>
      <c r="M10" s="35"/>
    </row>
    <row r="11" spans="1:18" x14ac:dyDescent="0.2">
      <c r="A11" s="62" t="s">
        <v>18</v>
      </c>
      <c r="B11" s="169">
        <f>'Major Airline Stats'!I34</f>
        <v>516095</v>
      </c>
      <c r="C11" s="118">
        <f>'Regional Major'!L31</f>
        <v>0</v>
      </c>
      <c r="D11" s="118">
        <f>Cargo!M22</f>
        <v>22226</v>
      </c>
      <c r="E11" s="118">
        <f>SUM(B11:D11)</f>
        <v>538321</v>
      </c>
      <c r="F11" s="118">
        <f>E11*0.00045359237</f>
        <v>244.17829821076998</v>
      </c>
      <c r="G11" s="146">
        <f>'[1]Cargo Summary'!F11</f>
        <v>410.85081456726999</v>
      </c>
      <c r="H11" s="35">
        <f>(F11-G11)/G11</f>
        <v>-0.40567648997373512</v>
      </c>
      <c r="I11" s="146">
        <f>+F11+'[2]Cargo Summary'!I11</f>
        <v>2198.4306756026999</v>
      </c>
      <c r="J11" s="146">
        <f>'[1]Cargo Summary'!I11</f>
        <v>2679.27759674652</v>
      </c>
      <c r="K11" s="85">
        <f>(I11-J11)/J11</f>
        <v>-0.17946886941753196</v>
      </c>
      <c r="M11" s="35"/>
    </row>
    <row r="12" spans="1:18" ht="18" customHeight="1" thickBot="1" x14ac:dyDescent="0.25">
      <c r="A12" s="73" t="s">
        <v>77</v>
      </c>
      <c r="B12" s="171">
        <f>SUM(B10:B11)</f>
        <v>3381454</v>
      </c>
      <c r="C12" s="133">
        <f t="shared" ref="C12:J12" si="1">SUM(C10:C11)</f>
        <v>0</v>
      </c>
      <c r="D12" s="133">
        <f t="shared" si="1"/>
        <v>12582849</v>
      </c>
      <c r="E12" s="133">
        <f t="shared" si="1"/>
        <v>15964303</v>
      </c>
      <c r="F12" s="133">
        <f t="shared" si="1"/>
        <v>7241.2860331681095</v>
      </c>
      <c r="G12" s="133">
        <f t="shared" si="1"/>
        <v>8328.4294636342802</v>
      </c>
      <c r="H12" s="44">
        <f>(F12-G12)/G12</f>
        <v>-0.1305340262786801</v>
      </c>
      <c r="I12" s="133">
        <f t="shared" si="1"/>
        <v>39494.046344759154</v>
      </c>
      <c r="J12" s="133">
        <f t="shared" si="1"/>
        <v>41843.895678907633</v>
      </c>
      <c r="K12" s="322">
        <f>(I12-J12)/J12</f>
        <v>-5.6157518223929948E-2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4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2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8210587</v>
      </c>
      <c r="C20" s="118">
        <f t="shared" si="3"/>
        <v>0</v>
      </c>
      <c r="D20" s="118">
        <f t="shared" si="3"/>
        <v>26906423</v>
      </c>
      <c r="E20" s="118">
        <f>SUM(B20:D20)</f>
        <v>35117010</v>
      </c>
      <c r="F20" s="118">
        <f>E20*0.00045359237</f>
        <v>15928.8077932137</v>
      </c>
      <c r="G20" s="146">
        <f>'[1]Cargo Summary'!F20</f>
        <v>15184.10346888666</v>
      </c>
      <c r="H20" s="37">
        <f>(F20-G20)/G20</f>
        <v>4.904499800419522E-2</v>
      </c>
      <c r="I20" s="146">
        <f>+I5+I10+I15</f>
        <v>74510.248317350226</v>
      </c>
      <c r="J20" s="146">
        <f>+J5+J10+J15</f>
        <v>75550.726164790802</v>
      </c>
      <c r="K20" s="85">
        <f>(I20-J20)/J20</f>
        <v>-1.3771910612362501E-2</v>
      </c>
      <c r="M20" s="35"/>
    </row>
    <row r="21" spans="1:13" x14ac:dyDescent="0.2">
      <c r="A21" s="62" t="s">
        <v>18</v>
      </c>
      <c r="B21" s="169">
        <f t="shared" si="3"/>
        <v>1396404</v>
      </c>
      <c r="C21" s="120">
        <f t="shared" si="3"/>
        <v>0</v>
      </c>
      <c r="D21" s="120">
        <f t="shared" si="3"/>
        <v>26208</v>
      </c>
      <c r="E21" s="118">
        <f>SUM(B21:D21)</f>
        <v>1422612</v>
      </c>
      <c r="F21" s="118">
        <f>E21*0.00045359237</f>
        <v>645.28594867044001</v>
      </c>
      <c r="G21" s="146">
        <f>'[1]Cargo Summary'!F21</f>
        <v>1060.1682922222699</v>
      </c>
      <c r="H21" s="37">
        <f>(F21-G21)/G21</f>
        <v>-0.3913363063162123</v>
      </c>
      <c r="I21" s="146">
        <f>+I6+I11+I16</f>
        <v>4419.6215032163236</v>
      </c>
      <c r="J21" s="146">
        <f>+J6+J11+J16</f>
        <v>5667.7555043509401</v>
      </c>
      <c r="K21" s="85">
        <f>(I21-J21)/J21</f>
        <v>-0.22021662723038549</v>
      </c>
      <c r="M21" s="35"/>
    </row>
    <row r="22" spans="1:13" ht="18" customHeight="1" thickBot="1" x14ac:dyDescent="0.25">
      <c r="A22" s="88" t="s">
        <v>66</v>
      </c>
      <c r="B22" s="172">
        <f>SUM(B20:B21)</f>
        <v>9606991</v>
      </c>
      <c r="C22" s="173">
        <f t="shared" ref="C22:J22" si="4">SUM(C20:C21)</f>
        <v>0</v>
      </c>
      <c r="D22" s="173">
        <f t="shared" si="4"/>
        <v>26932631</v>
      </c>
      <c r="E22" s="173">
        <f t="shared" si="4"/>
        <v>36539622</v>
      </c>
      <c r="F22" s="173">
        <f t="shared" si="4"/>
        <v>16574.093741884139</v>
      </c>
      <c r="G22" s="173">
        <f t="shared" si="4"/>
        <v>16244.27176110893</v>
      </c>
      <c r="H22" s="328">
        <f>(F22-G22)/G22</f>
        <v>2.0303894543604512E-2</v>
      </c>
      <c r="I22" s="173">
        <f t="shared" si="4"/>
        <v>78929.869820566557</v>
      </c>
      <c r="J22" s="173">
        <f t="shared" si="4"/>
        <v>81218.481669141736</v>
      </c>
      <c r="K22" s="329">
        <f>(I22-J22)/J22</f>
        <v>-2.8178461374078086E-2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May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A26" sqref="A26:N2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9">
        <v>42491</v>
      </c>
      <c r="B1" s="12" t="s">
        <v>20</v>
      </c>
      <c r="C1" s="277" t="s">
        <v>209</v>
      </c>
      <c r="D1" s="439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211</v>
      </c>
      <c r="J1" s="277" t="s">
        <v>215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2" t="s">
        <v>150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4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[3]Delta!$EP$32</f>
        <v>48803</v>
      </c>
      <c r="C4" s="21">
        <f>'[3]Atlantic Southeast'!$EP$32</f>
        <v>379</v>
      </c>
      <c r="D4" s="21">
        <f>[3]Pinnacle!$EP$32</f>
        <v>18474</v>
      </c>
      <c r="E4" s="21">
        <f>[3]Compass!$EP$32</f>
        <v>3981</v>
      </c>
      <c r="F4" s="21">
        <f>'[3]Sky West'!$EP$32</f>
        <v>9728</v>
      </c>
      <c r="G4" s="21">
        <f>'[3]Sun Country'!$EP$32</f>
        <v>2549</v>
      </c>
      <c r="H4" s="21">
        <f>[3]Icelandair!$EP$32</f>
        <v>3169</v>
      </c>
      <c r="I4" s="21">
        <f>'[3]Jazz Air'!$EP$32</f>
        <v>0</v>
      </c>
      <c r="J4" s="21">
        <f>'[3]Air Georgian'!$EP$32</f>
        <v>4425</v>
      </c>
      <c r="K4" s="21">
        <f>[3]Condor!$EP$32</f>
        <v>0</v>
      </c>
      <c r="L4" s="21">
        <f>'[3]Air France'!$EP$32</f>
        <v>4037</v>
      </c>
      <c r="M4" s="21">
        <f>'[3]Charter Misc'!$EP$32+[3]Ryan!$EP$32+[3]Omni!$EP$32</f>
        <v>0</v>
      </c>
      <c r="N4" s="286">
        <f>SUM(B4:M4)</f>
        <v>95545</v>
      </c>
    </row>
    <row r="5" spans="1:14" x14ac:dyDescent="0.2">
      <c r="A5" s="62" t="s">
        <v>34</v>
      </c>
      <c r="B5" s="14">
        <f>[3]Delta!$EP$33</f>
        <v>53425</v>
      </c>
      <c r="C5" s="14">
        <f>'[3]Atlantic Southeast'!$EP$33</f>
        <v>381</v>
      </c>
      <c r="D5" s="14">
        <f>[3]Pinnacle!$EP$33</f>
        <v>20160</v>
      </c>
      <c r="E5" s="14">
        <f>[3]Compass!$EP$33</f>
        <v>3851</v>
      </c>
      <c r="F5" s="14">
        <f>'[3]Sky West'!$EP$33</f>
        <v>9635</v>
      </c>
      <c r="G5" s="14">
        <f>'[3]Sun Country'!$EP$33</f>
        <v>2327</v>
      </c>
      <c r="H5" s="14">
        <f>[3]Icelandair!$EP$33</f>
        <v>4441</v>
      </c>
      <c r="I5" s="14">
        <f>'[3]Jazz Air'!$EP$33</f>
        <v>0</v>
      </c>
      <c r="J5" s="14">
        <f>'[3]Air Georgian'!$EP$33</f>
        <v>4616</v>
      </c>
      <c r="K5" s="14">
        <f>[3]Condor!$EP$33</f>
        <v>0</v>
      </c>
      <c r="L5" s="14">
        <f>'[3]Air France'!$EP$33</f>
        <v>0</v>
      </c>
      <c r="M5" s="14">
        <f>'[3]Charter Misc'!$EP$33++[3]Ryan!$EP$33+[3]Omni!$EP$33</f>
        <v>243</v>
      </c>
      <c r="N5" s="287">
        <f>SUM(B5:M5)</f>
        <v>99079</v>
      </c>
    </row>
    <row r="6" spans="1:14" ht="15" x14ac:dyDescent="0.25">
      <c r="A6" s="60" t="s">
        <v>7</v>
      </c>
      <c r="B6" s="34">
        <f t="shared" ref="B6:M6" si="0">SUM(B4:B5)</f>
        <v>102228</v>
      </c>
      <c r="C6" s="34">
        <f t="shared" si="0"/>
        <v>760</v>
      </c>
      <c r="D6" s="34">
        <f t="shared" si="0"/>
        <v>38634</v>
      </c>
      <c r="E6" s="34">
        <f t="shared" si="0"/>
        <v>7832</v>
      </c>
      <c r="F6" s="34">
        <f t="shared" si="0"/>
        <v>19363</v>
      </c>
      <c r="G6" s="34">
        <f t="shared" si="0"/>
        <v>4876</v>
      </c>
      <c r="H6" s="34">
        <f t="shared" si="0"/>
        <v>7610</v>
      </c>
      <c r="I6" s="34">
        <f t="shared" si="0"/>
        <v>0</v>
      </c>
      <c r="J6" s="34">
        <f t="shared" ref="J6" si="1">SUM(J4:J5)</f>
        <v>9041</v>
      </c>
      <c r="K6" s="34">
        <f t="shared" ref="K6" si="2">SUM(K4:K5)</f>
        <v>0</v>
      </c>
      <c r="L6" s="34">
        <f t="shared" si="0"/>
        <v>4037</v>
      </c>
      <c r="M6" s="34">
        <f t="shared" si="0"/>
        <v>243</v>
      </c>
      <c r="N6" s="288">
        <f>SUM(B6:M6)</f>
        <v>194624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[3]Delta!$EP$37</f>
        <v>1441</v>
      </c>
      <c r="C9" s="21">
        <f>'[3]Atlantic Southeast'!$EP$37</f>
        <v>2</v>
      </c>
      <c r="D9" s="21">
        <f>[3]Pinnacle!$EP$37</f>
        <v>208</v>
      </c>
      <c r="E9" s="21">
        <f>[3]Compass!$EP$37</f>
        <v>79</v>
      </c>
      <c r="F9" s="21">
        <f>'[3]Sky West'!$EP$37</f>
        <v>98</v>
      </c>
      <c r="G9" s="21">
        <f>'[3]Sun Country'!$EP$37</f>
        <v>24</v>
      </c>
      <c r="H9" s="21">
        <f>[3]Icelandair!$EP$37</f>
        <v>36</v>
      </c>
      <c r="I9" s="21">
        <f>'[3]Jazz Air'!$EP$37</f>
        <v>0</v>
      </c>
      <c r="J9" s="21">
        <f>'[3]Air Georgian'!$EP$37</f>
        <v>0</v>
      </c>
      <c r="K9" s="21">
        <f>[3]Condor!$EP$37</f>
        <v>0</v>
      </c>
      <c r="L9" s="21">
        <f>'[3]Air France'!$EP$37</f>
        <v>9</v>
      </c>
      <c r="M9" s="21">
        <f>'[3]Charter Misc'!$EP$37+[3]Ryan!$EP$37+[3]Omni!$EP$37</f>
        <v>0</v>
      </c>
      <c r="N9" s="286">
        <f>SUM(B9:M9)</f>
        <v>1897</v>
      </c>
    </row>
    <row r="10" spans="1:14" x14ac:dyDescent="0.2">
      <c r="A10" s="62" t="s">
        <v>36</v>
      </c>
      <c r="B10" s="14">
        <f>[3]Delta!$EP$38</f>
        <v>1228</v>
      </c>
      <c r="C10" s="14">
        <f>'[3]Atlantic Southeast'!$EP$38</f>
        <v>4</v>
      </c>
      <c r="D10" s="14">
        <f>[3]Pinnacle!$EP$38</f>
        <v>226</v>
      </c>
      <c r="E10" s="14">
        <f>[3]Compass!$EP$38</f>
        <v>60</v>
      </c>
      <c r="F10" s="14">
        <f>'[3]Sky West'!$EP$38</f>
        <v>10</v>
      </c>
      <c r="G10" s="14">
        <f>'[3]Sun Country'!$EP$38</f>
        <v>34</v>
      </c>
      <c r="H10" s="14">
        <f>[3]Icelandair!$EP$38</f>
        <v>57</v>
      </c>
      <c r="I10" s="14">
        <f>'[3]Jazz Air'!$EP$38</f>
        <v>0</v>
      </c>
      <c r="J10" s="14">
        <f>'[3]Air Georgian'!$EP$38</f>
        <v>0</v>
      </c>
      <c r="K10" s="14">
        <f>[3]Condor!$EP$38</f>
        <v>0</v>
      </c>
      <c r="L10" s="14">
        <f>'[3]Air France'!$EP$38</f>
        <v>5</v>
      </c>
      <c r="M10" s="14">
        <f>'[3]Charter Misc'!$EP$38+[3]Ryan!$EP$38+[3]Omni!$EP$38</f>
        <v>0</v>
      </c>
      <c r="N10" s="287">
        <f>SUM(B10:M10)</f>
        <v>1624</v>
      </c>
    </row>
    <row r="11" spans="1:14" ht="15.75" thickBot="1" x14ac:dyDescent="0.3">
      <c r="A11" s="63" t="s">
        <v>37</v>
      </c>
      <c r="B11" s="289">
        <f t="shared" ref="B11:G11" si="3">SUM(B9:B10)</f>
        <v>2669</v>
      </c>
      <c r="C11" s="289">
        <f t="shared" si="3"/>
        <v>6</v>
      </c>
      <c r="D11" s="289">
        <f t="shared" si="3"/>
        <v>434</v>
      </c>
      <c r="E11" s="289">
        <f t="shared" si="3"/>
        <v>139</v>
      </c>
      <c r="F11" s="289">
        <f t="shared" si="3"/>
        <v>108</v>
      </c>
      <c r="G11" s="289">
        <f t="shared" si="3"/>
        <v>58</v>
      </c>
      <c r="H11" s="289">
        <f t="shared" ref="H11:M11" si="4">SUM(H9:H10)</f>
        <v>93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14</v>
      </c>
      <c r="M11" s="289">
        <f t="shared" si="4"/>
        <v>0</v>
      </c>
      <c r="N11" s="290">
        <f>SUM(B11:M11)</f>
        <v>3521</v>
      </c>
    </row>
    <row r="12" spans="1:14" ht="15" x14ac:dyDescent="0.25">
      <c r="A12" s="394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</row>
    <row r="13" spans="1:14" ht="39" thickBot="1" x14ac:dyDescent="0.25">
      <c r="B13" s="12" t="s">
        <v>20</v>
      </c>
      <c r="C13" s="277" t="s">
        <v>54</v>
      </c>
      <c r="D13" s="439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12" t="s">
        <v>105</v>
      </c>
      <c r="J13" s="277" t="s">
        <v>215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5" t="s">
        <v>152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7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SUM([3]Delta!$EL$32:$EP$32)</f>
        <v>355305</v>
      </c>
      <c r="C16" s="21">
        <f>SUM('[3]Atlantic Southeast'!$EL$32:$EP$32)</f>
        <v>8540</v>
      </c>
      <c r="D16" s="21">
        <f>SUM([3]Pinnacle!$EL$32:$EP$32)</f>
        <v>71960</v>
      </c>
      <c r="E16" s="21">
        <f>SUM([3]Compass!$EL$32:$EP$32)</f>
        <v>25722</v>
      </c>
      <c r="F16" s="21">
        <f>SUM('[3]Sky West'!$EL$32:$EP$32)</f>
        <v>46291</v>
      </c>
      <c r="G16" s="21">
        <f>SUM('[3]Sun Country'!$EL$32:$EP$32)</f>
        <v>117277</v>
      </c>
      <c r="H16" s="21">
        <f>SUM([3]Icelandair!$EL$32:$EP$32)</f>
        <v>4291</v>
      </c>
      <c r="I16" s="21">
        <f>SUM('[3]Jazz Air'!$EL$32:$EP$32)</f>
        <v>3553</v>
      </c>
      <c r="J16" s="21">
        <f>SUM('[3]Air Georgian'!$EL$32:$EP$32)</f>
        <v>14802</v>
      </c>
      <c r="K16" s="21">
        <f>SUM([3]Condor!$EL$32:$EP$32)</f>
        <v>0</v>
      </c>
      <c r="L16" s="21">
        <f>SUM('[3]Air France'!$EL$32:$EP$32)</f>
        <v>4037</v>
      </c>
      <c r="M16" s="21">
        <f>SUM('[3]Charter Misc'!$EL$32:$EP$32)+SUM([3]Ryan!$EL$32:$EP$32)+SUM([3]Omni!$EL$32:$EP$32)</f>
        <v>0</v>
      </c>
      <c r="N16" s="286">
        <f>SUM(B16:M16)</f>
        <v>651778</v>
      </c>
    </row>
    <row r="17" spans="1:14" x14ac:dyDescent="0.2">
      <c r="A17" s="62" t="s">
        <v>34</v>
      </c>
      <c r="B17" s="14">
        <f>SUM([3]Delta!$EL$33:$EP$33)</f>
        <v>350258</v>
      </c>
      <c r="C17" s="14">
        <f>SUM('[3]Atlantic Southeast'!$EL$33:$EP$33)</f>
        <v>9408</v>
      </c>
      <c r="D17" s="14">
        <f>SUM([3]Pinnacle!$EL$33:$EP$33)</f>
        <v>74074</v>
      </c>
      <c r="E17" s="14">
        <f>SUM([3]Compass!$EL$33:$EP$33)</f>
        <v>24410</v>
      </c>
      <c r="F17" s="14">
        <f>SUM('[3]Sky West'!$EL$33:$EP$33)</f>
        <v>45600</v>
      </c>
      <c r="G17" s="14">
        <f>SUM('[3]Sun Country'!$EL$33:$EP$33)</f>
        <v>111297</v>
      </c>
      <c r="H17" s="14">
        <f>SUM([3]Icelandair!$EL$33:$EP$33)</f>
        <v>5521</v>
      </c>
      <c r="I17" s="14">
        <f>SUM('[3]Jazz Air'!$EL$33:$EP$33)</f>
        <v>3206</v>
      </c>
      <c r="J17" s="14">
        <f>SUM('[3]Air Georgian'!$EL$33:$EP$33)</f>
        <v>14456</v>
      </c>
      <c r="K17" s="14">
        <f>SUM([3]Condor!$EL$33:$EP$33)</f>
        <v>0</v>
      </c>
      <c r="L17" s="14">
        <f>SUM('[3]Air France'!$EL$33:$EP$33)</f>
        <v>0</v>
      </c>
      <c r="M17" s="14">
        <f>SUM('[3]Charter Misc'!$EL$33:$EP$33)++SUM([3]Ryan!$EL$33:$EP$33)+SUM([3]Omni!$EL$33:$EP$33)</f>
        <v>607</v>
      </c>
      <c r="N17" s="287">
        <f>SUM(B17:M17)</f>
        <v>638837</v>
      </c>
    </row>
    <row r="18" spans="1:14" ht="15" x14ac:dyDescent="0.25">
      <c r="A18" s="60" t="s">
        <v>7</v>
      </c>
      <c r="B18" s="34">
        <f t="shared" ref="B18:M18" si="6">SUM(B16:B17)</f>
        <v>705563</v>
      </c>
      <c r="C18" s="34">
        <f t="shared" si="6"/>
        <v>17948</v>
      </c>
      <c r="D18" s="34">
        <f t="shared" si="6"/>
        <v>146034</v>
      </c>
      <c r="E18" s="34">
        <f t="shared" si="6"/>
        <v>50132</v>
      </c>
      <c r="F18" s="34">
        <f t="shared" si="6"/>
        <v>91891</v>
      </c>
      <c r="G18" s="34">
        <f t="shared" si="6"/>
        <v>228574</v>
      </c>
      <c r="H18" s="34">
        <f t="shared" si="6"/>
        <v>9812</v>
      </c>
      <c r="I18" s="34">
        <f t="shared" si="6"/>
        <v>6759</v>
      </c>
      <c r="J18" s="34">
        <f t="shared" ref="J18" si="7">SUM(J16:J17)</f>
        <v>29258</v>
      </c>
      <c r="K18" s="34">
        <f t="shared" ref="K18" si="8">SUM(K16:K17)</f>
        <v>0</v>
      </c>
      <c r="L18" s="34">
        <f t="shared" si="6"/>
        <v>4037</v>
      </c>
      <c r="M18" s="34">
        <f t="shared" si="6"/>
        <v>607</v>
      </c>
      <c r="N18" s="288">
        <f>SUM(B18:M18)</f>
        <v>1290615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SUM([3]Delta!$EL$37:$EP$37)</f>
        <v>10222</v>
      </c>
      <c r="C21" s="21">
        <f>SUM('[3]Atlantic Southeast'!$EL$37:$EP$37)</f>
        <v>91</v>
      </c>
      <c r="D21" s="21">
        <f>SUM([3]Pinnacle!$EL$37:$EP$37)</f>
        <v>718</v>
      </c>
      <c r="E21" s="21">
        <f>SUM([3]Compass!$EL$37:$EP$37)</f>
        <v>358</v>
      </c>
      <c r="F21" s="21">
        <f>SUM('[3]Sky West'!$EL$37:$EP$37)</f>
        <v>499</v>
      </c>
      <c r="G21" s="21">
        <f>SUM('[3]Sun Country'!$EL$37:$EP$37)</f>
        <v>644</v>
      </c>
      <c r="H21" s="21">
        <f>SUM([3]Icelandair!$EL$37:$EP$37)</f>
        <v>70</v>
      </c>
      <c r="I21" s="21">
        <f>SUM('[3]Jazz Air'!$EL$37:$EP$37)</f>
        <v>24</v>
      </c>
      <c r="J21" s="21">
        <f>SUM('[3]Air Georgian'!$EL$37:$EP$37)</f>
        <v>0</v>
      </c>
      <c r="K21" s="21">
        <f>SUM([3]Condor!$EL$37:$EP$37)</f>
        <v>0</v>
      </c>
      <c r="L21" s="21">
        <f>SUM('[3]Air France'!$EL$37:$EP$37)</f>
        <v>9</v>
      </c>
      <c r="M21" s="21">
        <f>SUM('[3]Charter Misc'!$EL$37:$EP$37)++SUM([3]Ryan!$EL$37:$EP$37)+SUM([3]Omni!$EL$37:$EP$37)</f>
        <v>0</v>
      </c>
      <c r="N21" s="286">
        <f>SUM(B21:M21)</f>
        <v>12635</v>
      </c>
    </row>
    <row r="22" spans="1:14" x14ac:dyDescent="0.2">
      <c r="A22" s="62" t="s">
        <v>36</v>
      </c>
      <c r="B22" s="14">
        <f>SUM([3]Delta!$EL$38:$EP$38)</f>
        <v>9700</v>
      </c>
      <c r="C22" s="14">
        <f>SUM('[3]Atlantic Southeast'!$EL$38:$EP$38)</f>
        <v>108</v>
      </c>
      <c r="D22" s="14">
        <f>SUM([3]Pinnacle!$EL$38:$EP$38)</f>
        <v>738</v>
      </c>
      <c r="E22" s="14">
        <f>SUM([3]Compass!$EL$38:$EP$38)</f>
        <v>322</v>
      </c>
      <c r="F22" s="14">
        <f>SUM('[3]Sky West'!$EL$38:$EP$38)</f>
        <v>407</v>
      </c>
      <c r="G22" s="14">
        <f>SUM('[3]Sun Country'!$EL$38:$EP$38)</f>
        <v>753</v>
      </c>
      <c r="H22" s="14">
        <f>SUM([3]Icelandair!$EL$38:$EP$38)</f>
        <v>88</v>
      </c>
      <c r="I22" s="14">
        <f>SUM('[3]Jazz Air'!$EL$38:$EP$38)</f>
        <v>39</v>
      </c>
      <c r="J22" s="14">
        <f>SUM('[3]Air Georgian'!$EL$38:$EP$38)</f>
        <v>0</v>
      </c>
      <c r="K22" s="14">
        <f>SUM([3]Condor!$EL$38:$EP$38)</f>
        <v>0</v>
      </c>
      <c r="L22" s="14">
        <f>SUM('[3]Air France'!$EL$38:$EP$38)</f>
        <v>5</v>
      </c>
      <c r="M22" s="14">
        <f>SUM('[3]Charter Misc'!$EL$38:$EP$38)++SUM([3]Ryan!$EL$38:$EP$38)+SUM([3]Omni!$EL$38:$EP$38)</f>
        <v>0</v>
      </c>
      <c r="N22" s="287">
        <f>SUM(B22:M22)</f>
        <v>12160</v>
      </c>
    </row>
    <row r="23" spans="1:14" ht="15.75" thickBot="1" x14ac:dyDescent="0.3">
      <c r="A23" s="63" t="s">
        <v>37</v>
      </c>
      <c r="B23" s="289">
        <f t="shared" ref="B23:M23" si="9">SUM(B21:B22)</f>
        <v>19922</v>
      </c>
      <c r="C23" s="289">
        <f t="shared" si="9"/>
        <v>199</v>
      </c>
      <c r="D23" s="289">
        <f t="shared" si="9"/>
        <v>1456</v>
      </c>
      <c r="E23" s="289">
        <f t="shared" si="9"/>
        <v>680</v>
      </c>
      <c r="F23" s="289">
        <f t="shared" si="9"/>
        <v>906</v>
      </c>
      <c r="G23" s="289">
        <f t="shared" si="9"/>
        <v>1397</v>
      </c>
      <c r="H23" s="289">
        <f t="shared" si="9"/>
        <v>158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14</v>
      </c>
      <c r="M23" s="289">
        <f t="shared" si="9"/>
        <v>0</v>
      </c>
      <c r="N23" s="290">
        <f>SUM(B23:M23)</f>
        <v>24795</v>
      </c>
    </row>
    <row r="25" spans="1:14" ht="39" thickBot="1" x14ac:dyDescent="0.25">
      <c r="B25" s="12" t="s">
        <v>20</v>
      </c>
      <c r="C25" s="277" t="s">
        <v>54</v>
      </c>
      <c r="D25" s="439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12" t="s">
        <v>105</v>
      </c>
      <c r="J25" s="277" t="s">
        <v>215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08" t="s">
        <v>153</v>
      </c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10"/>
    </row>
    <row r="27" spans="1:14" x14ac:dyDescent="0.2">
      <c r="A27" s="62" t="s">
        <v>25</v>
      </c>
      <c r="B27" s="21">
        <f>[3]Delta!$EP$15</f>
        <v>273</v>
      </c>
      <c r="C27" s="21">
        <f>'[3]Atlantic Southeast'!$EP$15</f>
        <v>6</v>
      </c>
      <c r="D27" s="21">
        <f>[3]Pinnacle!$EP$15</f>
        <v>315</v>
      </c>
      <c r="E27" s="21">
        <f>[3]Compass!$EP$15</f>
        <v>58</v>
      </c>
      <c r="F27" s="21">
        <f>'[3]Sky West'!$EP$15</f>
        <v>150</v>
      </c>
      <c r="G27" s="21">
        <f>'[3]Sun Country'!$EP$15</f>
        <v>18</v>
      </c>
      <c r="H27" s="21">
        <f>[3]Icelandair!$EP$15</f>
        <v>24</v>
      </c>
      <c r="I27" s="21">
        <f>'[3]Jazz Air'!$EP$15</f>
        <v>0</v>
      </c>
      <c r="J27" s="21">
        <f>'[3]Air Georgian'!$EP$15</f>
        <v>108</v>
      </c>
      <c r="K27" s="21">
        <f>[3]Condor!$EP$15</f>
        <v>0</v>
      </c>
      <c r="L27" s="21">
        <f>'[3]Air France'!$EP$15</f>
        <v>18</v>
      </c>
      <c r="M27" s="21">
        <f>'[3]Charter Misc'!$EP$15+[3]Ryan!$EP$15+[3]Omni!$EP$15</f>
        <v>0</v>
      </c>
      <c r="N27" s="286">
        <f>SUM(B27:M27)</f>
        <v>970</v>
      </c>
    </row>
    <row r="28" spans="1:14" x14ac:dyDescent="0.2">
      <c r="A28" s="62" t="s">
        <v>26</v>
      </c>
      <c r="B28" s="21">
        <f>[3]Delta!$EP$16</f>
        <v>278</v>
      </c>
      <c r="C28" s="21">
        <f>'[3]Atlantic Southeast'!$EP$16</f>
        <v>6</v>
      </c>
      <c r="D28" s="21">
        <f>[3]Pinnacle!$EP$16</f>
        <v>314</v>
      </c>
      <c r="E28" s="21">
        <f>[3]Compass!$EP$16</f>
        <v>57</v>
      </c>
      <c r="F28" s="21">
        <f>'[3]Sky West'!$EP$16</f>
        <v>149</v>
      </c>
      <c r="G28" s="21">
        <f>'[3]Sun Country'!$EP$16</f>
        <v>15</v>
      </c>
      <c r="H28" s="21">
        <f>[3]Icelandair!$EP$16</f>
        <v>24</v>
      </c>
      <c r="I28" s="21">
        <f>'[3]Jazz Air'!$EP$16</f>
        <v>0</v>
      </c>
      <c r="J28" s="21">
        <f>'[3]Air Georgian'!$EP$16</f>
        <v>108</v>
      </c>
      <c r="K28" s="21">
        <f>[3]Condor!$EP$16</f>
        <v>0</v>
      </c>
      <c r="L28" s="21">
        <f>'[3]Air France'!$EP$16</f>
        <v>18</v>
      </c>
      <c r="M28" s="21">
        <f>'[3]Charter Misc'!$EP$16+[3]Ryan!$EP$16+[3]Omni!$EP$16</f>
        <v>0</v>
      </c>
      <c r="N28" s="286">
        <f>SUM(B28:M28)</f>
        <v>969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2">
        <f t="shared" ref="B30:I30" si="12">SUM(B27:B28)</f>
        <v>551</v>
      </c>
      <c r="C30" s="392">
        <f t="shared" si="12"/>
        <v>12</v>
      </c>
      <c r="D30" s="392">
        <f t="shared" si="12"/>
        <v>629</v>
      </c>
      <c r="E30" s="392">
        <f t="shared" si="12"/>
        <v>115</v>
      </c>
      <c r="F30" s="392">
        <f>SUM(F27:F28)</f>
        <v>299</v>
      </c>
      <c r="G30" s="392">
        <f t="shared" si="12"/>
        <v>33</v>
      </c>
      <c r="H30" s="392">
        <f t="shared" si="12"/>
        <v>48</v>
      </c>
      <c r="I30" s="392">
        <f t="shared" si="12"/>
        <v>0</v>
      </c>
      <c r="J30" s="392">
        <f t="shared" ref="J30" si="13">SUM(J27:J28)</f>
        <v>216</v>
      </c>
      <c r="K30" s="392">
        <f>SUM(K27:K28)</f>
        <v>0</v>
      </c>
      <c r="L30" s="392">
        <f>SUM(L27:L28)</f>
        <v>36</v>
      </c>
      <c r="M30" s="392">
        <f>SUM(M27:M28)</f>
        <v>0</v>
      </c>
      <c r="N30" s="393">
        <f>SUM(B30:M30)</f>
        <v>1939</v>
      </c>
    </row>
    <row r="31" spans="1:14" ht="15" x14ac:dyDescent="0.25">
      <c r="A31" s="394"/>
    </row>
    <row r="32" spans="1:14" ht="39" thickBot="1" x14ac:dyDescent="0.25">
      <c r="B32" s="12" t="s">
        <v>20</v>
      </c>
      <c r="C32" s="277" t="s">
        <v>54</v>
      </c>
      <c r="D32" s="439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12" t="s">
        <v>105</v>
      </c>
      <c r="J32" s="277" t="s">
        <v>215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1" t="s">
        <v>154</v>
      </c>
      <c r="B33" s="512"/>
      <c r="C33" s="512"/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3"/>
    </row>
    <row r="34" spans="1:14" x14ac:dyDescent="0.2">
      <c r="A34" s="62" t="s">
        <v>25</v>
      </c>
      <c r="B34" s="21">
        <f>SUM([3]Delta!$EL$15:$EP$15)</f>
        <v>2201</v>
      </c>
      <c r="C34" s="21">
        <f>SUM('[3]Atlantic Southeast'!$EL$15:$EP$15)</f>
        <v>150</v>
      </c>
      <c r="D34" s="21">
        <f>SUM([3]Pinnacle!$EL$15:$EP$15)</f>
        <v>1203</v>
      </c>
      <c r="E34" s="21">
        <f>SUM([3]Compass!$EL$15:$EP$15)</f>
        <v>381</v>
      </c>
      <c r="F34" s="21">
        <f>SUM('[3]Sky West'!$EL$15:$EP$15)</f>
        <v>750</v>
      </c>
      <c r="G34" s="21">
        <f>SUM('[3]Sun Country'!$EL$15:$EP$15)</f>
        <v>1002</v>
      </c>
      <c r="H34" s="21">
        <f>SUM([3]Icelandair!$EL$15:$EP$15)</f>
        <v>33</v>
      </c>
      <c r="I34" s="21">
        <f>SUM('[3]Jazz Air'!$EL$15:$EP$15)</f>
        <v>92</v>
      </c>
      <c r="J34" s="21">
        <f>SUM('[3]Air Georgian'!$EL$15:$EP$15)</f>
        <v>363</v>
      </c>
      <c r="K34" s="21">
        <f>SUM([3]Condor!$EL$15:$EP$15)</f>
        <v>0</v>
      </c>
      <c r="L34" s="21">
        <f>SUM('[3]Air France'!$EL$15:$EP$15)</f>
        <v>18</v>
      </c>
      <c r="M34" s="21">
        <f>SUM('[3]Charter Misc'!$EL$15:$EP$15)+SUM([3]Ryan!$EL$15:$EP$15)+SUM([3]Omni!$EL$15:$EP$15)</f>
        <v>0</v>
      </c>
      <c r="N34" s="286">
        <f>SUM(B34:M34)</f>
        <v>6193</v>
      </c>
    </row>
    <row r="35" spans="1:14" x14ac:dyDescent="0.2">
      <c r="A35" s="62" t="s">
        <v>26</v>
      </c>
      <c r="B35" s="21">
        <f>SUM([3]Delta!$EL$16:$EP$16)</f>
        <v>2209</v>
      </c>
      <c r="C35" s="21">
        <f>SUM('[3]Atlantic Southeast'!$EL$16:$EP$16)</f>
        <v>158</v>
      </c>
      <c r="D35" s="21">
        <f>SUM([3]Pinnacle!$EL$16:$EP$16)</f>
        <v>1193</v>
      </c>
      <c r="E35" s="21">
        <f>SUM([3]Compass!$EL$16:$EP$16)</f>
        <v>377</v>
      </c>
      <c r="F35" s="21">
        <f>SUM('[3]Sky West'!$EL$16:$EP$16)</f>
        <v>751</v>
      </c>
      <c r="G35" s="21">
        <f>SUM('[3]Sun Country'!$EL$16:$EP$16)</f>
        <v>989</v>
      </c>
      <c r="H35" s="21">
        <f>SUM([3]Icelandair!$EL$16:$EP$16)</f>
        <v>33</v>
      </c>
      <c r="I35" s="21">
        <f>SUM('[3]Jazz Air'!$EL$16:$EP$16)</f>
        <v>93</v>
      </c>
      <c r="J35" s="21">
        <f>SUM('[3]Air Georgian'!$EL$16:$EP$16)</f>
        <v>362</v>
      </c>
      <c r="K35" s="21">
        <f>SUM([3]Condor!$EL$16:$EP$16)</f>
        <v>0</v>
      </c>
      <c r="L35" s="21">
        <f>SUM('[3]Air France'!$EL$16:$EP$16)</f>
        <v>18</v>
      </c>
      <c r="M35" s="21">
        <f>SUM('[3]Charter Misc'!$EL$16:$EP$16)+SUM([3]Ryan!$EL$16:$EP$16)+SUM([3]Omni!$EL$16:$EP$16)</f>
        <v>0</v>
      </c>
      <c r="N35" s="286">
        <f>SUM(B35:M35)</f>
        <v>6183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2">
        <f t="shared" ref="B37:I37" si="14">+SUM(B34:B35)</f>
        <v>4410</v>
      </c>
      <c r="C37" s="392">
        <f t="shared" si="14"/>
        <v>308</v>
      </c>
      <c r="D37" s="392">
        <f t="shared" si="14"/>
        <v>2396</v>
      </c>
      <c r="E37" s="392">
        <f t="shared" si="14"/>
        <v>758</v>
      </c>
      <c r="F37" s="392">
        <f>+SUM(F34:F35)</f>
        <v>1501</v>
      </c>
      <c r="G37" s="392">
        <f t="shared" si="14"/>
        <v>1991</v>
      </c>
      <c r="H37" s="392">
        <f t="shared" si="14"/>
        <v>66</v>
      </c>
      <c r="I37" s="392">
        <f t="shared" si="14"/>
        <v>185</v>
      </c>
      <c r="J37" s="392">
        <f t="shared" ref="J37" si="15">+SUM(J34:J35)</f>
        <v>725</v>
      </c>
      <c r="K37" s="392">
        <f>+SUM(K34:K35)</f>
        <v>0</v>
      </c>
      <c r="L37" s="392">
        <f>+SUM(L34:L35)</f>
        <v>36</v>
      </c>
      <c r="M37" s="392">
        <f>+SUM(M34:M35)</f>
        <v>0</v>
      </c>
      <c r="N37" s="393">
        <f>SUM(B37:M37)</f>
        <v>12376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&amp;"Arial,Bold"May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2016-05-24T19:53:51Z</cp:lastPrinted>
  <dcterms:created xsi:type="dcterms:W3CDTF">2007-09-24T12:26:24Z</dcterms:created>
  <dcterms:modified xsi:type="dcterms:W3CDTF">2020-01-29T19:47:41Z</dcterms:modified>
</cp:coreProperties>
</file>