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9702BEDF-008F-403E-A325-D3084C0DB180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Activity'!$A$1:$R$68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H13" i="17" s="1"/>
  <c r="G12" i="17"/>
  <c r="F12" i="17"/>
  <c r="G11" i="17"/>
  <c r="F11" i="17"/>
  <c r="G10" i="17"/>
  <c r="F10" i="17"/>
  <c r="G7" i="17"/>
  <c r="F7" i="17"/>
  <c r="G6" i="17"/>
  <c r="F6" i="17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J23" i="8" s="1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L18" i="8" s="1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P9" i="8" s="1"/>
  <c r="O8" i="8"/>
  <c r="P8" i="8" s="1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D33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P29" i="17"/>
  <c r="M29" i="17"/>
  <c r="D29" i="17"/>
  <c r="D27" i="17"/>
  <c r="P26" i="17"/>
  <c r="M26" i="17"/>
  <c r="M25" i="17" s="1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G5" i="17"/>
  <c r="D7" i="17"/>
  <c r="P6" i="17"/>
  <c r="M6" i="17"/>
  <c r="D6" i="17"/>
  <c r="O29" i="17"/>
  <c r="L29" i="17"/>
  <c r="C29" i="17"/>
  <c r="C27" i="17"/>
  <c r="O26" i="17"/>
  <c r="Q26" i="17" s="1"/>
  <c r="L26" i="17"/>
  <c r="L25" i="17" s="1"/>
  <c r="C26" i="17"/>
  <c r="O22" i="17"/>
  <c r="L22" i="17"/>
  <c r="C22" i="17"/>
  <c r="O21" i="17"/>
  <c r="L21" i="17"/>
  <c r="C21" i="17"/>
  <c r="E21" i="17" s="1"/>
  <c r="O20" i="17"/>
  <c r="L20" i="17"/>
  <c r="C20" i="17"/>
  <c r="O19" i="17"/>
  <c r="L19" i="17"/>
  <c r="C19" i="17"/>
  <c r="O16" i="17"/>
  <c r="L16" i="17"/>
  <c r="N16" i="17" s="1"/>
  <c r="C16" i="17"/>
  <c r="E16" i="17" s="1"/>
  <c r="O15" i="17"/>
  <c r="L15" i="17"/>
  <c r="C15" i="17"/>
  <c r="O14" i="17"/>
  <c r="L14" i="17"/>
  <c r="C14" i="17"/>
  <c r="O13" i="17"/>
  <c r="Q13" i="17" s="1"/>
  <c r="L13" i="17"/>
  <c r="C13" i="17"/>
  <c r="O12" i="17"/>
  <c r="L12" i="17"/>
  <c r="C12" i="17"/>
  <c r="O11" i="17"/>
  <c r="L11" i="17"/>
  <c r="C11" i="17"/>
  <c r="O10" i="17"/>
  <c r="L10" i="17"/>
  <c r="C10" i="17"/>
  <c r="E10" i="17" s="1"/>
  <c r="O7" i="17"/>
  <c r="L7" i="17"/>
  <c r="C7" i="17"/>
  <c r="O6" i="17"/>
  <c r="Q6" i="17" s="1"/>
  <c r="L6" i="17"/>
  <c r="C6" i="17"/>
  <c r="P25" i="17"/>
  <c r="J3" i="17"/>
  <c r="O24" i="7"/>
  <c r="M23" i="7"/>
  <c r="L23" i="7"/>
  <c r="J24" i="7"/>
  <c r="C23" i="7"/>
  <c r="B23" i="7"/>
  <c r="E24" i="7"/>
  <c r="H22" i="17" l="1"/>
  <c r="Q10" i="17"/>
  <c r="N6" i="17"/>
  <c r="F25" i="17"/>
  <c r="E14" i="17"/>
  <c r="Q16" i="17"/>
  <c r="E27" i="17"/>
  <c r="P5" i="17"/>
  <c r="Q19" i="17"/>
  <c r="H20" i="17"/>
  <c r="Q12" i="17"/>
  <c r="E20" i="17"/>
  <c r="Q22" i="17"/>
  <c r="K18" i="8"/>
  <c r="I23" i="8"/>
  <c r="I18" i="8"/>
  <c r="G23" i="8"/>
  <c r="E28" i="8"/>
  <c r="M28" i="8"/>
  <c r="Q20" i="17"/>
  <c r="D18" i="17"/>
  <c r="G25" i="17"/>
  <c r="Q7" i="17"/>
  <c r="C5" i="17"/>
  <c r="Q11" i="17"/>
  <c r="N14" i="17"/>
  <c r="N32" i="8"/>
  <c r="H15" i="17"/>
  <c r="Q21" i="17"/>
  <c r="E12" i="17"/>
  <c r="E22" i="17"/>
  <c r="F5" i="17"/>
  <c r="H5" i="17" s="1"/>
  <c r="Q15" i="17"/>
  <c r="M31" i="8"/>
  <c r="H32" i="8"/>
  <c r="C28" i="8"/>
  <c r="L28" i="8"/>
  <c r="F6" i="8"/>
  <c r="F12" i="8" s="1"/>
  <c r="H6" i="8"/>
  <c r="H12" i="8" s="1"/>
  <c r="J6" i="8"/>
  <c r="J12" i="8" s="1"/>
  <c r="B31" i="8"/>
  <c r="F18" i="8"/>
  <c r="N18" i="8"/>
  <c r="J28" i="8"/>
  <c r="Q14" i="17"/>
  <c r="D5" i="17"/>
  <c r="C6" i="8"/>
  <c r="C12" i="8" s="1"/>
  <c r="K6" i="8"/>
  <c r="K12" i="8" s="1"/>
  <c r="C18" i="8"/>
  <c r="L31" i="8"/>
  <c r="G32" i="8"/>
  <c r="O32" i="8"/>
  <c r="M23" i="8"/>
  <c r="B28" i="8"/>
  <c r="H6" i="17"/>
  <c r="D6" i="8"/>
  <c r="D12" i="8" s="1"/>
  <c r="L6" i="8"/>
  <c r="L12" i="8" s="1"/>
  <c r="N12" i="17"/>
  <c r="N22" i="17"/>
  <c r="Q29" i="17"/>
  <c r="E6" i="8"/>
  <c r="E12" i="8" s="1"/>
  <c r="M6" i="8"/>
  <c r="M12" i="8" s="1"/>
  <c r="H18" i="8"/>
  <c r="F23" i="8"/>
  <c r="N23" i="8"/>
  <c r="N6" i="8"/>
  <c r="N12" i="8" s="1"/>
  <c r="O23" i="8"/>
  <c r="N10" i="17"/>
  <c r="N20" i="17"/>
  <c r="C25" i="17"/>
  <c r="G6" i="8"/>
  <c r="G12" i="8" s="1"/>
  <c r="M32" i="8"/>
  <c r="K23" i="8"/>
  <c r="F28" i="8"/>
  <c r="I28" i="8"/>
  <c r="G9" i="17"/>
  <c r="H29" i="17"/>
  <c r="O18" i="17"/>
  <c r="E15" i="17"/>
  <c r="O10" i="8"/>
  <c r="P10" i="8" s="1"/>
  <c r="P5" i="8"/>
  <c r="C19" i="1" s="1"/>
  <c r="P21" i="8"/>
  <c r="D10" i="5" s="1"/>
  <c r="P22" i="8"/>
  <c r="L32" i="8"/>
  <c r="G31" i="8"/>
  <c r="O31" i="8"/>
  <c r="H26" i="17"/>
  <c r="I6" i="8"/>
  <c r="I12" i="8" s="1"/>
  <c r="J31" i="8"/>
  <c r="E32" i="8"/>
  <c r="H28" i="8"/>
  <c r="H11" i="17"/>
  <c r="H23" i="8"/>
  <c r="G18" i="17"/>
  <c r="O6" i="8"/>
  <c r="D23" i="7"/>
  <c r="L5" i="17"/>
  <c r="E19" i="17"/>
  <c r="M5" i="17"/>
  <c r="M9" i="17"/>
  <c r="N15" i="17"/>
  <c r="M18" i="17"/>
  <c r="G28" i="8"/>
  <c r="E23" i="8"/>
  <c r="D11" i="5"/>
  <c r="O9" i="17"/>
  <c r="O28" i="8"/>
  <c r="J18" i="8"/>
  <c r="K28" i="8"/>
  <c r="N28" i="8"/>
  <c r="C23" i="8"/>
  <c r="P17" i="8"/>
  <c r="I32" i="8"/>
  <c r="C31" i="8"/>
  <c r="P16" i="8"/>
  <c r="C32" i="8"/>
  <c r="E31" i="8"/>
  <c r="F32" i="8"/>
  <c r="P4" i="8"/>
  <c r="B19" i="1" s="1"/>
  <c r="L23" i="8"/>
  <c r="B6" i="8"/>
  <c r="B12" i="8" s="1"/>
  <c r="K31" i="8"/>
  <c r="J32" i="8"/>
  <c r="O18" i="8"/>
  <c r="P26" i="8"/>
  <c r="D15" i="5" s="1"/>
  <c r="F31" i="8"/>
  <c r="N31" i="8"/>
  <c r="H31" i="8"/>
  <c r="B18" i="8"/>
  <c r="I31" i="8"/>
  <c r="B32" i="8"/>
  <c r="K32" i="8"/>
  <c r="E18" i="8"/>
  <c r="M18" i="8"/>
  <c r="B23" i="8"/>
  <c r="P27" i="8"/>
  <c r="D16" i="5" s="1"/>
  <c r="G18" i="8"/>
  <c r="N11" i="17"/>
  <c r="N13" i="17"/>
  <c r="N21" i="17"/>
  <c r="N26" i="17"/>
  <c r="N19" i="17"/>
  <c r="E11" i="17"/>
  <c r="E26" i="17"/>
  <c r="E13" i="17"/>
  <c r="N29" i="17"/>
  <c r="D9" i="17"/>
  <c r="N7" i="17"/>
  <c r="F9" i="17"/>
  <c r="P9" i="17"/>
  <c r="H10" i="17"/>
  <c r="H14" i="17"/>
  <c r="F18" i="17"/>
  <c r="P18" i="17"/>
  <c r="H19" i="17"/>
  <c r="E29" i="17"/>
  <c r="E7" i="17"/>
  <c r="E6" i="17"/>
  <c r="H7" i="17"/>
  <c r="L9" i="17"/>
  <c r="H12" i="17"/>
  <c r="H16" i="17"/>
  <c r="L18" i="17"/>
  <c r="H21" i="17"/>
  <c r="D25" i="17"/>
  <c r="N25" i="17"/>
  <c r="H27" i="17"/>
  <c r="O5" i="17"/>
  <c r="C9" i="17"/>
  <c r="C18" i="17"/>
  <c r="O25" i="17"/>
  <c r="N23" i="7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E5" i="17" l="1"/>
  <c r="I33" i="8"/>
  <c r="Q9" i="17"/>
  <c r="E18" i="17"/>
  <c r="H25" i="17"/>
  <c r="C33" i="8"/>
  <c r="P33" i="17"/>
  <c r="N33" i="8"/>
  <c r="K33" i="8"/>
  <c r="M33" i="8"/>
  <c r="L33" i="8"/>
  <c r="E33" i="8"/>
  <c r="G33" i="17"/>
  <c r="P28" i="8"/>
  <c r="N5" i="17"/>
  <c r="F33" i="8"/>
  <c r="N18" i="17"/>
  <c r="J33" i="8"/>
  <c r="M33" i="17"/>
  <c r="H33" i="8"/>
  <c r="O33" i="8"/>
  <c r="O12" i="8"/>
  <c r="P12" i="8" s="1"/>
  <c r="G33" i="8"/>
  <c r="D5" i="5"/>
  <c r="P6" i="8"/>
  <c r="D6" i="5"/>
  <c r="N9" i="17"/>
  <c r="P23" i="8"/>
  <c r="B33" i="8"/>
  <c r="P31" i="8"/>
  <c r="P32" i="8"/>
  <c r="P18" i="8"/>
  <c r="D33" i="17"/>
  <c r="H18" i="17"/>
  <c r="F33" i="17"/>
  <c r="I18" i="17" s="1"/>
  <c r="E25" i="17"/>
  <c r="Q25" i="17"/>
  <c r="Q5" i="17"/>
  <c r="H9" i="17"/>
  <c r="E9" i="17"/>
  <c r="O33" i="17"/>
  <c r="R5" i="17" s="1"/>
  <c r="L33" i="17"/>
  <c r="Q18" i="17"/>
  <c r="C33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J23" i="7"/>
  <c r="E23" i="7"/>
  <c r="N33" i="17" l="1"/>
  <c r="P33" i="8"/>
  <c r="E33" i="17"/>
  <c r="I9" i="17"/>
  <c r="R25" i="17"/>
  <c r="Q33" i="17"/>
  <c r="R6" i="17"/>
  <c r="R26" i="17"/>
  <c r="R22" i="17"/>
  <c r="R13" i="17"/>
  <c r="R9" i="17"/>
  <c r="R18" i="17"/>
  <c r="R15" i="17"/>
  <c r="R19" i="17"/>
  <c r="R14" i="17"/>
  <c r="R10" i="17"/>
  <c r="R20" i="17"/>
  <c r="R11" i="17"/>
  <c r="R7" i="17"/>
  <c r="R29" i="17"/>
  <c r="R16" i="17"/>
  <c r="R12" i="17"/>
  <c r="R21" i="17"/>
  <c r="I26" i="17"/>
  <c r="I20" i="17"/>
  <c r="I15" i="17"/>
  <c r="I11" i="17"/>
  <c r="I6" i="17"/>
  <c r="H33" i="17"/>
  <c r="I22" i="17"/>
  <c r="I7" i="17"/>
  <c r="I5" i="17"/>
  <c r="I13" i="17"/>
  <c r="I10" i="17"/>
  <c r="I16" i="17"/>
  <c r="I19" i="17"/>
  <c r="I29" i="17"/>
  <c r="I21" i="17"/>
  <c r="I12" i="17"/>
  <c r="I14" i="17"/>
  <c r="I25" i="17"/>
  <c r="I27" i="17"/>
  <c r="E22" i="7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7" i="9" l="1"/>
  <c r="L67" i="9" l="1"/>
  <c r="G67" i="9"/>
  <c r="O67" i="9"/>
  <c r="C67" i="9"/>
  <c r="F67" i="9"/>
  <c r="M67" i="9"/>
  <c r="P67" i="9"/>
  <c r="E67" i="9" l="1"/>
  <c r="H67" i="9"/>
  <c r="Q67" i="9"/>
  <c r="N67" i="9"/>
  <c r="Q63" i="9"/>
  <c r="E63" i="9"/>
  <c r="N63" i="9"/>
  <c r="E46" i="9" l="1"/>
  <c r="N46" i="9"/>
  <c r="Q46" i="9"/>
  <c r="H46" i="9"/>
  <c r="H63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3" i="9"/>
  <c r="C6" i="9"/>
  <c r="C56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8" i="9" l="1"/>
  <c r="G21" i="4"/>
  <c r="D21" i="15"/>
  <c r="G42" i="4"/>
  <c r="D42" i="15"/>
  <c r="O56" i="9"/>
  <c r="N62" i="9"/>
  <c r="H62" i="9"/>
  <c r="E62" i="9"/>
  <c r="Q61" i="9"/>
  <c r="N60" i="9"/>
  <c r="H60" i="9"/>
  <c r="E60" i="9"/>
  <c r="Q59" i="9"/>
  <c r="N58" i="9"/>
  <c r="H58" i="9"/>
  <c r="E58" i="9"/>
  <c r="P56" i="9"/>
  <c r="Q57" i="9"/>
  <c r="M56" i="9"/>
  <c r="D56" i="9"/>
  <c r="Q54" i="9"/>
  <c r="N54" i="9"/>
  <c r="E54" i="9"/>
  <c r="N52" i="9"/>
  <c r="E52" i="9"/>
  <c r="Q50" i="9"/>
  <c r="N50" i="9"/>
  <c r="H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C66" i="9" l="1"/>
  <c r="M68" i="9"/>
  <c r="M66" i="9" s="1"/>
  <c r="N9" i="9"/>
  <c r="L33" i="9"/>
  <c r="N33" i="9" s="1"/>
  <c r="D33" i="9"/>
  <c r="E33" i="9" s="1"/>
  <c r="G6" i="9"/>
  <c r="P6" i="9"/>
  <c r="Q6" i="9" s="1"/>
  <c r="N11" i="9"/>
  <c r="E13" i="9"/>
  <c r="L15" i="9"/>
  <c r="N15" i="9" s="1"/>
  <c r="Q16" i="9"/>
  <c r="E38" i="9"/>
  <c r="P33" i="9"/>
  <c r="E8" i="9"/>
  <c r="N8" i="9"/>
  <c r="F20" i="9"/>
  <c r="H20" i="9" s="1"/>
  <c r="O33" i="9"/>
  <c r="O68" i="9" s="1"/>
  <c r="N35" i="9"/>
  <c r="Q36" i="9"/>
  <c r="E39" i="9"/>
  <c r="N39" i="9"/>
  <c r="Q40" i="9"/>
  <c r="E59" i="9"/>
  <c r="N59" i="9"/>
  <c r="E61" i="9"/>
  <c r="N61" i="9"/>
  <c r="H37" i="9"/>
  <c r="H52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E50" i="9"/>
  <c r="H15" i="9"/>
  <c r="H22" i="9"/>
  <c r="E6" i="9"/>
  <c r="E9" i="9"/>
  <c r="L20" i="9"/>
  <c r="N20" i="9" s="1"/>
  <c r="D20" i="9"/>
  <c r="E23" i="9"/>
  <c r="H26" i="9"/>
  <c r="H42" i="9"/>
  <c r="Q56" i="9"/>
  <c r="G56" i="9"/>
  <c r="Q58" i="9"/>
  <c r="H17" i="9"/>
  <c r="E25" i="9"/>
  <c r="H29" i="9"/>
  <c r="E34" i="9"/>
  <c r="E36" i="9"/>
  <c r="H39" i="9"/>
  <c r="H44" i="9"/>
  <c r="E57" i="9"/>
  <c r="N57" i="9"/>
  <c r="Q60" i="9"/>
  <c r="Q62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Q52" i="9"/>
  <c r="H54" i="9"/>
  <c r="F56" i="9"/>
  <c r="L56" i="9"/>
  <c r="H57" i="9"/>
  <c r="H59" i="9"/>
  <c r="H61" i="9"/>
  <c r="D68" i="9" l="1"/>
  <c r="D66" i="9" s="1"/>
  <c r="P68" i="9"/>
  <c r="P66" i="9" s="1"/>
  <c r="G68" i="9"/>
  <c r="G66" i="9" s="1"/>
  <c r="L68" i="9"/>
  <c r="N68" i="9" s="1"/>
  <c r="F68" i="9"/>
  <c r="R68" i="9"/>
  <c r="O66" i="9"/>
  <c r="R67" i="9"/>
  <c r="Q33" i="9"/>
  <c r="E20" i="9"/>
  <c r="H56" i="9"/>
  <c r="H33" i="9"/>
  <c r="H6" i="9"/>
  <c r="N56" i="9"/>
  <c r="E15" i="9"/>
  <c r="E56" i="9"/>
  <c r="E68" i="9" l="1"/>
  <c r="E66" i="9"/>
  <c r="R66" i="9"/>
  <c r="Q68" i="9"/>
  <c r="H68" i="9"/>
  <c r="I68" i="9" s="1"/>
  <c r="I67" i="9"/>
  <c r="F66" i="9"/>
  <c r="I4" i="9"/>
  <c r="L66" i="9"/>
  <c r="Q66" i="9"/>
  <c r="R46" i="9"/>
  <c r="R4" i="9"/>
  <c r="I46" i="9"/>
  <c r="I6" i="9"/>
  <c r="I63" i="9"/>
  <c r="R59" i="9"/>
  <c r="R63" i="9"/>
  <c r="R57" i="9"/>
  <c r="R37" i="9"/>
  <c r="R24" i="9"/>
  <c r="R48" i="9"/>
  <c r="R33" i="9"/>
  <c r="R25" i="9"/>
  <c r="R35" i="9"/>
  <c r="R26" i="9"/>
  <c r="R21" i="9"/>
  <c r="R44" i="9"/>
  <c r="R16" i="9"/>
  <c r="R56" i="9"/>
  <c r="R22" i="9"/>
  <c r="R62" i="9"/>
  <c r="R15" i="9"/>
  <c r="R58" i="9"/>
  <c r="R11" i="9"/>
  <c r="R52" i="9"/>
  <c r="R29" i="9"/>
  <c r="R61" i="9"/>
  <c r="R9" i="9"/>
  <c r="R8" i="9"/>
  <c r="R34" i="9"/>
  <c r="R54" i="9"/>
  <c r="R42" i="9"/>
  <c r="R60" i="9"/>
  <c r="R7" i="9"/>
  <c r="R36" i="9"/>
  <c r="R18" i="9"/>
  <c r="R27" i="9"/>
  <c r="R20" i="9"/>
  <c r="R31" i="9"/>
  <c r="R53" i="9"/>
  <c r="R17" i="9"/>
  <c r="R6" i="9"/>
  <c r="R39" i="9"/>
  <c r="R38" i="9"/>
  <c r="R23" i="9"/>
  <c r="R50" i="9"/>
  <c r="R13" i="9"/>
  <c r="R40" i="9"/>
  <c r="I33" i="9"/>
  <c r="I56" i="9"/>
  <c r="I62" i="9"/>
  <c r="I60" i="9"/>
  <c r="I11" i="9"/>
  <c r="I58" i="9"/>
  <c r="I7" i="9"/>
  <c r="I38" i="9"/>
  <c r="I54" i="9"/>
  <c r="I15" i="9"/>
  <c r="I16" i="9"/>
  <c r="I26" i="9"/>
  <c r="I42" i="9"/>
  <c r="I21" i="9"/>
  <c r="I39" i="9"/>
  <c r="I44" i="9"/>
  <c r="I61" i="9"/>
  <c r="I8" i="9"/>
  <c r="I52" i="9"/>
  <c r="I25" i="9"/>
  <c r="I34" i="9"/>
  <c r="I36" i="9"/>
  <c r="I23" i="9"/>
  <c r="I31" i="9"/>
  <c r="I50" i="9"/>
  <c r="I37" i="9"/>
  <c r="I24" i="9"/>
  <c r="I35" i="9"/>
  <c r="I22" i="9"/>
  <c r="I13" i="9"/>
  <c r="I59" i="9"/>
  <c r="I18" i="9"/>
  <c r="I29" i="9"/>
  <c r="I20" i="9"/>
  <c r="I57" i="9"/>
  <c r="I9" i="9"/>
  <c r="I27" i="9"/>
  <c r="I17" i="9"/>
  <c r="I40" i="9"/>
  <c r="I48" i="9"/>
  <c r="I66" i="9" l="1"/>
  <c r="N66" i="9"/>
  <c r="H66" i="9"/>
  <c r="J2" i="9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5" i="7"/>
  <c r="P25" i="7" s="1"/>
  <c r="D25" i="7"/>
  <c r="F25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G20" i="1" s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G37" i="15"/>
  <c r="L18" i="4"/>
  <c r="M18" i="4" s="1"/>
  <c r="P10" i="16"/>
  <c r="B11" i="16"/>
  <c r="K51" i="2"/>
  <c r="J21" i="3"/>
  <c r="J20" i="2" s="1"/>
  <c r="K20" i="2" s="1"/>
  <c r="G22" i="3"/>
  <c r="H41" i="4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24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B5" i="5" l="1"/>
  <c r="B11" i="5"/>
  <c r="C24" i="7"/>
  <c r="D24" i="7" s="1"/>
  <c r="F24" i="7" s="1"/>
  <c r="G21" i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D33" i="1" s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J37" i="15"/>
  <c r="J18" i="3"/>
  <c r="L17" i="4"/>
  <c r="M17" i="4" s="1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B6" i="5" l="1"/>
  <c r="B7" i="5" s="1"/>
  <c r="B28" i="1"/>
  <c r="B10" i="5"/>
  <c r="E10" i="5" s="1"/>
  <c r="C27" i="1"/>
  <c r="B27" i="1"/>
  <c r="G5" i="1"/>
  <c r="G18" i="1"/>
  <c r="G19" i="1"/>
  <c r="G7" i="1"/>
  <c r="F23" i="7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B21" i="5"/>
  <c r="L42" i="4"/>
  <c r="M42" i="4" s="1"/>
  <c r="J42" i="15"/>
  <c r="J23" i="3"/>
  <c r="B17" i="1"/>
  <c r="D17" i="1" s="1"/>
  <c r="G17" i="1" s="1"/>
  <c r="K43" i="2"/>
  <c r="C11" i="5"/>
  <c r="M37" i="4"/>
  <c r="H16" i="5"/>
  <c r="L21" i="4"/>
  <c r="M21" i="4" s="1"/>
  <c r="B12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B20" i="5" l="1"/>
  <c r="G16" i="1"/>
  <c r="G6" i="1"/>
  <c r="D10" i="1"/>
  <c r="D8" i="1"/>
  <c r="F8" i="1" s="1"/>
  <c r="F6" i="1"/>
  <c r="C11" i="1"/>
  <c r="B32" i="1"/>
  <c r="D32" i="1" s="1"/>
  <c r="B11" i="1"/>
  <c r="L24" i="7" s="1"/>
  <c r="D28" i="1"/>
  <c r="G28" i="1" s="1"/>
  <c r="B22" i="1"/>
  <c r="B29" i="1"/>
  <c r="C12" i="5"/>
  <c r="C21" i="5"/>
  <c r="E21" i="5" s="1"/>
  <c r="F21" i="5" s="1"/>
  <c r="H21" i="5" s="1"/>
  <c r="E11" i="5"/>
  <c r="F11" i="5" s="1"/>
  <c r="I11" i="5" s="1"/>
  <c r="C29" i="1"/>
  <c r="F5" i="5"/>
  <c r="I5" i="5" s="1"/>
  <c r="E7" i="5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H23" i="7" l="1"/>
  <c r="M24" i="7"/>
  <c r="H24" i="7" s="1"/>
  <c r="G10" i="1"/>
  <c r="G24" i="7"/>
  <c r="G23" i="7"/>
  <c r="P23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N24" i="7" l="1"/>
  <c r="P24" i="7" s="1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I20" i="1" l="1"/>
  <c r="B22" i="7"/>
  <c r="B33" i="7" l="1"/>
  <c r="I21" i="1"/>
  <c r="C22" i="7"/>
  <c r="C33" i="7" s="1"/>
  <c r="D22" i="7" l="1"/>
  <c r="I18" i="1" l="1"/>
  <c r="I7" i="1"/>
  <c r="I19" i="1"/>
  <c r="I5" i="1"/>
  <c r="K6" i="5"/>
  <c r="F22" i="7"/>
  <c r="D33" i="7"/>
  <c r="I17" i="1"/>
  <c r="M22" i="7"/>
  <c r="L22" i="7"/>
  <c r="I28" i="1"/>
  <c r="K11" i="5"/>
  <c r="I6" i="1" l="1"/>
  <c r="F33" i="7"/>
  <c r="I7" i="5"/>
  <c r="K7" i="5" s="1"/>
  <c r="I20" i="5"/>
  <c r="K5" i="5"/>
  <c r="N22" i="7"/>
  <c r="G22" i="7"/>
  <c r="L33" i="7"/>
  <c r="D34" i="1"/>
  <c r="E33" i="1" s="1"/>
  <c r="I27" i="1"/>
  <c r="G29" i="1"/>
  <c r="I29" i="1" s="1"/>
  <c r="H22" i="7"/>
  <c r="H33" i="7" s="1"/>
  <c r="M33" i="7"/>
  <c r="K15" i="5"/>
  <c r="I17" i="5"/>
  <c r="K17" i="5" s="1"/>
  <c r="I21" i="5"/>
  <c r="K21" i="5" s="1"/>
  <c r="G8" i="1"/>
  <c r="I12" i="5"/>
  <c r="K12" i="5" s="1"/>
  <c r="K10" i="5"/>
  <c r="G22" i="1"/>
  <c r="I22" i="1" s="1"/>
  <c r="I16" i="1"/>
  <c r="I10" i="1" l="1"/>
  <c r="E32" i="1"/>
  <c r="I22" i="7"/>
  <c r="G33" i="7"/>
  <c r="P22" i="7"/>
  <c r="N33" i="7"/>
  <c r="P33" i="7" s="1"/>
  <c r="I8" i="1"/>
  <c r="G11" i="1"/>
  <c r="I11" i="1" s="1"/>
  <c r="I22" i="5"/>
  <c r="K22" i="5" s="1"/>
  <c r="K20" i="5"/>
  <c r="K22" i="7" l="1"/>
  <c r="I33" i="7"/>
  <c r="K33" i="7" l="1"/>
</calcChain>
</file>

<file path=xl/sharedStrings.xml><?xml version="1.0" encoding="utf-8"?>
<sst xmlns="http://schemas.openxmlformats.org/spreadsheetml/2006/main" count="622" uniqueCount="239">
  <si>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</si>
  <si>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</si>
  <si>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</si>
  <si>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</si>
  <si>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</si>
  <si>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</si>
  <si>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</si>
  <si>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</si>
  <si>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</si>
  <si>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</si>
  <si>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</si>
  <si>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</si>
  <si>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</si>
  <si>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</si>
  <si>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</si>
  <si>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</si>
  <si>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</si>
  <si>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</si>
  <si>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</si>
  <si>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</si>
  <si>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</si>
  <si>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</si>
  <si>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</si>
  <si>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</si>
  <si>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</si>
  <si>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</si>
  <si>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</si>
  <si>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</si>
  <si>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</si>
  <si>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</si>
  <si>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</si>
  <si>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</si>
  <si>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</si>
  <si>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</si>
  <si>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</si>
  <si>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</si>
  <si>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</si>
  <si>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</si>
  <si>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</si>
  <si>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</si>
  <si>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</si>
  <si>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</si>
  <si>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</si>
  <si>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</si>
  <si>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</si>
  <si>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</si>
  <si>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</si>
  <si>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</si>
  <si>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</si>
  <si>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</si>
  <si>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</si>
  <si>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</si>
  <si>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</si>
  <si>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</si>
  <si>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</si>
  <si>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</si>
  <si>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</si>
  <si>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</si>
  <si>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</si>
  <si>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</si>
  <si>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</si>
  <si>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</si>
  <si>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</si>
  <si>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</si>
  <si>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</si>
  <si>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</si>
  <si>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</si>
  <si>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</si>
  <si>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</si>
  <si>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</si>
  <si>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</si>
  <si>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</si>
  <si>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</si>
  <si>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</si>
  <si>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</si>
  <si>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</si>
  <si>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</si>
  <si>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</si>
  <si>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</si>
  <si>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</si>
  <si>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</si>
  <si>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</si>
  <si>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</si>
  <si>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</si>
  <si>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</si>
  <si>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</si>
  <si>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</si>
  <si>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</si>
  <si>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</si>
  <si>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</si>
  <si>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</si>
  <si>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</si>
  <si>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</si>
  <si>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</si>
  <si>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</si>
  <si>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</si>
  <si>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</si>
  <si>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</si>
  <si>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</si>
  <si>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</si>
  <si>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</si>
  <si>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</si>
  <si>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</si>
  <si>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</si>
  <si>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</si>
  <si>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</si>
  <si>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</si>
  <si>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</si>
  <si>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</si>
  <si>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</si>
  <si>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</si>
  <si>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</si>
  <si>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</si>
  <si>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</si>
  <si>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</si>
  <si>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</si>
  <si>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</si>
  <si>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</si>
  <si>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</si>
  <si>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</si>
  <si>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</si>
  <si>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</si>
  <si>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</si>
  <si>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</si>
  <si>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</si>
  <si>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</si>
  <si>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</si>
  <si>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</si>
  <si>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</si>
  <si>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</si>
  <si>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</si>
  <si>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</si>
  <si>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</si>
  <si>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</si>
  <si>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</si>
  <si>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</si>
  <si>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</si>
  <si>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</si>
  <si>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</si>
  <si>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</si>
  <si>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</si>
  <si>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</si>
  <si>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</si>
  <si>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</si>
  <si>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</si>
  <si>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</si>
  <si>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</si>
  <si>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</si>
  <si>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</si>
  <si>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</si>
  <si>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</si>
  <si>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</si>
  <si>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</si>
  <si>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</si>
  <si>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</si>
  <si>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</si>
  <si>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</si>
  <si>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</si>
  <si>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</si>
  <si>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</si>
  <si>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</si>
  <si>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</si>
  <si>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</si>
  <si>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</si>
  <si>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</si>
  <si>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</si>
  <si>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</si>
  <si>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</si>
  <si>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</si>
  <si>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</si>
  <si>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</si>
  <si>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</si>
  <si>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</si>
  <si>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</si>
  <si>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</si>
  <si>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</si>
  <si>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</si>
  <si>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</si>
  <si>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</si>
  <si>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</si>
  <si>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</si>
  <si>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</si>
  <si>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</si>
  <si>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</si>
  <si>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</si>
  <si>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</si>
  <si>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</si>
  <si>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</si>
  <si>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</si>
  <si>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</si>
  <si>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</si>
  <si>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</si>
  <si>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</si>
  <si>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</si>
  <si>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</si>
  <si>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</si>
  <si>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</si>
  <si>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</si>
  <si>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</si>
  <si>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</si>
  <si>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</si>
  <si>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</si>
  <si>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</si>
  <si>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</si>
  <si>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</si>
  <si>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</si>
  <si>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</si>
  <si>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</si>
  <si>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</si>
  <si>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</si>
  <si>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</si>
  <si>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</si>
  <si>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</si>
  <si>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</si>
  <si>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</si>
  <si>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</si>
  <si>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</si>
  <si>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</si>
  <si>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</si>
  <si>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</si>
  <si>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</si>
  <si>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</si>
  <si>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Air Wisconsin - American</t>
  </si>
  <si>
    <t>April 2019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</si>
  <si>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</si>
  <si>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</si>
  <si>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</si>
  <si>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</si>
  <si>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</si>
  <si>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</si>
  <si>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</si>
  <si>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</si>
  <si>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</si>
  <si>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MSP Cargo</t>
  </si>
  <si>
    <t>Encore -DHL</t>
  </si>
  <si>
    <t>Kalitta - DHL</t>
  </si>
  <si>
    <t>Southern Air - DHL</t>
  </si>
  <si>
    <t>Swift Air - DHL</t>
  </si>
  <si>
    <t>Sun Country -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</si>
</sst>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4" fillId="14" borderId="0" xfId="0" applyNumberFormat="1" applyFont="1" applyFill="1"/>
    <xf numFmtId="10" fontId="4" fillId="14" borderId="11" xfId="0" applyNumberFormat="1" applyFont="1" applyFill="1" applyBorder="1"/>
    <xf numFmtId="10" fontId="4" fillId="14" borderId="0" xfId="0" applyNumberFormat="1" applyFont="1" applyFill="1"/>
    <xf numFmtId="1" fontId="0" fillId="0" borderId="9" xfId="0" applyNumberFormat="1" applyBorder="1"/>
    <xf numFmtId="3" fontId="4" fillId="14" borderId="9" xfId="0" applyNumberFormat="1" applyFont="1" applyFill="1" applyBorder="1"/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1" xfId="0" applyNumberFormat="1" applyFont="1" applyFill="1" applyBorder="1" applyAlignment="1">
      <alignment horizontal="center"/>
    </xf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0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2420182</v>
          </cell>
          <cell r="G5">
            <v>9290890</v>
          </cell>
        </row>
        <row r="6">
          <cell r="D6">
            <v>613293</v>
          </cell>
          <cell r="G6">
            <v>2353150</v>
          </cell>
        </row>
        <row r="7">
          <cell r="D7">
            <v>1472</v>
          </cell>
          <cell r="G7">
            <v>2099</v>
          </cell>
        </row>
        <row r="10">
          <cell r="D10">
            <v>101083</v>
          </cell>
          <cell r="G10">
            <v>389147</v>
          </cell>
        </row>
        <row r="16">
          <cell r="D16">
            <v>18471</v>
          </cell>
          <cell r="G16">
            <v>71098</v>
          </cell>
        </row>
        <row r="17">
          <cell r="D17">
            <v>11657</v>
          </cell>
          <cell r="G17">
            <v>45608</v>
          </cell>
        </row>
        <row r="18">
          <cell r="D18">
            <v>11</v>
          </cell>
          <cell r="G18">
            <v>29</v>
          </cell>
        </row>
        <row r="19">
          <cell r="D19">
            <v>1150</v>
          </cell>
          <cell r="G19">
            <v>4567</v>
          </cell>
        </row>
        <row r="20">
          <cell r="D20">
            <v>2462</v>
          </cell>
          <cell r="G20">
            <v>6591</v>
          </cell>
        </row>
        <row r="21">
          <cell r="D21">
            <v>107</v>
          </cell>
          <cell r="G21">
            <v>354</v>
          </cell>
        </row>
        <row r="27">
          <cell r="D27">
            <v>14623.697806821951</v>
          </cell>
          <cell r="G27">
            <v>65936.100609409026</v>
          </cell>
        </row>
        <row r="28">
          <cell r="D28">
            <v>2222.3254680619298</v>
          </cell>
          <cell r="G28">
            <v>8478.1525939009898</v>
          </cell>
        </row>
        <row r="32">
          <cell r="B32">
            <v>926664</v>
          </cell>
          <cell r="D32">
            <v>3863662</v>
          </cell>
        </row>
        <row r="33">
          <cell r="B33">
            <v>541201</v>
          </cell>
          <cell r="D33">
            <v>1946900</v>
          </cell>
        </row>
      </sheetData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5807620</v>
          </cell>
        </row>
        <row r="6">
          <cell r="G6">
            <v>1505614</v>
          </cell>
        </row>
        <row r="7">
          <cell r="G7">
            <v>893</v>
          </cell>
        </row>
        <row r="10">
          <cell r="G10">
            <v>250040</v>
          </cell>
        </row>
        <row r="16">
          <cell r="G16">
            <v>49465</v>
          </cell>
        </row>
        <row r="17">
          <cell r="G17">
            <v>34482</v>
          </cell>
        </row>
        <row r="18">
          <cell r="G18">
            <v>8</v>
          </cell>
        </row>
        <row r="19">
          <cell r="G19">
            <v>3421</v>
          </cell>
        </row>
        <row r="20">
          <cell r="G20">
            <v>3102</v>
          </cell>
        </row>
        <row r="21">
          <cell r="G21">
            <v>166</v>
          </cell>
        </row>
        <row r="27">
          <cell r="G27">
            <v>47426.326376130237</v>
          </cell>
        </row>
        <row r="28">
          <cell r="G28">
            <v>5234.62513975401</v>
          </cell>
        </row>
        <row r="32">
          <cell r="D32">
            <v>2403084</v>
          </cell>
        </row>
        <row r="33">
          <cell r="D33">
            <v>1214512</v>
          </cell>
        </row>
      </sheetData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>
        <row r="5">
          <cell r="I5">
            <v>25527.679178400631</v>
          </cell>
        </row>
        <row r="6">
          <cell r="I6">
            <v>2118.68233307115</v>
          </cell>
        </row>
        <row r="10">
          <cell r="I10">
            <v>21898.64719772961</v>
          </cell>
        </row>
        <row r="11">
          <cell r="I11">
            <v>3115.9428066828605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S4">
            <v>93</v>
          </cell>
        </row>
        <row r="5">
          <cell r="GS5">
            <v>93</v>
          </cell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</row>
        <row r="22">
          <cell r="GS22">
            <v>53</v>
          </cell>
        </row>
        <row r="23">
          <cell r="GS23">
            <v>49</v>
          </cell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</row>
      </sheetData>
      <sheetData sheetId="3"/>
      <sheetData sheetId="4"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5"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</row>
        <row r="33">
          <cell r="GP33">
            <v>2360</v>
          </cell>
          <cell r="GQ33">
            <v>1355</v>
          </cell>
          <cell r="GR33">
            <v>879</v>
          </cell>
        </row>
        <row r="37">
          <cell r="GP37">
            <v>20</v>
          </cell>
          <cell r="GQ37">
            <v>10</v>
          </cell>
          <cell r="GR37">
            <v>5</v>
          </cell>
        </row>
        <row r="38">
          <cell r="GP38">
            <v>22</v>
          </cell>
          <cell r="GQ38">
            <v>8</v>
          </cell>
          <cell r="GR38">
            <v>7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</row>
      </sheetData>
      <sheetData sheetId="6">
        <row r="4">
          <cell r="GS4">
            <v>46</v>
          </cell>
        </row>
        <row r="5">
          <cell r="GS5">
            <v>47</v>
          </cell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</row>
        <row r="22">
          <cell r="GS22">
            <v>557</v>
          </cell>
        </row>
        <row r="23">
          <cell r="GS23">
            <v>741</v>
          </cell>
        </row>
        <row r="27">
          <cell r="GS27">
            <v>84</v>
          </cell>
        </row>
        <row r="28">
          <cell r="GS28">
            <v>86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</row>
        <row r="47">
          <cell r="GS47">
            <v>17547</v>
          </cell>
        </row>
        <row r="48">
          <cell r="GS48">
            <v>331</v>
          </cell>
        </row>
        <row r="52">
          <cell r="GS52">
            <v>2658</v>
          </cell>
        </row>
        <row r="53">
          <cell r="GS53">
            <v>175</v>
          </cell>
        </row>
      </sheetData>
      <sheetData sheetId="7"/>
      <sheetData sheetId="8">
        <row r="4">
          <cell r="GS4">
            <v>184</v>
          </cell>
        </row>
        <row r="5">
          <cell r="GS5">
            <v>187</v>
          </cell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</row>
        <row r="22">
          <cell r="GS22">
            <v>4827</v>
          </cell>
        </row>
        <row r="23">
          <cell r="GS23">
            <v>4292</v>
          </cell>
        </row>
        <row r="27">
          <cell r="GS27">
            <v>792</v>
          </cell>
        </row>
        <row r="28">
          <cell r="GS28">
            <v>757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</row>
        <row r="47">
          <cell r="GS47">
            <v>41169</v>
          </cell>
        </row>
        <row r="48">
          <cell r="GS48">
            <v>71758</v>
          </cell>
        </row>
        <row r="52">
          <cell r="GS52">
            <v>1441</v>
          </cell>
        </row>
        <row r="53">
          <cell r="GS53">
            <v>55543</v>
          </cell>
        </row>
      </sheetData>
      <sheetData sheetId="9"/>
      <sheetData sheetId="10">
        <row r="4">
          <cell r="GS4">
            <v>83</v>
          </cell>
        </row>
        <row r="5">
          <cell r="GS5">
            <v>83</v>
          </cell>
        </row>
        <row r="8">
          <cell r="GS8">
            <v>36</v>
          </cell>
        </row>
        <row r="9">
          <cell r="GS9">
            <v>37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</row>
        <row r="22">
          <cell r="GS22">
            <v>4556</v>
          </cell>
        </row>
        <row r="23">
          <cell r="GS23">
            <v>2844</v>
          </cell>
        </row>
        <row r="27">
          <cell r="GS27">
            <v>124</v>
          </cell>
        </row>
        <row r="28">
          <cell r="GS28">
            <v>117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</row>
        <row r="47">
          <cell r="GS47">
            <v>712</v>
          </cell>
        </row>
        <row r="48">
          <cell r="GS48">
            <v>35216</v>
          </cell>
        </row>
        <row r="53">
          <cell r="GS53">
            <v>20514</v>
          </cell>
        </row>
        <row r="70">
          <cell r="GS70">
            <v>2844</v>
          </cell>
        </row>
      </sheetData>
      <sheetData sheetId="11">
        <row r="4">
          <cell r="GS4">
            <v>70</v>
          </cell>
        </row>
        <row r="5">
          <cell r="GS5">
            <v>70</v>
          </cell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</row>
        <row r="22">
          <cell r="GS22">
            <v>31</v>
          </cell>
        </row>
        <row r="23">
          <cell r="GS23">
            <v>35</v>
          </cell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</row>
      </sheetData>
      <sheetData sheetId="1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13">
        <row r="4">
          <cell r="GS4">
            <v>1319</v>
          </cell>
        </row>
        <row r="5">
          <cell r="GS5">
            <v>1331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</row>
        <row r="22">
          <cell r="GS22">
            <v>31502</v>
          </cell>
        </row>
        <row r="23">
          <cell r="GS23">
            <v>27854</v>
          </cell>
        </row>
        <row r="27">
          <cell r="GS27">
            <v>7317</v>
          </cell>
        </row>
        <row r="28">
          <cell r="GS28">
            <v>7304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</row>
        <row r="37">
          <cell r="GP37">
            <v>2723</v>
          </cell>
          <cell r="GQ37">
            <v>2645</v>
          </cell>
          <cell r="GR37">
            <v>1160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</row>
        <row r="47">
          <cell r="GS47">
            <v>447099</v>
          </cell>
        </row>
        <row r="48">
          <cell r="GS48">
            <v>468661</v>
          </cell>
        </row>
        <row r="52">
          <cell r="GS52">
            <v>234809</v>
          </cell>
        </row>
        <row r="53">
          <cell r="GS53">
            <v>419847</v>
          </cell>
        </row>
        <row r="70">
          <cell r="GS70">
            <v>12950</v>
          </cell>
        </row>
        <row r="71">
          <cell r="GS71">
            <v>14904</v>
          </cell>
        </row>
        <row r="73">
          <cell r="GS73">
            <v>2</v>
          </cell>
        </row>
        <row r="74">
          <cell r="GS74">
            <v>3</v>
          </cell>
        </row>
      </sheetData>
      <sheetData sheetId="14"/>
      <sheetData sheetId="15">
        <row r="4">
          <cell r="GS4">
            <v>14</v>
          </cell>
        </row>
        <row r="5">
          <cell r="GS5">
            <v>14</v>
          </cell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</row>
        <row r="22">
          <cell r="GS22">
            <v>319</v>
          </cell>
        </row>
        <row r="23">
          <cell r="GS23">
            <v>592</v>
          </cell>
        </row>
        <row r="27">
          <cell r="GS27">
            <v>13</v>
          </cell>
        </row>
        <row r="28">
          <cell r="GS28">
            <v>17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</row>
      </sheetData>
      <sheetData sheetId="16"/>
      <sheetData sheetId="17">
        <row r="15">
          <cell r="GP15">
            <v>4</v>
          </cell>
          <cell r="GR15">
            <v>5</v>
          </cell>
        </row>
        <row r="16">
          <cell r="GP16">
            <v>4</v>
          </cell>
          <cell r="GR16">
            <v>5</v>
          </cell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</row>
        <row r="32">
          <cell r="GP32">
            <v>705</v>
          </cell>
          <cell r="GR32">
            <v>306</v>
          </cell>
        </row>
        <row r="33">
          <cell r="GP33">
            <v>387</v>
          </cell>
          <cell r="GR33">
            <v>660</v>
          </cell>
        </row>
        <row r="37">
          <cell r="GP37">
            <v>11</v>
          </cell>
          <cell r="GR37">
            <v>11</v>
          </cell>
        </row>
        <row r="38">
          <cell r="GP38">
            <v>9</v>
          </cell>
          <cell r="GR38">
            <v>11</v>
          </cell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</row>
      </sheetData>
      <sheetData sheetId="18">
        <row r="4">
          <cell r="GS4">
            <v>9</v>
          </cell>
        </row>
        <row r="5">
          <cell r="GS5">
            <v>10</v>
          </cell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</row>
        <row r="22">
          <cell r="GS22">
            <v>37</v>
          </cell>
        </row>
        <row r="23">
          <cell r="GS23">
            <v>33</v>
          </cell>
        </row>
        <row r="27">
          <cell r="GS27">
            <v>9</v>
          </cell>
        </row>
        <row r="28">
          <cell r="GS28">
            <v>14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</row>
      </sheetData>
      <sheetData sheetId="19">
        <row r="4">
          <cell r="GS4">
            <v>36</v>
          </cell>
        </row>
        <row r="5">
          <cell r="GS5">
            <v>36</v>
          </cell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</row>
        <row r="22">
          <cell r="GS22">
            <v>478</v>
          </cell>
        </row>
        <row r="23">
          <cell r="GS23">
            <v>505</v>
          </cell>
        </row>
        <row r="27">
          <cell r="GS27">
            <v>223</v>
          </cell>
        </row>
        <row r="28">
          <cell r="GS28">
            <v>229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</row>
        <row r="47">
          <cell r="GS47">
            <v>4733</v>
          </cell>
        </row>
        <row r="48">
          <cell r="GS48">
            <v>1885</v>
          </cell>
        </row>
        <row r="52">
          <cell r="GS52">
            <v>10982</v>
          </cell>
        </row>
        <row r="53">
          <cell r="GS53">
            <v>973</v>
          </cell>
        </row>
      </sheetData>
      <sheetData sheetId="20">
        <row r="15">
          <cell r="GP15">
            <v>16</v>
          </cell>
          <cell r="GQ15">
            <v>16</v>
          </cell>
          <cell r="GR15">
            <v>8</v>
          </cell>
        </row>
        <row r="16">
          <cell r="GP16">
            <v>16</v>
          </cell>
          <cell r="GQ16">
            <v>16</v>
          </cell>
          <cell r="GR16">
            <v>8</v>
          </cell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</row>
        <row r="32">
          <cell r="GP32">
            <v>4308</v>
          </cell>
          <cell r="GQ32">
            <v>3420</v>
          </cell>
          <cell r="GR32">
            <v>1562</v>
          </cell>
        </row>
        <row r="33">
          <cell r="GP33">
            <v>3030</v>
          </cell>
          <cell r="GQ33">
            <v>2577</v>
          </cell>
          <cell r="GR33">
            <v>1071</v>
          </cell>
        </row>
        <row r="37">
          <cell r="GP37">
            <v>12</v>
          </cell>
          <cell r="GQ37">
            <v>10</v>
          </cell>
          <cell r="GR37">
            <v>13</v>
          </cell>
        </row>
        <row r="38">
          <cell r="GP38">
            <v>5</v>
          </cell>
          <cell r="GQ38">
            <v>20</v>
          </cell>
          <cell r="GR38">
            <v>1</v>
          </cell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</row>
      </sheetData>
      <sheetData sheetId="21"/>
      <sheetData sheetId="2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</sheetData>
      <sheetData sheetId="23">
        <row r="4">
          <cell r="GS4">
            <v>271</v>
          </cell>
        </row>
        <row r="5">
          <cell r="GS5">
            <v>269</v>
          </cell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</row>
        <row r="22">
          <cell r="GS22">
            <v>3041</v>
          </cell>
        </row>
        <row r="23">
          <cell r="GS23">
            <v>2185</v>
          </cell>
        </row>
        <row r="27">
          <cell r="GS27">
            <v>852</v>
          </cell>
        </row>
        <row r="28">
          <cell r="GS28">
            <v>882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</row>
        <row r="47">
          <cell r="GS47">
            <v>223435</v>
          </cell>
        </row>
        <row r="52">
          <cell r="GS52">
            <v>97961</v>
          </cell>
        </row>
        <row r="70">
          <cell r="GS70">
            <v>2168</v>
          </cell>
        </row>
        <row r="71">
          <cell r="GS71">
            <v>17</v>
          </cell>
        </row>
      </sheetData>
      <sheetData sheetId="24">
        <row r="4">
          <cell r="GS4">
            <v>67</v>
          </cell>
        </row>
        <row r="5">
          <cell r="GS5">
            <v>69</v>
          </cell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</row>
        <row r="22">
          <cell r="GS22">
            <v>1789</v>
          </cell>
        </row>
        <row r="23">
          <cell r="GS23">
            <v>1367</v>
          </cell>
        </row>
        <row r="27">
          <cell r="GS27">
            <v>42</v>
          </cell>
        </row>
        <row r="28">
          <cell r="GS28">
            <v>43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</row>
      </sheetData>
      <sheetData sheetId="25"/>
      <sheetData sheetId="26"/>
      <sheetData sheetId="27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2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</row>
      </sheetData>
      <sheetData sheetId="29">
        <row r="4">
          <cell r="GS4">
            <v>21</v>
          </cell>
        </row>
        <row r="5">
          <cell r="GS5">
            <v>21</v>
          </cell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</row>
        <row r="22">
          <cell r="GS22">
            <v>490</v>
          </cell>
        </row>
        <row r="23">
          <cell r="GS23">
            <v>209</v>
          </cell>
        </row>
        <row r="27">
          <cell r="GS27">
            <v>135</v>
          </cell>
        </row>
        <row r="28">
          <cell r="GS28">
            <v>71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</row>
      </sheetData>
      <sheetData sheetId="3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31"/>
      <sheetData sheetId="32"/>
      <sheetData sheetId="33"/>
      <sheetData sheetId="3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35"/>
      <sheetData sheetId="36"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</row>
      </sheetData>
      <sheetData sheetId="37"/>
      <sheetData sheetId="38"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</row>
      </sheetData>
      <sheetData sheetId="39"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</row>
      </sheetData>
      <sheetData sheetId="40">
        <row r="4">
          <cell r="GS4">
            <v>2</v>
          </cell>
        </row>
        <row r="5">
          <cell r="GS5">
            <v>2</v>
          </cell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</row>
        <row r="22">
          <cell r="GS22">
            <v>14</v>
          </cell>
        </row>
        <row r="23">
          <cell r="GS23">
            <v>32</v>
          </cell>
        </row>
        <row r="27">
          <cell r="GS27">
            <v>6</v>
          </cell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</row>
      </sheetData>
      <sheetData sheetId="41">
        <row r="4">
          <cell r="GS4">
            <v>33</v>
          </cell>
        </row>
        <row r="5">
          <cell r="GS5">
            <v>33</v>
          </cell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</row>
        <row r="22">
          <cell r="GS22">
            <v>421</v>
          </cell>
        </row>
        <row r="23">
          <cell r="GS23">
            <v>268</v>
          </cell>
        </row>
        <row r="27">
          <cell r="GS27">
            <v>51</v>
          </cell>
        </row>
        <row r="28">
          <cell r="GS28">
            <v>104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</row>
      </sheetData>
      <sheetData sheetId="42"/>
      <sheetData sheetId="43"/>
      <sheetData sheetId="44">
        <row r="4">
          <cell r="GS4">
            <v>344</v>
          </cell>
        </row>
        <row r="5">
          <cell r="GS5">
            <v>343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</row>
        <row r="16">
          <cell r="GP16">
            <v>87</v>
          </cell>
          <cell r="GQ16">
            <v>71</v>
          </cell>
          <cell r="GR16">
            <v>65</v>
          </cell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</row>
        <row r="22">
          <cell r="GS22">
            <v>2683</v>
          </cell>
        </row>
        <row r="23">
          <cell r="GS23">
            <v>2478</v>
          </cell>
        </row>
        <row r="27">
          <cell r="GS27">
            <v>563</v>
          </cell>
        </row>
        <row r="28">
          <cell r="GS28">
            <v>489</v>
          </cell>
        </row>
        <row r="32">
          <cell r="GP32">
            <v>5276</v>
          </cell>
          <cell r="GQ32">
            <v>4225</v>
          </cell>
          <cell r="GR32">
            <v>1929</v>
          </cell>
        </row>
        <row r="33">
          <cell r="GP33">
            <v>5516</v>
          </cell>
          <cell r="GQ33">
            <v>4340</v>
          </cell>
          <cell r="GR33">
            <v>2321</v>
          </cell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</row>
        <row r="38">
          <cell r="GP38">
            <v>48</v>
          </cell>
          <cell r="GQ38">
            <v>57</v>
          </cell>
          <cell r="GR38">
            <v>34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</row>
        <row r="70">
          <cell r="GS70">
            <v>476</v>
          </cell>
        </row>
        <row r="71">
          <cell r="GS71">
            <v>2002</v>
          </cell>
        </row>
      </sheetData>
      <sheetData sheetId="45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46">
        <row r="4">
          <cell r="GS4">
            <v>61</v>
          </cell>
        </row>
        <row r="5">
          <cell r="GS5">
            <v>62</v>
          </cell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</row>
        <row r="22">
          <cell r="GS22">
            <v>360</v>
          </cell>
        </row>
        <row r="23">
          <cell r="GS23">
            <v>372</v>
          </cell>
        </row>
        <row r="27">
          <cell r="GS27">
            <v>78</v>
          </cell>
        </row>
        <row r="28">
          <cell r="GS28">
            <v>124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</row>
        <row r="47">
          <cell r="GS47">
            <v>226</v>
          </cell>
        </row>
        <row r="52">
          <cell r="GS52">
            <v>129</v>
          </cell>
        </row>
      </sheetData>
      <sheetData sheetId="47">
        <row r="4">
          <cell r="GS4">
            <v>49</v>
          </cell>
        </row>
        <row r="5">
          <cell r="GS5">
            <v>49</v>
          </cell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</row>
        <row r="22">
          <cell r="GS22">
            <v>490</v>
          </cell>
        </row>
        <row r="23">
          <cell r="GS23">
            <v>417</v>
          </cell>
        </row>
        <row r="27">
          <cell r="GS27">
            <v>166</v>
          </cell>
        </row>
        <row r="28">
          <cell r="GS28">
            <v>213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</row>
      </sheetData>
      <sheetData sheetId="48">
        <row r="15">
          <cell r="GP15">
            <v>69</v>
          </cell>
          <cell r="GQ15">
            <v>69</v>
          </cell>
          <cell r="GR15">
            <v>57</v>
          </cell>
        </row>
        <row r="16">
          <cell r="GP16">
            <v>69</v>
          </cell>
          <cell r="GQ16">
            <v>69</v>
          </cell>
          <cell r="GR16">
            <v>57</v>
          </cell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</row>
        <row r="33">
          <cell r="GP33">
            <v>3610</v>
          </cell>
          <cell r="GQ33">
            <v>3151</v>
          </cell>
          <cell r="GR33">
            <v>1691</v>
          </cell>
        </row>
        <row r="37">
          <cell r="GP37">
            <v>48</v>
          </cell>
          <cell r="GQ37">
            <v>47</v>
          </cell>
          <cell r="GR37">
            <v>21</v>
          </cell>
        </row>
        <row r="38">
          <cell r="GP38">
            <v>52</v>
          </cell>
          <cell r="GQ38">
            <v>44</v>
          </cell>
          <cell r="GR38">
            <v>20</v>
          </cell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</row>
      </sheetData>
      <sheetData sheetId="49">
        <row r="4">
          <cell r="GS4">
            <v>1597</v>
          </cell>
        </row>
        <row r="5">
          <cell r="GS5">
            <v>1610</v>
          </cell>
        </row>
        <row r="8">
          <cell r="GS8">
            <v>4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</row>
        <row r="22">
          <cell r="GS22">
            <v>15305</v>
          </cell>
        </row>
        <row r="23">
          <cell r="GS23">
            <v>12644</v>
          </cell>
        </row>
        <row r="27">
          <cell r="GS27">
            <v>2727</v>
          </cell>
        </row>
        <row r="28">
          <cell r="GS28">
            <v>2141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</row>
        <row r="70">
          <cell r="GS70">
            <v>3095</v>
          </cell>
        </row>
        <row r="71">
          <cell r="GS71">
            <v>9549</v>
          </cell>
        </row>
        <row r="73">
          <cell r="GS73">
            <v>129</v>
          </cell>
        </row>
        <row r="74">
          <cell r="GS74">
            <v>398</v>
          </cell>
        </row>
      </sheetData>
      <sheetData sheetId="50">
        <row r="4">
          <cell r="GS4">
            <v>31</v>
          </cell>
        </row>
        <row r="5">
          <cell r="GS5">
            <v>31</v>
          </cell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</row>
        <row r="22">
          <cell r="GS22">
            <v>445</v>
          </cell>
        </row>
        <row r="23">
          <cell r="GS23">
            <v>365</v>
          </cell>
        </row>
        <row r="27">
          <cell r="GS27">
            <v>64</v>
          </cell>
        </row>
        <row r="28">
          <cell r="GS28">
            <v>78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</row>
      </sheetData>
      <sheetData sheetId="51"/>
      <sheetData sheetId="52">
        <row r="4">
          <cell r="GS4">
            <v>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</row>
      </sheetData>
      <sheetData sheetId="53"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5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55"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</row>
      </sheetData>
      <sheetData sheetId="56"/>
      <sheetData sheetId="57"/>
      <sheetData sheetId="58"/>
      <sheetData sheetId="59"/>
      <sheetData sheetId="60"/>
      <sheetData sheetId="61">
        <row r="15">
          <cell r="GP15">
            <v>1</v>
          </cell>
        </row>
        <row r="32">
          <cell r="GP32">
            <v>60</v>
          </cell>
        </row>
      </sheetData>
      <sheetData sheetId="62"/>
      <sheetData sheetId="63">
        <row r="4">
          <cell r="GS4">
            <v>30</v>
          </cell>
        </row>
        <row r="5">
          <cell r="GS5">
            <v>30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</row>
        <row r="47">
          <cell r="GS47">
            <v>2502691</v>
          </cell>
        </row>
        <row r="52">
          <cell r="GS52">
            <v>945131</v>
          </cell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</row>
      </sheetData>
      <sheetData sheetId="6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65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66">
        <row r="4">
          <cell r="GS4">
            <v>22</v>
          </cell>
        </row>
        <row r="5">
          <cell r="GS5">
            <v>22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</row>
        <row r="47">
          <cell r="GS47">
            <v>853141</v>
          </cell>
        </row>
        <row r="52">
          <cell r="GS52">
            <v>652987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</row>
      </sheetData>
      <sheetData sheetId="67"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68">
        <row r="4">
          <cell r="GS4">
            <v>41</v>
          </cell>
        </row>
        <row r="5">
          <cell r="GS5">
            <v>41</v>
          </cell>
        </row>
        <row r="12">
          <cell r="GS12">
            <v>82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</row>
        <row r="47">
          <cell r="GS47">
            <v>48859</v>
          </cell>
        </row>
        <row r="52">
          <cell r="GS52">
            <v>85933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</row>
      </sheetData>
      <sheetData sheetId="69"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P19">
            <v>8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P64">
            <v>190513</v>
          </cell>
          <cell r="GQ64">
            <v>0</v>
          </cell>
          <cell r="GR64">
            <v>0</v>
          </cell>
          <cell r="GS64">
            <v>0</v>
          </cell>
        </row>
      </sheetData>
      <sheetData sheetId="7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71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72"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73"/>
      <sheetData sheetId="74">
        <row r="4">
          <cell r="GS4">
            <v>122</v>
          </cell>
        </row>
        <row r="5">
          <cell r="GS5">
            <v>122</v>
          </cell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</row>
        <row r="47">
          <cell r="GS47">
            <v>8810201</v>
          </cell>
        </row>
        <row r="52">
          <cell r="GS52">
            <v>7017416</v>
          </cell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</row>
      </sheetData>
      <sheetData sheetId="75">
        <row r="4">
          <cell r="GS4">
            <v>25</v>
          </cell>
        </row>
        <row r="5">
          <cell r="GS5">
            <v>25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</row>
        <row r="48">
          <cell r="GS48">
            <v>7249</v>
          </cell>
        </row>
        <row r="53">
          <cell r="GS53">
            <v>123854</v>
          </cell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</row>
      </sheetData>
      <sheetData sheetId="76">
        <row r="4">
          <cell r="GS4">
            <v>14</v>
          </cell>
        </row>
        <row r="5">
          <cell r="GS5">
            <v>14</v>
          </cell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</row>
        <row r="47">
          <cell r="GS47">
            <v>34335</v>
          </cell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</row>
      </sheetData>
      <sheetData sheetId="77">
        <row r="4">
          <cell r="GS4">
            <v>130</v>
          </cell>
        </row>
        <row r="5">
          <cell r="GS5">
            <v>130</v>
          </cell>
        </row>
        <row r="15">
          <cell r="GS15">
            <v>18</v>
          </cell>
        </row>
        <row r="16">
          <cell r="GS16">
            <v>17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P19">
            <v>282</v>
          </cell>
          <cell r="GQ19">
            <v>236</v>
          </cell>
          <cell r="GR19">
            <v>252</v>
          </cell>
          <cell r="GS19">
            <v>295</v>
          </cell>
        </row>
        <row r="47">
          <cell r="GS47">
            <v>5743386</v>
          </cell>
        </row>
        <row r="52">
          <cell r="GS52">
            <v>4661667</v>
          </cell>
        </row>
        <row r="53">
          <cell r="GS53">
            <v>611770</v>
          </cell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</row>
      </sheetData>
      <sheetData sheetId="78"/>
      <sheetData sheetId="79"/>
      <sheetData sheetId="80"/>
      <sheetData sheetId="81">
        <row r="4">
          <cell r="GS4">
            <v>195</v>
          </cell>
        </row>
        <row r="5">
          <cell r="GS5">
            <v>195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</row>
      </sheetData>
      <sheetData sheetId="82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</row>
      </sheetData>
      <sheetData sheetId="8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</row>
      </sheetData>
      <sheetData sheetId="84">
        <row r="4">
          <cell r="GS4">
            <v>39</v>
          </cell>
        </row>
        <row r="5">
          <cell r="GS5">
            <v>40</v>
          </cell>
        </row>
      </sheetData>
      <sheetData sheetId="85">
        <row r="4">
          <cell r="GS4">
            <v>227</v>
          </cell>
        </row>
        <row r="5">
          <cell r="GS5">
            <v>228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>
        <row r="5">
          <cell r="F5">
            <v>10327.57569225459</v>
          </cell>
          <cell r="I5">
            <v>28754.726260968404</v>
          </cell>
        </row>
        <row r="6">
          <cell r="F6">
            <v>804.76086129978</v>
          </cell>
          <cell r="I6">
            <v>2529.07638012183</v>
          </cell>
        </row>
        <row r="10">
          <cell r="F10">
            <v>8044.7283014483</v>
          </cell>
          <cell r="I10">
            <v>22557.676541618679</v>
          </cell>
        </row>
        <row r="11">
          <cell r="F11">
            <v>1239.0651229502701</v>
          </cell>
          <cell r="I11">
            <v>3726.7507457172296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18372.303993702888</v>
          </cell>
        </row>
        <row r="21">
          <cell r="F21">
            <v>2043.8259842500499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8" sqref="K18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1.7109375" bestFit="1" customWidth="1"/>
    <col min="8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9">
        <v>43922</v>
      </c>
      <c r="B2" s="10"/>
      <c r="C2" s="10"/>
      <c r="D2" s="451" t="s">
        <v>213</v>
      </c>
      <c r="E2" s="451" t="s">
        <v>199</v>
      </c>
      <c r="F2" s="5"/>
      <c r="G2" s="5"/>
      <c r="H2" s="5"/>
      <c r="I2" s="5"/>
      <c r="J2" s="5"/>
    </row>
    <row r="3" spans="1:14" ht="13.5" thickBot="1" x14ac:dyDescent="0.25">
      <c r="A3" s="264"/>
      <c r="B3" s="5" t="s">
        <v>0</v>
      </c>
      <c r="C3" s="5" t="s">
        <v>1</v>
      </c>
      <c r="D3" s="452"/>
      <c r="E3" s="453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47205</v>
      </c>
      <c r="C5" s="10">
        <f>'Major Airline Stats'!K5</f>
        <v>40502</v>
      </c>
      <c r="D5" s="2">
        <f>'Major Airline Stats'!K6</f>
        <v>87707</v>
      </c>
      <c r="E5" s="2">
        <f>'[1]Monthly Summary'!D5</f>
        <v>2420182</v>
      </c>
      <c r="F5" s="3">
        <f>(D5-E5)/E5</f>
        <v>-0.96376016349183657</v>
      </c>
      <c r="G5" s="2">
        <f>+D5+'[2]Monthly Summary'!G5</f>
        <v>5895327</v>
      </c>
      <c r="H5" s="2">
        <f>'[1]Monthly Summary'!G5</f>
        <v>9290890</v>
      </c>
      <c r="I5" s="58">
        <f>(G5-H5)/H5</f>
        <v>-0.36547230674348746</v>
      </c>
      <c r="J5" s="2"/>
    </row>
    <row r="6" spans="1:14" x14ac:dyDescent="0.2">
      <c r="A6" s="43" t="s">
        <v>5</v>
      </c>
      <c r="B6" s="192">
        <f>'Regional Major'!M5</f>
        <v>20525</v>
      </c>
      <c r="C6" s="192">
        <f>'Regional Major'!M6</f>
        <v>17312</v>
      </c>
      <c r="D6" s="2">
        <f>B6+C6</f>
        <v>37837</v>
      </c>
      <c r="E6" s="2">
        <f>'[1]Monthly Summary'!D6</f>
        <v>613293</v>
      </c>
      <c r="F6" s="3">
        <f>(D6-E6)/E6</f>
        <v>-0.93830518202555713</v>
      </c>
      <c r="G6" s="2">
        <f>+D6+'[2]Monthly Summary'!G6</f>
        <v>1543451</v>
      </c>
      <c r="H6" s="2">
        <f>'[1]Monthly Summary'!G6</f>
        <v>2353150</v>
      </c>
      <c r="I6" s="58">
        <f>(G6-H6)/H6</f>
        <v>-0.34409153687610222</v>
      </c>
      <c r="K6" s="2"/>
    </row>
    <row r="7" spans="1:14" x14ac:dyDescent="0.2">
      <c r="A7" s="43" t="s">
        <v>6</v>
      </c>
      <c r="B7" s="2">
        <f>Charter!G5</f>
        <v>0</v>
      </c>
      <c r="C7" s="192">
        <f>Charter!G6</f>
        <v>0</v>
      </c>
      <c r="D7" s="2">
        <f>B7+C7</f>
        <v>0</v>
      </c>
      <c r="E7" s="2">
        <f>'[1]Monthly Summary'!D7</f>
        <v>1472</v>
      </c>
      <c r="F7" s="3">
        <f>(D7-E7)/E7</f>
        <v>-1</v>
      </c>
      <c r="G7" s="2">
        <f>+D7+'[2]Monthly Summary'!G7</f>
        <v>893</v>
      </c>
      <c r="H7" s="2">
        <f>'[1]Monthly Summary'!G7</f>
        <v>2099</v>
      </c>
      <c r="I7" s="58">
        <f>(G7-H7)/H7</f>
        <v>-0.57455931395902815</v>
      </c>
      <c r="K7" s="2"/>
    </row>
    <row r="8" spans="1:14" x14ac:dyDescent="0.2">
      <c r="A8" s="45" t="s">
        <v>7</v>
      </c>
      <c r="B8" s="98">
        <f>SUM(B5:B7)</f>
        <v>67730</v>
      </c>
      <c r="C8" s="98">
        <f>SUM(C5:C7)</f>
        <v>57814</v>
      </c>
      <c r="D8" s="98">
        <f>SUM(D5:D7)</f>
        <v>125544</v>
      </c>
      <c r="E8" s="98">
        <f>SUM(E5:E7)</f>
        <v>3034947</v>
      </c>
      <c r="F8" s="64">
        <f>(D8-E8)/E8</f>
        <v>-0.95863387400175359</v>
      </c>
      <c r="G8" s="98">
        <f>SUM(G5:G7)</f>
        <v>7439671</v>
      </c>
      <c r="H8" s="98">
        <f>SUM(H5:H7)</f>
        <v>11646139</v>
      </c>
      <c r="I8" s="63">
        <f>(G8-H8)/H8</f>
        <v>-0.36118991882202334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13261</v>
      </c>
      <c r="C10" s="193">
        <f>'Major Airline Stats'!K10+'Regional Major'!M11</f>
        <v>12678</v>
      </c>
      <c r="D10" s="84">
        <f>SUM(B10:C10)</f>
        <v>25939</v>
      </c>
      <c r="E10" s="84">
        <f>'[1]Monthly Summary'!D10</f>
        <v>101083</v>
      </c>
      <c r="F10" s="65">
        <f>(D10-E10)/E10</f>
        <v>-0.74338909608935233</v>
      </c>
      <c r="G10" s="84">
        <f>+D10+'[2]Monthly Summary'!G10</f>
        <v>275979</v>
      </c>
      <c r="H10" s="84">
        <f>'[1]Monthly Summary'!G10</f>
        <v>389147</v>
      </c>
      <c r="I10" s="68">
        <f>(G10-H10)/H10</f>
        <v>-0.29081041354552395</v>
      </c>
      <c r="J10" s="140"/>
    </row>
    <row r="11" spans="1:14" ht="15.75" thickBot="1" x14ac:dyDescent="0.3">
      <c r="A11" s="44" t="s">
        <v>13</v>
      </c>
      <c r="B11" s="179">
        <f>B10+B8</f>
        <v>80991</v>
      </c>
      <c r="C11" s="179">
        <f>C10+C8</f>
        <v>70492</v>
      </c>
      <c r="D11" s="179">
        <f>D10+D8</f>
        <v>151483</v>
      </c>
      <c r="E11" s="179">
        <f>E10+E8</f>
        <v>3136030</v>
      </c>
      <c r="F11" s="66">
        <f>(D11-E11)/E11</f>
        <v>-0.95169593403124331</v>
      </c>
      <c r="G11" s="179">
        <f>G8+G10</f>
        <v>7715650</v>
      </c>
      <c r="H11" s="179">
        <f>H8+H10</f>
        <v>12035286</v>
      </c>
      <c r="I11" s="69">
        <f>(G11-H11)/H11</f>
        <v>-0.35891427922859498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51" t="s">
        <v>213</v>
      </c>
      <c r="E13" s="451" t="s">
        <v>199</v>
      </c>
      <c r="F13" s="361"/>
      <c r="G13" s="361"/>
      <c r="H13" s="361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2"/>
      <c r="E14" s="453"/>
      <c r="F14" s="361" t="s">
        <v>2</v>
      </c>
      <c r="G14" s="361" t="s">
        <v>214</v>
      </c>
      <c r="H14" s="361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2231</v>
      </c>
      <c r="C16" s="199">
        <f>'Major Airline Stats'!K16+'Major Airline Stats'!K20</f>
        <v>2248</v>
      </c>
      <c r="D16" s="25">
        <f t="shared" ref="D16:D21" si="0">SUM(B16:C16)</f>
        <v>4479</v>
      </c>
      <c r="E16" s="2">
        <f>'[1]Monthly Summary'!D16</f>
        <v>18471</v>
      </c>
      <c r="F16" s="67">
        <f t="shared" ref="F16:F22" si="1">(D16-E16)/E16</f>
        <v>-0.75751177521520219</v>
      </c>
      <c r="G16" s="2">
        <f>+D16+'[2]Monthly Summary'!G16</f>
        <v>53944</v>
      </c>
      <c r="H16" s="2">
        <f>'[1]Monthly Summary'!G16</f>
        <v>71098</v>
      </c>
      <c r="I16" s="171">
        <f t="shared" ref="I16:I22" si="2">(G16-H16)/H16</f>
        <v>-0.24127260963740191</v>
      </c>
      <c r="N16" s="83"/>
    </row>
    <row r="17" spans="1:12" x14ac:dyDescent="0.2">
      <c r="A17" s="43" t="s">
        <v>5</v>
      </c>
      <c r="B17" s="25">
        <f>'Regional Major'!M15+'Regional Major'!M18</f>
        <v>2195</v>
      </c>
      <c r="C17" s="25">
        <f>'Regional Major'!M16+'Regional Major'!M19</f>
        <v>2203</v>
      </c>
      <c r="D17" s="25">
        <f>SUM(B17:C17)</f>
        <v>4398</v>
      </c>
      <c r="E17" s="2">
        <f>'[1]Monthly Summary'!D17</f>
        <v>11657</v>
      </c>
      <c r="F17" s="67">
        <f t="shared" si="1"/>
        <v>-0.62271596465642964</v>
      </c>
      <c r="G17" s="2">
        <f>+D17+'[2]Monthly Summary'!G17</f>
        <v>38880</v>
      </c>
      <c r="H17" s="2">
        <f>'[1]Monthly Summary'!G17</f>
        <v>45608</v>
      </c>
      <c r="I17" s="171">
        <f t="shared" si="2"/>
        <v>-0.14751797930187685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0</v>
      </c>
      <c r="D18" s="25">
        <f t="shared" si="0"/>
        <v>0</v>
      </c>
      <c r="E18" s="2">
        <f>'[1]Monthly Summary'!D18</f>
        <v>11</v>
      </c>
      <c r="F18" s="67">
        <f t="shared" si="1"/>
        <v>-1</v>
      </c>
      <c r="G18" s="2">
        <f>+D18+'[2]Monthly Summary'!G18</f>
        <v>8</v>
      </c>
      <c r="H18" s="2">
        <f>'[1]Monthly Summary'!G18</f>
        <v>29</v>
      </c>
      <c r="I18" s="171">
        <f t="shared" si="2"/>
        <v>-0.72413793103448276</v>
      </c>
    </row>
    <row r="19" spans="1:12" x14ac:dyDescent="0.2">
      <c r="A19" s="43" t="s">
        <v>11</v>
      </c>
      <c r="B19" s="25">
        <f>Cargo!P4</f>
        <v>597</v>
      </c>
      <c r="C19" s="25">
        <f>Cargo!P5</f>
        <v>596</v>
      </c>
      <c r="D19" s="25">
        <f t="shared" si="0"/>
        <v>1193</v>
      </c>
      <c r="E19" s="2">
        <f>'[1]Monthly Summary'!D19</f>
        <v>1150</v>
      </c>
      <c r="F19" s="67">
        <f t="shared" si="1"/>
        <v>3.7391304347826088E-2</v>
      </c>
      <c r="G19" s="2">
        <f>+D19+'[2]Monthly Summary'!G19</f>
        <v>4614</v>
      </c>
      <c r="H19" s="2">
        <f>'[1]Monthly Summary'!G19</f>
        <v>4567</v>
      </c>
      <c r="I19" s="171">
        <f t="shared" si="2"/>
        <v>1.0291219619005912E-2</v>
      </c>
    </row>
    <row r="20" spans="1:12" x14ac:dyDescent="0.2">
      <c r="A20" s="43" t="s">
        <v>149</v>
      </c>
      <c r="B20" s="25">
        <f>'[3]General Avation'!$GS$4</f>
        <v>227</v>
      </c>
      <c r="C20" s="25">
        <f>'[3]General Avation'!$GS$5</f>
        <v>228</v>
      </c>
      <c r="D20" s="25">
        <f t="shared" si="0"/>
        <v>455</v>
      </c>
      <c r="E20" s="2">
        <f>'[1]Monthly Summary'!D20</f>
        <v>2462</v>
      </c>
      <c r="F20" s="67">
        <f t="shared" si="1"/>
        <v>-0.81519090170593012</v>
      </c>
      <c r="G20" s="2">
        <f>+D20+'[2]Monthly Summary'!G20</f>
        <v>3557</v>
      </c>
      <c r="H20" s="2">
        <f>'[1]Monthly Summary'!G20</f>
        <v>6591</v>
      </c>
      <c r="I20" s="171">
        <f t="shared" si="2"/>
        <v>-0.46032468517675618</v>
      </c>
    </row>
    <row r="21" spans="1:12" ht="12.75" customHeight="1" x14ac:dyDescent="0.2">
      <c r="A21" s="43" t="s">
        <v>12</v>
      </c>
      <c r="B21" s="11">
        <f>'[3]Military '!$GS$4</f>
        <v>39</v>
      </c>
      <c r="C21" s="11">
        <f>'[3]Military '!$GS$5</f>
        <v>40</v>
      </c>
      <c r="D21" s="11">
        <f t="shared" si="0"/>
        <v>79</v>
      </c>
      <c r="E21" s="84">
        <f>'[1]Monthly Summary'!D21</f>
        <v>107</v>
      </c>
      <c r="F21" s="169">
        <f t="shared" si="1"/>
        <v>-0.26168224299065418</v>
      </c>
      <c r="G21" s="84">
        <f>+D21+'[2]Monthly Summary'!G21</f>
        <v>245</v>
      </c>
      <c r="H21" s="84">
        <f>'[1]Monthly Summary'!G21</f>
        <v>354</v>
      </c>
      <c r="I21" s="172">
        <f t="shared" si="2"/>
        <v>-0.30790960451977401</v>
      </c>
    </row>
    <row r="22" spans="1:12" ht="15.75" thickBot="1" x14ac:dyDescent="0.3">
      <c r="A22" s="44" t="s">
        <v>28</v>
      </c>
      <c r="B22" s="180">
        <f>SUM(B16:B21)</f>
        <v>5289</v>
      </c>
      <c r="C22" s="180">
        <f>SUM(C16:C21)</f>
        <v>5315</v>
      </c>
      <c r="D22" s="180">
        <f>SUM(D16:D21)</f>
        <v>10604</v>
      </c>
      <c r="E22" s="180">
        <f>SUM(E16:E21)</f>
        <v>33858</v>
      </c>
      <c r="F22" s="177">
        <f t="shared" si="1"/>
        <v>-0.68680961663417806</v>
      </c>
      <c r="G22" s="180">
        <f>SUM(G16:G21)</f>
        <v>101248</v>
      </c>
      <c r="H22" s="180">
        <f>SUM(H16:H21)</f>
        <v>128247</v>
      </c>
      <c r="I22" s="178">
        <f t="shared" si="2"/>
        <v>-0.21052344304350198</v>
      </c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1" t="s">
        <v>213</v>
      </c>
      <c r="E24" s="451" t="s">
        <v>199</v>
      </c>
      <c r="F24" s="361"/>
      <c r="G24" s="361"/>
      <c r="H24" s="361"/>
      <c r="I24" s="5"/>
    </row>
    <row r="25" spans="1:12" ht="13.5" thickBot="1" x14ac:dyDescent="0.25">
      <c r="B25" s="5" t="s">
        <v>0</v>
      </c>
      <c r="C25" s="5" t="s">
        <v>1</v>
      </c>
      <c r="D25" s="452"/>
      <c r="E25" s="453"/>
      <c r="F25" s="361" t="s">
        <v>2</v>
      </c>
      <c r="G25" s="361" t="s">
        <v>214</v>
      </c>
      <c r="H25" s="361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8494.666531315579</v>
      </c>
      <c r="C27" s="13">
        <f>(Cargo!P21+'Major Airline Stats'!K33+'Regional Major'!M30)*0.00045359237</f>
        <v>6219.2566946001798</v>
      </c>
      <c r="D27" s="13">
        <f>(SUM(B27:C27)+('Cargo Summary'!E17*0.00045359237))</f>
        <v>14713.923225915758</v>
      </c>
      <c r="E27" s="2">
        <f>'[1]Monthly Summary'!D27</f>
        <v>14623.697806821951</v>
      </c>
      <c r="F27" s="70">
        <f>(D27-E27)/E27</f>
        <v>6.1698087778945558E-3</v>
      </c>
      <c r="G27" s="2">
        <f>+D27+'[2]Monthly Summary'!G27</f>
        <v>62140.249602045995</v>
      </c>
      <c r="H27" s="2">
        <f>'[1]Monthly Summary'!G27</f>
        <v>65936.100609409026</v>
      </c>
      <c r="I27" s="72">
        <f>(G27-H27)/H27</f>
        <v>-5.7568630420667712E-2</v>
      </c>
    </row>
    <row r="28" spans="1:12" x14ac:dyDescent="0.2">
      <c r="A28" s="38" t="s">
        <v>16</v>
      </c>
      <c r="B28" s="13">
        <f>(Cargo!P17+'Major Airline Stats'!K29+'Regional Major'!M26)*0.00045359237</f>
        <v>265.39689568699998</v>
      </c>
      <c r="C28" s="13">
        <f>(Cargo!P22+'Major Airline Stats'!K34+'Regional Major'!M31)*0.00045359237</f>
        <v>559.13242828212003</v>
      </c>
      <c r="D28" s="13">
        <f>SUM(B28:C28)</f>
        <v>824.52932396912001</v>
      </c>
      <c r="E28" s="2">
        <f>'[1]Monthly Summary'!D28</f>
        <v>2222.3254680619298</v>
      </c>
      <c r="F28" s="70">
        <f>(D28-E28)/E28</f>
        <v>-0.62897904208055322</v>
      </c>
      <c r="G28" s="2">
        <f>+D28+'[2]Monthly Summary'!G28</f>
        <v>6059.15446372313</v>
      </c>
      <c r="H28" s="2">
        <f>'[1]Monthly Summary'!G28</f>
        <v>8478.1525939009898</v>
      </c>
      <c r="I28" s="72">
        <f>(G28-H28)/H28</f>
        <v>-0.28532137200715613</v>
      </c>
    </row>
    <row r="29" spans="1:12" ht="15.75" thickBot="1" x14ac:dyDescent="0.3">
      <c r="A29" s="39" t="s">
        <v>62</v>
      </c>
      <c r="B29" s="32">
        <f>SUM(B27:B28)</f>
        <v>8760.0634270025785</v>
      </c>
      <c r="C29" s="32">
        <f>SUM(C27:C28)</f>
        <v>6778.3891228822995</v>
      </c>
      <c r="D29" s="32">
        <f>SUM(D27:D28)</f>
        <v>15538.452549884878</v>
      </c>
      <c r="E29" s="32">
        <f>SUM(E27:E28)</f>
        <v>16846.023274883879</v>
      </c>
      <c r="F29" s="71">
        <f>(D29-E29)/E29</f>
        <v>-7.7618955148215193E-2</v>
      </c>
      <c r="G29" s="32">
        <f>SUM(G27:G28)</f>
        <v>68199.404065769122</v>
      </c>
      <c r="H29" s="32">
        <f>SUM(H27:H28)</f>
        <v>74414.253203310014</v>
      </c>
      <c r="I29" s="73">
        <f>(G29-H29)/H29</f>
        <v>-8.3516918735461423E-2</v>
      </c>
    </row>
    <row r="30" spans="1:12" ht="4.5" customHeight="1" thickBot="1" x14ac:dyDescent="0.3">
      <c r="A30" s="35"/>
      <c r="B30" s="265"/>
      <c r="C30" s="265"/>
      <c r="D30" s="265"/>
      <c r="E30" s="265"/>
      <c r="F30" s="181"/>
      <c r="G30" s="265"/>
      <c r="H30" s="265"/>
      <c r="I30" s="181"/>
    </row>
    <row r="31" spans="1:12" ht="13.5" thickBot="1" x14ac:dyDescent="0.25">
      <c r="B31" s="450" t="s">
        <v>145</v>
      </c>
      <c r="C31" s="449"/>
      <c r="D31" s="450" t="s">
        <v>152</v>
      </c>
      <c r="E31" s="449"/>
      <c r="F31" s="287"/>
      <c r="G31" s="288"/>
    </row>
    <row r="32" spans="1:12" x14ac:dyDescent="0.2">
      <c r="A32" s="269" t="s">
        <v>146</v>
      </c>
      <c r="B32" s="270">
        <f>C8-B33</f>
        <v>30941</v>
      </c>
      <c r="C32" s="271">
        <f>B32/C8</f>
        <v>0.53518178987788423</v>
      </c>
      <c r="D32" s="272">
        <f>+B32+'[2]Monthly Summary'!$D$32</f>
        <v>2434025</v>
      </c>
      <c r="E32" s="273">
        <f>+D32/D34</f>
        <v>0.66224584468127368</v>
      </c>
      <c r="G32" s="2"/>
      <c r="I32" s="286"/>
    </row>
    <row r="33" spans="1:14" ht="13.5" thickBot="1" x14ac:dyDescent="0.25">
      <c r="A33" s="274" t="s">
        <v>147</v>
      </c>
      <c r="B33" s="275">
        <f>'Major Airline Stats'!K51+'Regional Major'!M45</f>
        <v>26873</v>
      </c>
      <c r="C33" s="276">
        <f>+B33/C8</f>
        <v>0.46481821012211577</v>
      </c>
      <c r="D33" s="277">
        <f>+B33+'[2]Monthly Summary'!$D$33</f>
        <v>1241385</v>
      </c>
      <c r="E33" s="278">
        <f>+D33/D34</f>
        <v>0.33775415531872632</v>
      </c>
      <c r="I33" s="286"/>
    </row>
    <row r="34" spans="1:14" ht="13.5" thickBot="1" x14ac:dyDescent="0.25">
      <c r="B34" s="203"/>
      <c r="D34" s="279">
        <f>SUM(D32:D33)</f>
        <v>3675410</v>
      </c>
    </row>
    <row r="35" spans="1:14" ht="13.5" thickBot="1" x14ac:dyDescent="0.25">
      <c r="B35" s="448" t="s">
        <v>223</v>
      </c>
      <c r="C35" s="449"/>
      <c r="D35" s="450" t="s">
        <v>212</v>
      </c>
      <c r="E35" s="449"/>
    </row>
    <row r="36" spans="1:14" x14ac:dyDescent="0.2">
      <c r="A36" s="269" t="s">
        <v>146</v>
      </c>
      <c r="B36" s="270">
        <f>'[1]Monthly Summary'!$B$32</f>
        <v>926664</v>
      </c>
      <c r="C36" s="271">
        <f>+B36/B38</f>
        <v>0.63130056238141796</v>
      </c>
      <c r="D36" s="272">
        <f>'[1]Monthly Summary'!$D$32</f>
        <v>3863662</v>
      </c>
      <c r="E36" s="273">
        <f>+D36/D38</f>
        <v>0.66493774612507361</v>
      </c>
    </row>
    <row r="37" spans="1:14" ht="13.5" thickBot="1" x14ac:dyDescent="0.25">
      <c r="A37" s="274" t="s">
        <v>147</v>
      </c>
      <c r="B37" s="275">
        <f>'[1]Monthly Summary'!$B$33</f>
        <v>541201</v>
      </c>
      <c r="C37" s="278">
        <f>+B37/B38</f>
        <v>0.36869943761858209</v>
      </c>
      <c r="D37" s="277">
        <f>'[1]Monthly Summary'!$D$33</f>
        <v>1946900</v>
      </c>
      <c r="E37" s="278">
        <f>+D37/D38</f>
        <v>0.33506225387492639</v>
      </c>
      <c r="M37" s="1"/>
    </row>
    <row r="38" spans="1:14" x14ac:dyDescent="0.2">
      <c r="B38" s="291">
        <f>+SUM(B36:B37)</f>
        <v>1467865</v>
      </c>
      <c r="D38" s="279">
        <f>SUM(D36:D37)</f>
        <v>5810562</v>
      </c>
    </row>
    <row r="39" spans="1:14" x14ac:dyDescent="0.2">
      <c r="A39" s="283" t="s">
        <v>148</v>
      </c>
    </row>
    <row r="40" spans="1:14" x14ac:dyDescent="0.2">
      <c r="A40" s="141" t="s">
        <v>150</v>
      </c>
      <c r="I40" s="2"/>
    </row>
    <row r="41" spans="1:14" x14ac:dyDescent="0.2">
      <c r="N41" s="284"/>
    </row>
    <row r="42" spans="1:14" x14ac:dyDescent="0.2">
      <c r="G42" s="2"/>
      <c r="N42" s="284"/>
    </row>
    <row r="43" spans="1:14" x14ac:dyDescent="0.2">
      <c r="B43" s="203"/>
      <c r="J43" s="2"/>
      <c r="N43" s="284"/>
    </row>
    <row r="44" spans="1:14" x14ac:dyDescent="0.2">
      <c r="B44" s="203"/>
      <c r="N44" s="284"/>
    </row>
    <row r="45" spans="1:14" x14ac:dyDescent="0.2">
      <c r="J45" s="2"/>
      <c r="N45" s="284"/>
    </row>
    <row r="46" spans="1:14" x14ac:dyDescent="0.2">
      <c r="B46" s="2"/>
      <c r="F46" s="203"/>
    </row>
    <row r="47" spans="1:14" x14ac:dyDescent="0.2">
      <c r="N47" s="284"/>
    </row>
    <row r="51" spans="12:12" x14ac:dyDescent="0.2">
      <c r="L51" s="285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9">
        <v>43922</v>
      </c>
      <c r="B1" s="306" t="s">
        <v>18</v>
      </c>
      <c r="C1" s="305" t="s">
        <v>195</v>
      </c>
      <c r="D1" s="371" t="s">
        <v>158</v>
      </c>
      <c r="E1" s="305" t="s">
        <v>164</v>
      </c>
      <c r="F1" s="305" t="s">
        <v>163</v>
      </c>
      <c r="G1" s="305" t="s">
        <v>49</v>
      </c>
      <c r="H1" s="305" t="s">
        <v>114</v>
      </c>
      <c r="I1" s="305" t="s">
        <v>194</v>
      </c>
      <c r="J1" s="305" t="s">
        <v>191</v>
      </c>
      <c r="K1" s="305" t="s">
        <v>196</v>
      </c>
      <c r="L1" s="305" t="s">
        <v>162</v>
      </c>
      <c r="M1" s="305" t="s">
        <v>211</v>
      </c>
      <c r="N1" s="305" t="s">
        <v>157</v>
      </c>
      <c r="O1" s="305" t="s">
        <v>140</v>
      </c>
      <c r="P1" s="305" t="s">
        <v>21</v>
      </c>
    </row>
    <row r="2" spans="1:16" ht="15" x14ac:dyDescent="0.25">
      <c r="A2" s="484" t="s">
        <v>141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6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[3]Delta!$GS$32</f>
        <v>15</v>
      </c>
      <c r="C4" s="12">
        <f>'[3]Atlantic Southeast'!$GS$32</f>
        <v>0</v>
      </c>
      <c r="D4" s="12">
        <f>[3]Pinnacle!$GS$32</f>
        <v>0</v>
      </c>
      <c r="E4" s="12">
        <f>'[3]Sky West'!$GS$32</f>
        <v>317</v>
      </c>
      <c r="F4" s="12">
        <f>'[3]Go Jet'!$GS$32</f>
        <v>0</v>
      </c>
      <c r="G4" s="12">
        <f>'[3]Sun Country'!$GS$32</f>
        <v>0</v>
      </c>
      <c r="H4" s="12">
        <f>[3]Icelandair!$GS$32</f>
        <v>0</v>
      </c>
      <c r="I4" s="12">
        <f>[3]KLM!$GS$32</f>
        <v>0</v>
      </c>
      <c r="J4" s="12">
        <f>'[3]Air Georgian'!$GS$32</f>
        <v>0</v>
      </c>
      <c r="K4" s="12">
        <f>'[3]Sky Regional'!$GS$32</f>
        <v>0</v>
      </c>
      <c r="L4" s="12">
        <f>[3]Condor!$GS$32</f>
        <v>0</v>
      </c>
      <c r="M4" s="12">
        <f>'[3]Aer Lingus'!$GS$32</f>
        <v>0</v>
      </c>
      <c r="N4" s="12">
        <f>'[3]Air France'!$GS$32</f>
        <v>0</v>
      </c>
      <c r="O4" s="12">
        <f>'[3]Charter Misc'!$GS$32+[3]Ryan!$GS$32+[3]Omni!$GS$32</f>
        <v>0</v>
      </c>
      <c r="P4" s="373">
        <f>SUM(B4:O4)</f>
        <v>332</v>
      </c>
    </row>
    <row r="5" spans="1:16" x14ac:dyDescent="0.2">
      <c r="A5" s="38" t="s">
        <v>31</v>
      </c>
      <c r="B5" s="7">
        <f>[3]Delta!$GS$33</f>
        <v>5</v>
      </c>
      <c r="C5" s="7">
        <f>'[3]Atlantic Southeast'!$GS$33</f>
        <v>0</v>
      </c>
      <c r="D5" s="7">
        <f>[3]Pinnacle!$GS$33</f>
        <v>0</v>
      </c>
      <c r="E5" s="7">
        <f>'[3]Sky West'!$GS$33</f>
        <v>527</v>
      </c>
      <c r="F5" s="7">
        <f>'[3]Go Jet'!$GS$33</f>
        <v>0</v>
      </c>
      <c r="G5" s="7">
        <f>'[3]Sun Country'!$GS$33</f>
        <v>0</v>
      </c>
      <c r="H5" s="7">
        <f>[3]Icelandair!$GS$33</f>
        <v>0</v>
      </c>
      <c r="I5" s="7">
        <f>[3]KLM!$GS$33</f>
        <v>0</v>
      </c>
      <c r="J5" s="7">
        <f>'[3]Air Georgian'!$GS$33</f>
        <v>0</v>
      </c>
      <c r="K5" s="7">
        <f>'[3]Sky Regional'!$GS$33</f>
        <v>0</v>
      </c>
      <c r="L5" s="7">
        <f>[3]Condor!$GS$33</f>
        <v>0</v>
      </c>
      <c r="M5" s="7">
        <f>'[3]Aer Lingus'!$GS$33</f>
        <v>0</v>
      </c>
      <c r="N5" s="7">
        <f>'[3]Air France'!$GS$33</f>
        <v>0</v>
      </c>
      <c r="O5" s="7">
        <f>'[3]Charter Misc'!$GS$33++[3]Ryan!$GS$33+[3]Omni!$GS$33</f>
        <v>0</v>
      </c>
      <c r="P5" s="374">
        <f>SUM(B5:O5)</f>
        <v>532</v>
      </c>
    </row>
    <row r="6" spans="1:16" ht="15" x14ac:dyDescent="0.25">
      <c r="A6" s="36" t="s">
        <v>7</v>
      </c>
      <c r="B6" s="18">
        <f t="shared" ref="B6:O6" si="0">SUM(B4:B5)</f>
        <v>20</v>
      </c>
      <c r="C6" s="18">
        <f t="shared" si="0"/>
        <v>0</v>
      </c>
      <c r="D6" s="18">
        <f t="shared" si="0"/>
        <v>0</v>
      </c>
      <c r="E6" s="18">
        <f t="shared" si="0"/>
        <v>844</v>
      </c>
      <c r="F6" s="18">
        <f t="shared" ref="F6" si="1">SUM(F4:F5)</f>
        <v>0</v>
      </c>
      <c r="G6" s="18">
        <f t="shared" si="0"/>
        <v>0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5">
        <f>SUM(B6:O6)</f>
        <v>864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3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3">
        <f>SUM(B8:O8)</f>
        <v>0</v>
      </c>
    </row>
    <row r="9" spans="1:16" x14ac:dyDescent="0.2">
      <c r="A9" s="38" t="s">
        <v>30</v>
      </c>
      <c r="B9" s="12">
        <f>[3]Delta!$GS$37</f>
        <v>0</v>
      </c>
      <c r="C9" s="12">
        <f>'[3]Atlantic Southeast'!$GS$37</f>
        <v>0</v>
      </c>
      <c r="D9" s="12">
        <f>[3]Pinnacle!$GS$37</f>
        <v>1</v>
      </c>
      <c r="E9" s="12">
        <f>'[3]Sky West'!$GS$37</f>
        <v>9</v>
      </c>
      <c r="F9" s="12">
        <f>'[3]Go Jet'!$GS$37</f>
        <v>0</v>
      </c>
      <c r="G9" s="12">
        <f>'[3]Sun Country'!$GS$37</f>
        <v>5</v>
      </c>
      <c r="H9" s="12">
        <f>[3]Icelandair!$GS$37</f>
        <v>0</v>
      </c>
      <c r="I9" s="12">
        <f>[3]KLM!$GS$37</f>
        <v>0</v>
      </c>
      <c r="J9" s="12">
        <f>'[3]Air Georgian'!$GS$37</f>
        <v>0</v>
      </c>
      <c r="K9" s="12">
        <f>'[3]Sky Regional'!$GS$37</f>
        <v>0</v>
      </c>
      <c r="L9" s="12">
        <f>[3]Condor!$GS$37</f>
        <v>0</v>
      </c>
      <c r="M9" s="12">
        <f>'[3]Aer Lingus'!$GS$37</f>
        <v>0</v>
      </c>
      <c r="N9" s="12">
        <f>'[3]Air France'!$GS$37</f>
        <v>0</v>
      </c>
      <c r="O9" s="12">
        <f>'[3]Charter Misc'!$GS$37+[3]Ryan!$GS$37+[3]Omni!$GS$37</f>
        <v>0</v>
      </c>
      <c r="P9" s="373">
        <f>SUM(B9:O9)</f>
        <v>15</v>
      </c>
    </row>
    <row r="10" spans="1:16" x14ac:dyDescent="0.2">
      <c r="A10" s="38" t="s">
        <v>33</v>
      </c>
      <c r="B10" s="7">
        <f>[3]Delta!$GS$38</f>
        <v>1</v>
      </c>
      <c r="C10" s="7">
        <f>'[3]Atlantic Southeast'!$GS$38</f>
        <v>0</v>
      </c>
      <c r="D10" s="7">
        <f>[3]Pinnacle!$GS$38</f>
        <v>0</v>
      </c>
      <c r="E10" s="7">
        <f>'[3]Sky West'!$GS$38</f>
        <v>6</v>
      </c>
      <c r="F10" s="7">
        <f>'[3]Go Jet'!$GS$38</f>
        <v>0</v>
      </c>
      <c r="G10" s="7">
        <f>'[3]Sun Country'!$GS$38</f>
        <v>2</v>
      </c>
      <c r="H10" s="7">
        <f>[3]Icelandair!$GS$38</f>
        <v>0</v>
      </c>
      <c r="I10" s="7">
        <f>[3]KLM!$GS$38</f>
        <v>0</v>
      </c>
      <c r="J10" s="7">
        <f>'[3]Air Georgian'!$GS$38</f>
        <v>0</v>
      </c>
      <c r="K10" s="7">
        <f>'[3]Sky Regional'!$GS$38</f>
        <v>0</v>
      </c>
      <c r="L10" s="7">
        <f>[3]Condor!$GS$38</f>
        <v>0</v>
      </c>
      <c r="M10" s="7">
        <f>'[3]Aer Lingus'!$GS$38</f>
        <v>0</v>
      </c>
      <c r="N10" s="7">
        <f>'[3]Air France'!$GS$38</f>
        <v>0</v>
      </c>
      <c r="O10" s="7">
        <f>'[3]Charter Misc'!$GS$38+[3]Ryan!$GS$38+[3]Omni!$GS$38</f>
        <v>0</v>
      </c>
      <c r="P10" s="374">
        <f>SUM(B10:O10)</f>
        <v>9</v>
      </c>
    </row>
    <row r="11" spans="1:16" ht="15.75" thickBot="1" x14ac:dyDescent="0.3">
      <c r="A11" s="39" t="s">
        <v>34</v>
      </c>
      <c r="B11" s="186">
        <f t="shared" ref="B11:G11" si="5">SUM(B9:B10)</f>
        <v>1</v>
      </c>
      <c r="C11" s="186">
        <f t="shared" si="5"/>
        <v>0</v>
      </c>
      <c r="D11" s="186">
        <f t="shared" si="5"/>
        <v>1</v>
      </c>
      <c r="E11" s="186">
        <f t="shared" si="5"/>
        <v>15</v>
      </c>
      <c r="F11" s="186">
        <f t="shared" ref="F11" si="6">SUM(F9:F10)</f>
        <v>0</v>
      </c>
      <c r="G11" s="186">
        <f t="shared" si="5"/>
        <v>7</v>
      </c>
      <c r="H11" s="186">
        <f t="shared" ref="H11:O11" si="7">SUM(H9:H10)</f>
        <v>0</v>
      </c>
      <c r="I11" s="186">
        <f t="shared" ref="I11" si="8">SUM(I9:I10)</f>
        <v>0</v>
      </c>
      <c r="J11" s="186">
        <f t="shared" si="7"/>
        <v>0</v>
      </c>
      <c r="K11" s="186">
        <f t="shared" ref="K11" si="9">SUM(K9:K10)</f>
        <v>0</v>
      </c>
      <c r="L11" s="186">
        <f t="shared" si="7"/>
        <v>0</v>
      </c>
      <c r="M11" s="186">
        <f t="shared" ref="M11" si="10">SUM(M9:M10)</f>
        <v>0</v>
      </c>
      <c r="N11" s="186">
        <f t="shared" si="7"/>
        <v>0</v>
      </c>
      <c r="O11" s="186">
        <f t="shared" si="7"/>
        <v>0</v>
      </c>
      <c r="P11" s="376">
        <f>SUM(B11:O11)</f>
        <v>24</v>
      </c>
    </row>
    <row r="12" spans="1:16" ht="15" x14ac:dyDescent="0.25">
      <c r="A12" s="263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1"/>
    </row>
    <row r="13" spans="1:16" ht="39" thickBot="1" x14ac:dyDescent="0.25">
      <c r="B13" s="306" t="s">
        <v>18</v>
      </c>
      <c r="C13" s="305" t="s">
        <v>195</v>
      </c>
      <c r="D13" s="371" t="s">
        <v>158</v>
      </c>
      <c r="E13" s="305" t="s">
        <v>164</v>
      </c>
      <c r="F13" s="305" t="s">
        <v>163</v>
      </c>
      <c r="G13" s="305" t="s">
        <v>49</v>
      </c>
      <c r="H13" s="305" t="s">
        <v>114</v>
      </c>
      <c r="I13" s="305" t="s">
        <v>194</v>
      </c>
      <c r="J13" s="305" t="s">
        <v>191</v>
      </c>
      <c r="K13" s="305" t="s">
        <v>196</v>
      </c>
      <c r="L13" s="305" t="s">
        <v>162</v>
      </c>
      <c r="M13" s="305" t="s">
        <v>211</v>
      </c>
      <c r="N13" s="305" t="s">
        <v>157</v>
      </c>
      <c r="O13" s="305" t="s">
        <v>140</v>
      </c>
      <c r="P13" s="305" t="s">
        <v>21</v>
      </c>
    </row>
    <row r="14" spans="1:16" ht="15" x14ac:dyDescent="0.25">
      <c r="A14" s="487" t="s">
        <v>142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9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SUM([3]Delta!$GP$32:$GS$32)</f>
        <v>240029</v>
      </c>
      <c r="C16" s="12">
        <f>SUM('[3]Atlantic Southeast'!$GP$32:$GS$32)</f>
        <v>0</v>
      </c>
      <c r="D16" s="12">
        <f>SUM([3]Pinnacle!$GP$32:$GS$32)</f>
        <v>11430</v>
      </c>
      <c r="E16" s="12">
        <f>SUM('[3]Sky West'!$GP$32:$GS$32)</f>
        <v>39489</v>
      </c>
      <c r="F16" s="12">
        <f>SUM('[3]Go Jet'!$GP$32:$GS$32)</f>
        <v>0</v>
      </c>
      <c r="G16" s="12">
        <f>SUM('[3]Sun Country'!$GP$32:$GS$32)</f>
        <v>86037</v>
      </c>
      <c r="H16" s="12">
        <f>SUM([3]Icelandair!$GP$32:$GS$32)</f>
        <v>1011</v>
      </c>
      <c r="I16" s="12">
        <f>SUM([3]KLM!$GP$32:$GS$32)</f>
        <v>9290</v>
      </c>
      <c r="J16" s="12">
        <f>SUM('[3]Air Georgian'!$GP$32:$GS$32)</f>
        <v>0</v>
      </c>
      <c r="K16" s="12">
        <f>SUM('[3]Sky Regional'!$GP$32:$GS$32)</f>
        <v>8489</v>
      </c>
      <c r="L16" s="12">
        <f>SUM([3]Condor!$GP$32:$GS$32)</f>
        <v>0</v>
      </c>
      <c r="M16" s="12">
        <f>SUM('[3]Aer Lingus'!$GP$32:$GS$32)</f>
        <v>5028</v>
      </c>
      <c r="N16" s="12">
        <f>SUM('[3]Air France'!$GP$32:$GS$32)</f>
        <v>0</v>
      </c>
      <c r="O16" s="12">
        <f>SUM('[3]Charter Misc'!$GP$32:$GS$32)+SUM([3]Ryan!$GP$32:$GS$32)+SUM([3]Omni!$GP$32:$GS$32)</f>
        <v>60</v>
      </c>
      <c r="P16" s="373">
        <f>SUM(B16:O16)</f>
        <v>400863</v>
      </c>
    </row>
    <row r="17" spans="1:19" x14ac:dyDescent="0.2">
      <c r="A17" s="38" t="s">
        <v>31</v>
      </c>
      <c r="B17" s="7">
        <f>SUM([3]Delta!$GP$33:$GS$33)</f>
        <v>221354</v>
      </c>
      <c r="C17" s="7">
        <f>SUM('[3]Atlantic Southeast'!$GP$33:$GS$33)</f>
        <v>0</v>
      </c>
      <c r="D17" s="7">
        <f>SUM([3]Pinnacle!$GP$33:$GS$33)</f>
        <v>12177</v>
      </c>
      <c r="E17" s="7">
        <f>SUM('[3]Sky West'!$GP$33:$GS$33)</f>
        <v>40953</v>
      </c>
      <c r="F17" s="7">
        <f>SUM('[3]Go Jet'!$GP$33:$GS$33)</f>
        <v>0</v>
      </c>
      <c r="G17" s="7">
        <f>SUM('[3]Sun Country'!$GP$33:$GS$33)</f>
        <v>78950</v>
      </c>
      <c r="H17" s="7">
        <f>SUM([3]Icelandair!$GP$33:$GS$33)</f>
        <v>1047</v>
      </c>
      <c r="I17" s="7">
        <f>SUM([3]KLM!$GP$33:$GS$33)</f>
        <v>6678</v>
      </c>
      <c r="J17" s="7">
        <f>SUM('[3]Air Georgian'!$GP$33:$GS$33)</f>
        <v>0</v>
      </c>
      <c r="K17" s="7">
        <f>SUM('[3]Sky Regional'!$GP$33:$GS$33)</f>
        <v>8452</v>
      </c>
      <c r="L17" s="7">
        <f>SUM([3]Condor!$GP$33:$GS$33)</f>
        <v>0</v>
      </c>
      <c r="M17" s="7">
        <f>SUM('[3]Aer Lingus'!$GP$33:$GS$33)</f>
        <v>4594</v>
      </c>
      <c r="N17" s="7">
        <f>SUM('[3]Air France'!$GP$33:$GS$33)</f>
        <v>0</v>
      </c>
      <c r="O17" s="7">
        <f>SUM('[3]Charter Misc'!$GP$33:$GS$33)++SUM([3]Ryan!$GP$33:$GS$33)+SUM([3]Omni!$GP$33:$GS$33)</f>
        <v>0</v>
      </c>
      <c r="P17" s="374">
        <f>SUM(B17:O17)</f>
        <v>374205</v>
      </c>
    </row>
    <row r="18" spans="1:19" ht="15" x14ac:dyDescent="0.25">
      <c r="A18" s="36" t="s">
        <v>7</v>
      </c>
      <c r="B18" s="18">
        <f t="shared" ref="B18:O18" si="11">SUM(B16:B17)</f>
        <v>461383</v>
      </c>
      <c r="C18" s="18">
        <f t="shared" si="11"/>
        <v>0</v>
      </c>
      <c r="D18" s="18">
        <f t="shared" si="11"/>
        <v>23607</v>
      </c>
      <c r="E18" s="18">
        <f t="shared" si="11"/>
        <v>80442</v>
      </c>
      <c r="F18" s="18">
        <f t="shared" ref="F18" si="12">SUM(F16:F17)</f>
        <v>0</v>
      </c>
      <c r="G18" s="18">
        <f t="shared" si="11"/>
        <v>164987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5">
        <f>SUM(B18:O18)</f>
        <v>775068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3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3">
        <f>SUM(B20:O20)</f>
        <v>0</v>
      </c>
    </row>
    <row r="21" spans="1:19" x14ac:dyDescent="0.2">
      <c r="A21" s="38" t="s">
        <v>30</v>
      </c>
      <c r="B21" s="12">
        <f>SUM([3]Delta!$GP$37:$GS$37)</f>
        <v>6528</v>
      </c>
      <c r="C21" s="12">
        <f>SUM('[3]Atlantic Southeast'!$GP$37:$GS$37)</f>
        <v>0</v>
      </c>
      <c r="D21" s="12">
        <f>SUM([3]Pinnacle!$GP$37:$GS$37)</f>
        <v>265</v>
      </c>
      <c r="E21" s="12">
        <f>SUM('[3]Sky West'!$GP$37:$GS$37)</f>
        <v>488</v>
      </c>
      <c r="F21" s="12">
        <f>SUM('[3]Go Jet'!$GP$37:$GS$37)</f>
        <v>0</v>
      </c>
      <c r="G21" s="12">
        <f>SUM('[3]Sun Country'!$GP$37:$GS$37)</f>
        <v>1011</v>
      </c>
      <c r="H21" s="12">
        <f>SUM([3]Icelandair!$GP$37:$GS$37)</f>
        <v>22</v>
      </c>
      <c r="I21" s="12">
        <f>SUM([3]KLM!$GP$37:$GS$37)</f>
        <v>35</v>
      </c>
      <c r="J21" s="12">
        <f>SUM('[3]Air Georgian'!$GP$37:$GS$37)</f>
        <v>0</v>
      </c>
      <c r="K21" s="12">
        <f>SUM('[3]Sky Regional'!$GP$37:$GS$37)</f>
        <v>116</v>
      </c>
      <c r="L21" s="12">
        <f>SUM([3]Condor!$GP$37:$GS$37)</f>
        <v>0</v>
      </c>
      <c r="M21" s="12">
        <f>SUM('[3]Aer Lingus'!$GP$37:$GS$37)</f>
        <v>35</v>
      </c>
      <c r="N21" s="12">
        <f>SUM('[3]Air France'!$GP$37:$GS$37)</f>
        <v>0</v>
      </c>
      <c r="O21" s="12">
        <f>SUM('[3]Charter Misc'!$GP$37:$GS$37)++SUM([3]Ryan!$GP$37:$GS$37)+SUM([3]Omni!$GP$37:$GS$37)</f>
        <v>0</v>
      </c>
      <c r="P21" s="373">
        <f>SUM(B21:O21)</f>
        <v>8500</v>
      </c>
    </row>
    <row r="22" spans="1:19" x14ac:dyDescent="0.2">
      <c r="A22" s="38" t="s">
        <v>33</v>
      </c>
      <c r="B22" s="7">
        <f>SUM([3]Delta!$GP$38:$GS$38)</f>
        <v>5724</v>
      </c>
      <c r="C22" s="7">
        <f>SUM('[3]Atlantic Southeast'!$GP$38:$GS$38)</f>
        <v>0</v>
      </c>
      <c r="D22" s="7">
        <f>SUM([3]Pinnacle!$GP$38:$GS$38)</f>
        <v>139</v>
      </c>
      <c r="E22" s="7">
        <f>SUM('[3]Sky West'!$GP$38:$GS$38)</f>
        <v>485</v>
      </c>
      <c r="F22" s="7">
        <f>SUM('[3]Go Jet'!$GP$38:$GS$38)</f>
        <v>0</v>
      </c>
      <c r="G22" s="7">
        <f>SUM('[3]Sun Country'!$GP$38:$GS$38)</f>
        <v>956</v>
      </c>
      <c r="H22" s="7">
        <f>SUM([3]Icelandair!$GP$38:$GS$38)</f>
        <v>20</v>
      </c>
      <c r="I22" s="7">
        <f>SUM([3]KLM!$GP$38:$GS$38)</f>
        <v>26</v>
      </c>
      <c r="J22" s="7">
        <f>SUM('[3]Air Georgian'!$GP$38:$GS$38)</f>
        <v>0</v>
      </c>
      <c r="K22" s="7">
        <f>SUM('[3]Sky Regional'!$GP$38:$GS$38)</f>
        <v>116</v>
      </c>
      <c r="L22" s="7">
        <f>SUM([3]Condor!$GP$38:$GS$38)</f>
        <v>0</v>
      </c>
      <c r="M22" s="7">
        <f>SUM('[3]Aer Lingus'!$GP$38:$GS$38)</f>
        <v>37</v>
      </c>
      <c r="N22" s="7">
        <f>SUM('[3]Air France'!$GP$38:$GS$38)</f>
        <v>0</v>
      </c>
      <c r="O22" s="7">
        <f>SUM('[3]Charter Misc'!$GP$38:$GS$38)++SUM([3]Ryan!$GP$38:$GS$38)+SUM([3]Omni!$GP$38:$GS$38)</f>
        <v>0</v>
      </c>
      <c r="P22" s="374">
        <f>SUM(B22:O22)</f>
        <v>7503</v>
      </c>
    </row>
    <row r="23" spans="1:19" ht="15.75" thickBot="1" x14ac:dyDescent="0.3">
      <c r="A23" s="39" t="s">
        <v>34</v>
      </c>
      <c r="B23" s="186">
        <f t="shared" ref="B23:O23" si="16">SUM(B21:B22)</f>
        <v>12252</v>
      </c>
      <c r="C23" s="186">
        <f t="shared" si="16"/>
        <v>0</v>
      </c>
      <c r="D23" s="186">
        <f t="shared" si="16"/>
        <v>404</v>
      </c>
      <c r="E23" s="186">
        <f t="shared" si="16"/>
        <v>973</v>
      </c>
      <c r="F23" s="186">
        <f t="shared" ref="F23" si="17">SUM(F21:F22)</f>
        <v>0</v>
      </c>
      <c r="G23" s="186">
        <f t="shared" si="16"/>
        <v>1967</v>
      </c>
      <c r="H23" s="186">
        <f t="shared" si="16"/>
        <v>42</v>
      </c>
      <c r="I23" s="186">
        <f t="shared" ref="I23" si="18">SUM(I21:I22)</f>
        <v>61</v>
      </c>
      <c r="J23" s="186">
        <f t="shared" si="16"/>
        <v>0</v>
      </c>
      <c r="K23" s="186">
        <f t="shared" ref="K23" si="19">SUM(K21:K22)</f>
        <v>232</v>
      </c>
      <c r="L23" s="186">
        <f t="shared" ref="L23:M23" si="20">SUM(L21:L22)</f>
        <v>0</v>
      </c>
      <c r="M23" s="186">
        <f t="shared" si="20"/>
        <v>72</v>
      </c>
      <c r="N23" s="186">
        <f t="shared" si="16"/>
        <v>0</v>
      </c>
      <c r="O23" s="186">
        <f t="shared" si="16"/>
        <v>0</v>
      </c>
      <c r="P23" s="376">
        <f>SUM(B23:O23)</f>
        <v>16003</v>
      </c>
    </row>
    <row r="25" spans="1:19" ht="39" thickBot="1" x14ac:dyDescent="0.25">
      <c r="B25" s="306" t="s">
        <v>18</v>
      </c>
      <c r="C25" s="305" t="s">
        <v>195</v>
      </c>
      <c r="D25" s="371" t="s">
        <v>158</v>
      </c>
      <c r="E25" s="305" t="s">
        <v>164</v>
      </c>
      <c r="F25" s="305" t="s">
        <v>163</v>
      </c>
      <c r="G25" s="305" t="s">
        <v>49</v>
      </c>
      <c r="H25" s="305" t="s">
        <v>114</v>
      </c>
      <c r="I25" s="305" t="s">
        <v>194</v>
      </c>
      <c r="J25" s="305" t="s">
        <v>191</v>
      </c>
      <c r="K25" s="305" t="s">
        <v>196</v>
      </c>
      <c r="L25" s="305" t="s">
        <v>162</v>
      </c>
      <c r="M25" s="305" t="s">
        <v>211</v>
      </c>
      <c r="N25" s="305" t="s">
        <v>157</v>
      </c>
      <c r="O25" s="305" t="s">
        <v>140</v>
      </c>
      <c r="P25" s="305" t="s">
        <v>21</v>
      </c>
    </row>
    <row r="26" spans="1:19" ht="15" x14ac:dyDescent="0.25">
      <c r="A26" s="490" t="s">
        <v>143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2"/>
    </row>
    <row r="27" spans="1:19" x14ac:dyDescent="0.2">
      <c r="A27" s="38" t="s">
        <v>22</v>
      </c>
      <c r="B27" s="12">
        <f>[3]Delta!$GS$15</f>
        <v>2</v>
      </c>
      <c r="C27" s="12">
        <f>'[3]Atlantic Southeast'!$GS$15</f>
        <v>0</v>
      </c>
      <c r="D27" s="12">
        <f>[3]Pinnacle!$GS$15</f>
        <v>1</v>
      </c>
      <c r="E27" s="12">
        <f>'[3]Sky West'!$GS$15</f>
        <v>52</v>
      </c>
      <c r="F27" s="12">
        <f>'[3]Go Jet'!$GS$15</f>
        <v>0</v>
      </c>
      <c r="G27" s="12">
        <f>'[3]Sun Country'!$GS$15</f>
        <v>1</v>
      </c>
      <c r="H27" s="12">
        <f>[3]Icelandair!$GS$15</f>
        <v>0</v>
      </c>
      <c r="I27" s="12">
        <f>[3]KLM!$GS$15</f>
        <v>0</v>
      </c>
      <c r="J27" s="12">
        <f>'[3]Air Georgian'!$GS$15</f>
        <v>0</v>
      </c>
      <c r="K27" s="12">
        <f>'[3]Sky Regional'!$GS$15</f>
        <v>0</v>
      </c>
      <c r="L27" s="12">
        <f>[3]Condor!$GS$15</f>
        <v>0</v>
      </c>
      <c r="M27" s="12">
        <f>'[3]Aer Lingus'!$GS$15</f>
        <v>0</v>
      </c>
      <c r="N27" s="12">
        <f>'[3]Air France'!$GS$15</f>
        <v>0</v>
      </c>
      <c r="O27" s="12">
        <f>'[3]Charter Misc'!$GS$15+[3]Ryan!$GS$15+[3]Omni!$GS$15</f>
        <v>0</v>
      </c>
      <c r="P27" s="373">
        <f>SUM(B27:O27)</f>
        <v>56</v>
      </c>
    </row>
    <row r="28" spans="1:19" x14ac:dyDescent="0.2">
      <c r="A28" s="38" t="s">
        <v>23</v>
      </c>
      <c r="B28" s="12">
        <f>[3]Delta!$GS$16</f>
        <v>1</v>
      </c>
      <c r="C28" s="12">
        <f>'[3]Atlantic Southeast'!$GS$16</f>
        <v>0</v>
      </c>
      <c r="D28" s="12">
        <f>[3]Pinnacle!$GS$16</f>
        <v>0</v>
      </c>
      <c r="E28" s="12">
        <f>'[3]Sky West'!$GS$16</f>
        <v>52</v>
      </c>
      <c r="F28" s="12">
        <f>'[3]Go Jet'!$GS$16</f>
        <v>0</v>
      </c>
      <c r="G28" s="12">
        <f>'[3]Sun Country'!$GS$16</f>
        <v>1</v>
      </c>
      <c r="H28" s="12">
        <f>[3]Icelandair!$GS$16</f>
        <v>0</v>
      </c>
      <c r="I28" s="12">
        <f>[3]KLM!$GS$16</f>
        <v>0</v>
      </c>
      <c r="J28" s="12">
        <f>'[3]Air Georgian'!$GS$16</f>
        <v>0</v>
      </c>
      <c r="K28" s="12">
        <f>'[3]Sky Regional'!$GS$16</f>
        <v>0</v>
      </c>
      <c r="L28" s="12">
        <f>[3]Condor!$GS$16</f>
        <v>0</v>
      </c>
      <c r="M28" s="12">
        <f>'[3]Aer Lingus'!$GS$16</f>
        <v>0</v>
      </c>
      <c r="N28" s="12">
        <f>'[3]Air France'!$GS$16</f>
        <v>0</v>
      </c>
      <c r="O28" s="12">
        <f>'[3]Charter Misc'!$GS$16+[3]Ryan!$GS$16+[3]Omni!$GS$16</f>
        <v>0</v>
      </c>
      <c r="P28" s="373">
        <f>SUM(B28:O28)</f>
        <v>54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3"/>
    </row>
    <row r="30" spans="1:19" ht="15.75" thickBot="1" x14ac:dyDescent="0.3">
      <c r="A30" s="39" t="s">
        <v>28</v>
      </c>
      <c r="B30" s="262">
        <f t="shared" ref="B30:J30" si="21">SUM(B27:B28)</f>
        <v>3</v>
      </c>
      <c r="C30" s="262">
        <f t="shared" si="21"/>
        <v>0</v>
      </c>
      <c r="D30" s="262">
        <f t="shared" si="21"/>
        <v>1</v>
      </c>
      <c r="E30" s="262">
        <f>SUM(E27:E28)</f>
        <v>104</v>
      </c>
      <c r="F30" s="262">
        <f>SUM(F27:F28)</f>
        <v>0</v>
      </c>
      <c r="G30" s="262">
        <f t="shared" si="21"/>
        <v>2</v>
      </c>
      <c r="H30" s="262">
        <f t="shared" si="21"/>
        <v>0</v>
      </c>
      <c r="I30" s="262">
        <f t="shared" ref="I30" si="22">SUM(I27:I28)</f>
        <v>0</v>
      </c>
      <c r="J30" s="262">
        <f t="shared" si="21"/>
        <v>0</v>
      </c>
      <c r="K30" s="262">
        <f t="shared" ref="K30" si="23">SUM(K27:K28)</f>
        <v>0</v>
      </c>
      <c r="L30" s="262">
        <f>SUM(L27:L28)</f>
        <v>0</v>
      </c>
      <c r="M30" s="262">
        <f>SUM(M27:M28)</f>
        <v>0</v>
      </c>
      <c r="N30" s="262">
        <f>SUM(N27:N28)</f>
        <v>0</v>
      </c>
      <c r="O30" s="262">
        <f>SUM(O27:O28)</f>
        <v>0</v>
      </c>
      <c r="P30" s="419">
        <f>SUM(B30:O30)</f>
        <v>110</v>
      </c>
    </row>
    <row r="31" spans="1:19" ht="15" x14ac:dyDescent="0.25">
      <c r="A31" s="263"/>
    </row>
    <row r="32" spans="1:19" ht="39" thickBot="1" x14ac:dyDescent="0.25">
      <c r="B32" s="306" t="s">
        <v>18</v>
      </c>
      <c r="C32" s="305" t="s">
        <v>195</v>
      </c>
      <c r="D32" s="371" t="s">
        <v>158</v>
      </c>
      <c r="E32" s="305" t="s">
        <v>164</v>
      </c>
      <c r="F32" s="305" t="s">
        <v>163</v>
      </c>
      <c r="G32" s="305" t="s">
        <v>49</v>
      </c>
      <c r="H32" s="305" t="s">
        <v>114</v>
      </c>
      <c r="I32" s="305" t="s">
        <v>194</v>
      </c>
      <c r="J32" s="305" t="s">
        <v>191</v>
      </c>
      <c r="K32" s="305" t="s">
        <v>196</v>
      </c>
      <c r="L32" s="305" t="s">
        <v>162</v>
      </c>
      <c r="M32" s="305" t="s">
        <v>211</v>
      </c>
      <c r="N32" s="305" t="s">
        <v>157</v>
      </c>
      <c r="O32" s="305" t="s">
        <v>140</v>
      </c>
      <c r="P32" s="305" t="s">
        <v>21</v>
      </c>
    </row>
    <row r="33" spans="1:16" ht="15" x14ac:dyDescent="0.25">
      <c r="A33" s="493" t="s">
        <v>144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5"/>
    </row>
    <row r="34" spans="1:16" x14ac:dyDescent="0.2">
      <c r="A34" s="38" t="s">
        <v>22</v>
      </c>
      <c r="B34" s="12">
        <f>SUM([3]Delta!$GP$15:$GS$15)</f>
        <v>1628</v>
      </c>
      <c r="C34" s="12">
        <f>SUM('[3]Atlantic Southeast'!$GP$15:$GS$15)</f>
        <v>0</v>
      </c>
      <c r="D34" s="12">
        <f>SUM([3]Pinnacle!$GP$15:$GS$15)</f>
        <v>230</v>
      </c>
      <c r="E34" s="12">
        <f>SUM('[3]Sky West'!$GP$15:$GS$15)</f>
        <v>770</v>
      </c>
      <c r="F34" s="12">
        <f>SUM('[3]Go Jet'!$GP$15:$GS$15)</f>
        <v>0</v>
      </c>
      <c r="G34" s="12">
        <f>SUM('[3]Sun Country'!$GP$15:$GS$15)</f>
        <v>618</v>
      </c>
      <c r="H34" s="12">
        <f>SUM([3]Icelandair!$GP$15:$GS$15)</f>
        <v>9</v>
      </c>
      <c r="I34" s="12">
        <f>SUM([3]KLM!$GP$15:$GS$15)</f>
        <v>40</v>
      </c>
      <c r="J34" s="12">
        <f>SUM('[3]Air Georgian'!$GP$15:$GS$15)</f>
        <v>0</v>
      </c>
      <c r="K34" s="12">
        <f>SUM('[3]Sky Regional'!$GP$15:$GS$15)</f>
        <v>195</v>
      </c>
      <c r="L34" s="12">
        <f>SUM([3]Condor!$GP$15:$GS$15)</f>
        <v>0</v>
      </c>
      <c r="M34" s="12">
        <f>SUM('[3]Aer Lingus'!$GP$15:$GS$15)</f>
        <v>44</v>
      </c>
      <c r="N34" s="12">
        <f>SUM('[3]Air France'!$GP$15:$GS$15)</f>
        <v>0</v>
      </c>
      <c r="O34" s="12">
        <f>SUM('[3]Charter Misc'!$GP$15:$GS$15)+SUM([3]Ryan!$GP$15:$GS$15)+SUM([3]Omni!$GP$15:$GS$15)</f>
        <v>1</v>
      </c>
      <c r="P34" s="373">
        <f>SUM(B34:O34)</f>
        <v>3535</v>
      </c>
    </row>
    <row r="35" spans="1:16" x14ac:dyDescent="0.2">
      <c r="A35" s="38" t="s">
        <v>23</v>
      </c>
      <c r="B35" s="12">
        <f>SUM([3]Delta!$GP$16:$GS$16)</f>
        <v>1619</v>
      </c>
      <c r="C35" s="12">
        <f>SUM('[3]Atlantic Southeast'!$GP$16:$GS$16)</f>
        <v>0</v>
      </c>
      <c r="D35" s="12">
        <f>SUM([3]Pinnacle!$GP$16:$GS$16)</f>
        <v>223</v>
      </c>
      <c r="E35" s="12">
        <f>SUM('[3]Sky West'!$GP$16:$GS$16)</f>
        <v>769</v>
      </c>
      <c r="F35" s="12">
        <f>SUM('[3]Go Jet'!$GP$16:$GS$16)</f>
        <v>0</v>
      </c>
      <c r="G35" s="12">
        <f>SUM('[3]Sun Country'!$GP$16:$GS$16)</f>
        <v>624</v>
      </c>
      <c r="H35" s="12">
        <f>SUM([3]Icelandair!$GP$16:$GS$16)</f>
        <v>9</v>
      </c>
      <c r="I35" s="12">
        <f>SUM([3]KLM!$GP$16:$GS$16)</f>
        <v>40</v>
      </c>
      <c r="J35" s="12">
        <f>SUM('[3]Air Georgian'!$GP$16:$GS$16)</f>
        <v>0</v>
      </c>
      <c r="K35" s="12">
        <f>SUM('[3]Sky Regional'!$GP$16:$GS$16)</f>
        <v>195</v>
      </c>
      <c r="L35" s="12">
        <f>SUM([3]Condor!$GP$16:$GS$16)</f>
        <v>0</v>
      </c>
      <c r="M35" s="12">
        <f>SUM('[3]Aer Lingus'!$GP$16:$GS$16)</f>
        <v>44</v>
      </c>
      <c r="N35" s="12">
        <f>SUM('[3]Air France'!$GP$16:$GS$16)</f>
        <v>0</v>
      </c>
      <c r="O35" s="12">
        <f>SUM('[3]Charter Misc'!$GP$16:$GS$16)+SUM([3]Ryan!$GP$16:$GS$16)+SUM([3]Omni!$GP$16:$GS$16)</f>
        <v>0</v>
      </c>
      <c r="P35" s="373">
        <f>SUM(B35:O35)</f>
        <v>3523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3"/>
    </row>
    <row r="37" spans="1:16" ht="15.75" thickBot="1" x14ac:dyDescent="0.3">
      <c r="A37" s="39" t="s">
        <v>28</v>
      </c>
      <c r="B37" s="262">
        <f t="shared" ref="B37:J37" si="24">+SUM(B34:B35)</f>
        <v>3247</v>
      </c>
      <c r="C37" s="262">
        <f t="shared" si="24"/>
        <v>0</v>
      </c>
      <c r="D37" s="262">
        <f t="shared" si="24"/>
        <v>453</v>
      </c>
      <c r="E37" s="262">
        <f>+SUM(E34:E35)</f>
        <v>1539</v>
      </c>
      <c r="F37" s="262">
        <f>+SUM(F34:F35)</f>
        <v>0</v>
      </c>
      <c r="G37" s="262">
        <f t="shared" si="24"/>
        <v>1242</v>
      </c>
      <c r="H37" s="262">
        <f t="shared" si="24"/>
        <v>18</v>
      </c>
      <c r="I37" s="262">
        <f t="shared" ref="I37" si="25">+SUM(I34:I35)</f>
        <v>80</v>
      </c>
      <c r="J37" s="262">
        <f t="shared" si="24"/>
        <v>0</v>
      </c>
      <c r="K37" s="262">
        <f t="shared" ref="K37" si="26">+SUM(K34:K35)</f>
        <v>390</v>
      </c>
      <c r="L37" s="262">
        <f>+SUM(L34:L35)</f>
        <v>0</v>
      </c>
      <c r="M37" s="262">
        <f>+SUM(M34:M35)</f>
        <v>88</v>
      </c>
      <c r="N37" s="262">
        <f>+SUM(N34:N35)</f>
        <v>0</v>
      </c>
      <c r="O37" s="262">
        <f>+SUM(O34:O35)</f>
        <v>1</v>
      </c>
      <c r="P37" s="419">
        <f>SUM(B37:O37)</f>
        <v>7058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&amp;"Arial,Bold"April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7"/>
  <sheetViews>
    <sheetView topLeftCell="A37" zoomScaleNormal="100" zoomScaleSheetLayoutView="85" workbookViewId="0">
      <selection activeCell="S15" sqref="S15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39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3" bestFit="1" customWidth="1"/>
    <col min="12" max="13" width="14.140625" style="2" bestFit="1" customWidth="1"/>
    <col min="14" max="14" width="11.7109375" style="3" customWidth="1"/>
    <col min="15" max="15" width="9.855468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21.85546875" customWidth="1"/>
  </cols>
  <sheetData>
    <row r="1" spans="1:18" s="9" customFormat="1" ht="39" thickBot="1" x14ac:dyDescent="0.25">
      <c r="A1" s="499" t="s">
        <v>133</v>
      </c>
      <c r="B1" s="500"/>
      <c r="C1" s="364" t="s">
        <v>217</v>
      </c>
      <c r="D1" s="365" t="s">
        <v>205</v>
      </c>
      <c r="E1" s="175" t="s">
        <v>96</v>
      </c>
      <c r="F1" s="174" t="s">
        <v>218</v>
      </c>
      <c r="G1" s="365" t="s">
        <v>206</v>
      </c>
      <c r="H1" s="173" t="s">
        <v>97</v>
      </c>
      <c r="I1" s="175" t="s">
        <v>221</v>
      </c>
      <c r="J1" s="505" t="s">
        <v>137</v>
      </c>
      <c r="K1" s="506"/>
      <c r="L1" s="362" t="s">
        <v>219</v>
      </c>
      <c r="M1" s="363" t="s">
        <v>207</v>
      </c>
      <c r="N1" s="232" t="s">
        <v>97</v>
      </c>
      <c r="O1" s="341" t="s">
        <v>220</v>
      </c>
      <c r="P1" s="176" t="s">
        <v>208</v>
      </c>
      <c r="Q1" s="338" t="s">
        <v>97</v>
      </c>
      <c r="R1" s="342" t="s">
        <v>221</v>
      </c>
    </row>
    <row r="2" spans="1:18" s="9" customFormat="1" ht="13.5" customHeight="1" thickBot="1" x14ac:dyDescent="0.25">
      <c r="A2" s="501">
        <v>43922</v>
      </c>
      <c r="B2" s="502"/>
      <c r="C2" s="503" t="s">
        <v>9</v>
      </c>
      <c r="D2" s="504"/>
      <c r="E2" s="504"/>
      <c r="F2" s="504"/>
      <c r="G2" s="504"/>
      <c r="H2" s="504"/>
      <c r="I2" s="312"/>
      <c r="J2" s="501">
        <f>+A2</f>
        <v>43922</v>
      </c>
      <c r="K2" s="502"/>
      <c r="L2" s="496" t="s">
        <v>139</v>
      </c>
      <c r="M2" s="497"/>
      <c r="N2" s="497"/>
      <c r="O2" s="497"/>
      <c r="P2" s="497"/>
      <c r="Q2" s="497"/>
      <c r="R2" s="498"/>
    </row>
    <row r="3" spans="1:18" x14ac:dyDescent="0.2">
      <c r="A3" s="233"/>
      <c r="B3" s="234"/>
      <c r="C3" s="235"/>
      <c r="D3" s="236"/>
      <c r="E3" s="237"/>
      <c r="F3" s="289"/>
      <c r="G3" s="236"/>
      <c r="H3" s="336"/>
      <c r="I3" s="237"/>
      <c r="J3" s="238"/>
      <c r="K3" s="234"/>
      <c r="L3" s="244"/>
      <c r="N3" s="58"/>
      <c r="O3" s="233"/>
      <c r="P3" s="239"/>
      <c r="Q3" s="239"/>
      <c r="R3" s="234"/>
    </row>
    <row r="4" spans="1:18" x14ac:dyDescent="0.2">
      <c r="A4" s="240" t="s">
        <v>211</v>
      </c>
      <c r="B4" s="33"/>
      <c r="C4" s="241">
        <f>'[3]Aer Lingus'!$GS$19</f>
        <v>0</v>
      </c>
      <c r="D4" s="115">
        <f>'[3]Aer Lingus'!$GE$19</f>
        <v>0</v>
      </c>
      <c r="E4" s="243" t="e">
        <f>(C4-D4)/D4</f>
        <v>#DIV/0!</v>
      </c>
      <c r="F4" s="115">
        <f>SUM('[3]Aer Lingus'!$GP$19:$GS$19)</f>
        <v>88</v>
      </c>
      <c r="G4" s="115">
        <f>SUM('[3]Aer Lingus'!$GB$19:$GE$19)</f>
        <v>0</v>
      </c>
      <c r="H4" s="242" t="e">
        <f>(F4-G4)/G4</f>
        <v>#DIV/0!</v>
      </c>
      <c r="I4" s="243">
        <f>F4/$F$68</f>
        <v>9.480306817202448E-4</v>
      </c>
      <c r="J4" s="240" t="s">
        <v>211</v>
      </c>
      <c r="K4" s="33"/>
      <c r="L4" s="241">
        <f>'[3]Aer Lingus'!$GS$41</f>
        <v>0</v>
      </c>
      <c r="M4" s="115">
        <f>'[3]Aer Lingus'!$GE$41</f>
        <v>0</v>
      </c>
      <c r="N4" s="243" t="e">
        <f>(L4-M4)/M4</f>
        <v>#DIV/0!</v>
      </c>
      <c r="O4" s="241">
        <f>SUM('[3]Aer Lingus'!$GP$41:$GS$41)</f>
        <v>9622</v>
      </c>
      <c r="P4" s="115">
        <f>SUM('[3]Aer Lingus'!$GB$41:$GE$41)</f>
        <v>0</v>
      </c>
      <c r="Q4" s="242" t="e">
        <f>(O4-P4)/P4</f>
        <v>#DIV/0!</v>
      </c>
      <c r="R4" s="243">
        <f>O4/$O$68</f>
        <v>1.2934920224800363E-3</v>
      </c>
    </row>
    <row r="5" spans="1:18" x14ac:dyDescent="0.2">
      <c r="A5" s="31"/>
      <c r="B5" s="33"/>
      <c r="C5" s="244"/>
      <c r="D5" s="366"/>
      <c r="E5" s="58"/>
      <c r="F5" s="367"/>
      <c r="G5" s="366"/>
      <c r="H5" s="368"/>
      <c r="I5" s="58"/>
      <c r="J5" s="369"/>
      <c r="K5" s="33"/>
      <c r="L5" s="244"/>
      <c r="N5" s="58"/>
      <c r="O5" s="31"/>
      <c r="P5" s="370"/>
      <c r="Q5" s="370"/>
      <c r="R5" s="33"/>
    </row>
    <row r="6" spans="1:18" ht="14.1" customHeight="1" x14ac:dyDescent="0.2">
      <c r="A6" s="240" t="s">
        <v>99</v>
      </c>
      <c r="B6" s="33"/>
      <c r="C6" s="241">
        <f>SUM(C7:C9)</f>
        <v>0</v>
      </c>
      <c r="D6" s="115">
        <f>SUM(D7:D9)</f>
        <v>160</v>
      </c>
      <c r="E6" s="243">
        <f>(C6-D6)/D6</f>
        <v>-1</v>
      </c>
      <c r="F6" s="241">
        <f>SUM(F7:F9)</f>
        <v>390</v>
      </c>
      <c r="G6" s="115">
        <f>SUM(G7:G9)</f>
        <v>616</v>
      </c>
      <c r="H6" s="242">
        <f>(F6-G6)/G6</f>
        <v>-0.36688311688311687</v>
      </c>
      <c r="I6" s="243">
        <f>F6/$F$68</f>
        <v>4.2014996121692667E-3</v>
      </c>
      <c r="J6" s="240" t="s">
        <v>99</v>
      </c>
      <c r="K6" s="33"/>
      <c r="L6" s="241">
        <f>SUM(L7:L9)</f>
        <v>0</v>
      </c>
      <c r="M6" s="115">
        <f>SUM(M7:M9)</f>
        <v>9089</v>
      </c>
      <c r="N6" s="243">
        <f>(L6-M6)/M6</f>
        <v>-1</v>
      </c>
      <c r="O6" s="241">
        <f>SUM(O7:O9)</f>
        <v>16941</v>
      </c>
      <c r="P6" s="115">
        <f>SUM(P7:P9)</f>
        <v>33080</v>
      </c>
      <c r="Q6" s="242">
        <f>(O6-P6)/P6</f>
        <v>-0.48787787182587666</v>
      </c>
      <c r="R6" s="243">
        <f>O6/$O$68</f>
        <v>2.2773901842480042E-3</v>
      </c>
    </row>
    <row r="7" spans="1:18" ht="14.1" customHeight="1" x14ac:dyDescent="0.2">
      <c r="A7" s="240"/>
      <c r="B7" s="297" t="s">
        <v>99</v>
      </c>
      <c r="C7" s="244">
        <f>+[3]AirCanada!$GS$19</f>
        <v>0</v>
      </c>
      <c r="D7" s="2">
        <f>+[3]AirCanada!$GE$19</f>
        <v>0</v>
      </c>
      <c r="E7" s="58" t="e">
        <f>(C7-D7)/D7</f>
        <v>#DIV/0!</v>
      </c>
      <c r="F7" s="192">
        <f>SUM([3]AirCanada!$GP$19:$GS$19)</f>
        <v>0</v>
      </c>
      <c r="G7" s="192">
        <f>SUM([3]AirCanada!$GB$19:$GE$19)</f>
        <v>0</v>
      </c>
      <c r="H7" s="302" t="e">
        <f>(F7-G7)/G7</f>
        <v>#DIV/0!</v>
      </c>
      <c r="I7" s="58">
        <f>F7/$F$68</f>
        <v>0</v>
      </c>
      <c r="J7" s="240"/>
      <c r="K7" s="297" t="s">
        <v>99</v>
      </c>
      <c r="L7" s="301">
        <f>+[3]AirCanada!$GS$41</f>
        <v>0</v>
      </c>
      <c r="M7" s="192">
        <f>+[3]AirCanada!$GE$41</f>
        <v>0</v>
      </c>
      <c r="N7" s="303" t="e">
        <f>(L7-M7)/M7</f>
        <v>#DIV/0!</v>
      </c>
      <c r="O7" s="301">
        <f>SUM([3]AirCanada!$GP$41:$GS$41)</f>
        <v>0</v>
      </c>
      <c r="P7" s="192">
        <f>SUM([3]AirCanada!$GB$41:$GE$41)</f>
        <v>0</v>
      </c>
      <c r="Q7" s="302" t="e">
        <f>(O7-P7)/P7</f>
        <v>#DIV/0!</v>
      </c>
      <c r="R7" s="303">
        <f>O7/$O$68</f>
        <v>0</v>
      </c>
    </row>
    <row r="8" spans="1:18" ht="14.1" customHeight="1" x14ac:dyDescent="0.2">
      <c r="A8" s="240"/>
      <c r="B8" s="297" t="s">
        <v>165</v>
      </c>
      <c r="C8" s="244">
        <f>'[3]Air Georgian'!$GS$19</f>
        <v>0</v>
      </c>
      <c r="D8" s="2">
        <f>'[3]Air Georgian'!$GE$19</f>
        <v>0</v>
      </c>
      <c r="E8" s="58" t="e">
        <f>(C8-D8)/D8</f>
        <v>#DIV/0!</v>
      </c>
      <c r="F8" s="192">
        <f>SUM('[3]Air Georgian'!$GP$19:$GS$19)</f>
        <v>0</v>
      </c>
      <c r="G8" s="192">
        <f>SUM('[3]Air Georgian'!$GB$19:$GE$19)</f>
        <v>0</v>
      </c>
      <c r="H8" s="302" t="e">
        <f>(F8-G8)/G8</f>
        <v>#DIV/0!</v>
      </c>
      <c r="I8" s="58">
        <f>F8/$F$68</f>
        <v>0</v>
      </c>
      <c r="J8" s="240"/>
      <c r="K8" s="297" t="s">
        <v>165</v>
      </c>
      <c r="L8" s="244">
        <f>'[3]Air Georgian'!$GS$41</f>
        <v>0</v>
      </c>
      <c r="M8" s="2">
        <f>'[3]Air Georgian'!$GE$41</f>
        <v>0</v>
      </c>
      <c r="N8" s="58" t="e">
        <f>(L8-M8)/M8</f>
        <v>#DIV/0!</v>
      </c>
      <c r="O8" s="244">
        <f>SUM('[3]Air Georgian'!$GP$41:$GS$41)</f>
        <v>0</v>
      </c>
      <c r="P8" s="2">
        <f>SUM('[3]Air Georgian'!$GB$41:$GE$41)</f>
        <v>0</v>
      </c>
      <c r="Q8" s="3" t="e">
        <f>(O8-P8)/P8</f>
        <v>#DIV/0!</v>
      </c>
      <c r="R8" s="58">
        <f>O8/$O$68</f>
        <v>0</v>
      </c>
    </row>
    <row r="9" spans="1:18" ht="14.1" customHeight="1" x14ac:dyDescent="0.2">
      <c r="A9" s="240"/>
      <c r="B9" s="297" t="s">
        <v>192</v>
      </c>
      <c r="C9" s="244">
        <f>'[3]Sky Regional'!$GS$19</f>
        <v>0</v>
      </c>
      <c r="D9" s="2">
        <f>'[3]Sky Regional'!$GE$19</f>
        <v>160</v>
      </c>
      <c r="E9" s="58">
        <f>(C9-D9)/D9</f>
        <v>-1</v>
      </c>
      <c r="F9" s="192">
        <f>SUM('[3]Sky Regional'!$GP$19:$GS$19)</f>
        <v>390</v>
      </c>
      <c r="G9" s="192">
        <f>SUM('[3]Sky Regional'!$GB$19:$GE$19)</f>
        <v>616</v>
      </c>
      <c r="H9" s="302">
        <f>(F9-G9)/G9</f>
        <v>-0.36688311688311687</v>
      </c>
      <c r="I9" s="58">
        <f>F9/$F$68</f>
        <v>4.2014996121692667E-3</v>
      </c>
      <c r="J9" s="240"/>
      <c r="K9" s="297" t="s">
        <v>192</v>
      </c>
      <c r="L9" s="244">
        <f>'[3]Sky Regional'!$GS$41</f>
        <v>0</v>
      </c>
      <c r="M9" s="2">
        <f>'[3]Sky Regional'!$GE$41</f>
        <v>9089</v>
      </c>
      <c r="N9" s="58">
        <f>(L9-M9)/M9</f>
        <v>-1</v>
      </c>
      <c r="O9" s="244">
        <f>SUM('[3]Sky Regional'!$GP$41:$GS$41)</f>
        <v>16941</v>
      </c>
      <c r="P9" s="2">
        <f>SUM('[3]Sky Regional'!$GB$41:$GE$41)</f>
        <v>33080</v>
      </c>
      <c r="Q9" s="3">
        <f>(O9-P9)/P9</f>
        <v>-0.48787787182587666</v>
      </c>
      <c r="R9" s="58">
        <f>O9/$O$68</f>
        <v>2.2773901842480042E-3</v>
      </c>
    </row>
    <row r="10" spans="1:18" ht="14.1" customHeight="1" x14ac:dyDescent="0.2">
      <c r="A10" s="240"/>
      <c r="B10" s="33"/>
      <c r="C10" s="241"/>
      <c r="D10" s="115"/>
      <c r="E10" s="243"/>
      <c r="F10" s="115"/>
      <c r="G10" s="115"/>
      <c r="H10" s="242"/>
      <c r="I10" s="243"/>
      <c r="J10" s="240"/>
      <c r="K10" s="33"/>
      <c r="L10" s="244"/>
      <c r="N10" s="58"/>
      <c r="O10" s="244"/>
      <c r="P10" s="2"/>
      <c r="Q10" s="3"/>
      <c r="R10" s="58"/>
    </row>
    <row r="11" spans="1:18" ht="14.1" customHeight="1" x14ac:dyDescent="0.2">
      <c r="A11" s="240" t="s">
        <v>179</v>
      </c>
      <c r="B11" s="33"/>
      <c r="C11" s="241">
        <f>'[3]Air Choice One'!$GS$19</f>
        <v>186</v>
      </c>
      <c r="D11" s="115">
        <f>'[3]Air Choice One'!$GE$19</f>
        <v>202</v>
      </c>
      <c r="E11" s="243">
        <f>(C11-D11)/D11</f>
        <v>-7.9207920792079209E-2</v>
      </c>
      <c r="F11" s="115">
        <f>SUM('[3]Air Choice One'!$GP$19:$GS$19)</f>
        <v>742</v>
      </c>
      <c r="G11" s="115">
        <f>SUM('[3]Air Choice One'!$GB$19:$GE$19)</f>
        <v>766</v>
      </c>
      <c r="H11" s="242">
        <f>(F11-G11)/G11</f>
        <v>-3.1331592689295036E-2</v>
      </c>
      <c r="I11" s="243">
        <f>F11/$F$68</f>
        <v>7.9936223390502451E-3</v>
      </c>
      <c r="J11" s="240" t="s">
        <v>179</v>
      </c>
      <c r="K11" s="33"/>
      <c r="L11" s="241">
        <f>'[3]Air Choice One'!$GS$41</f>
        <v>102</v>
      </c>
      <c r="M11" s="115">
        <f>'[3]Air Choice One'!$GE$41</f>
        <v>786</v>
      </c>
      <c r="N11" s="243">
        <f>(L11-M11)/M11</f>
        <v>-0.87022900763358779</v>
      </c>
      <c r="O11" s="241">
        <f>SUM('[3]Air Choice One'!$GP$41:$GS$41)</f>
        <v>1997</v>
      </c>
      <c r="P11" s="115">
        <f>SUM('[3]Air Choice One'!$GB$41:$GE$41)</f>
        <v>3101</v>
      </c>
      <c r="Q11" s="242">
        <f>(O11-P11)/P11</f>
        <v>-0.35601418897129961</v>
      </c>
      <c r="R11" s="243">
        <f>O11/$O$68</f>
        <v>2.6845807201129001E-4</v>
      </c>
    </row>
    <row r="12" spans="1:18" ht="14.1" customHeight="1" x14ac:dyDescent="0.2">
      <c r="A12" s="240"/>
      <c r="B12" s="33"/>
      <c r="C12" s="241"/>
      <c r="D12" s="115"/>
      <c r="E12" s="243"/>
      <c r="F12" s="115"/>
      <c r="G12" s="115"/>
      <c r="H12" s="242"/>
      <c r="I12" s="243"/>
      <c r="J12" s="240"/>
      <c r="K12" s="33"/>
      <c r="L12" s="244"/>
      <c r="N12" s="58"/>
      <c r="O12" s="244"/>
      <c r="P12" s="2"/>
      <c r="Q12" s="3"/>
      <c r="R12" s="58"/>
    </row>
    <row r="13" spans="1:18" ht="14.1" customHeight="1" x14ac:dyDescent="0.2">
      <c r="A13" s="240" t="s">
        <v>157</v>
      </c>
      <c r="B13" s="33"/>
      <c r="C13" s="241">
        <f>'[3]Air France'!$GS$19</f>
        <v>0</v>
      </c>
      <c r="D13" s="115">
        <f>'[3]Air France'!$GE$19</f>
        <v>2</v>
      </c>
      <c r="E13" s="243">
        <f>(C13-D13)/D13</f>
        <v>-1</v>
      </c>
      <c r="F13" s="115">
        <f>SUM('[3]Air France'!$GP$19:$GS$19)</f>
        <v>0</v>
      </c>
      <c r="G13" s="115">
        <f>SUM('[3]Air France'!$GB$19:$GE$19)</f>
        <v>2</v>
      </c>
      <c r="H13" s="242">
        <f>(F13-G13)/G13</f>
        <v>-1</v>
      </c>
      <c r="I13" s="243">
        <f>F13/$F$68</f>
        <v>0</v>
      </c>
      <c r="J13" s="240" t="s">
        <v>157</v>
      </c>
      <c r="K13" s="33"/>
      <c r="L13" s="241">
        <f>'[3]Air France'!$GS$41</f>
        <v>0</v>
      </c>
      <c r="M13" s="115">
        <f>'[3]Air France'!$GE$41</f>
        <v>494</v>
      </c>
      <c r="N13" s="243">
        <f>(L13-M13)/M13</f>
        <v>-1</v>
      </c>
      <c r="O13" s="241">
        <f>SUM('[3]Air France'!$GP$41:$GS$41)</f>
        <v>0</v>
      </c>
      <c r="P13" s="115">
        <f>SUM('[3]Air France'!$GB$41:$GE$41)</f>
        <v>494</v>
      </c>
      <c r="Q13" s="242">
        <f>(O13-P13)/P13</f>
        <v>-1</v>
      </c>
      <c r="R13" s="243">
        <f>O13/$O$68</f>
        <v>0</v>
      </c>
    </row>
    <row r="14" spans="1:18" ht="14.1" customHeight="1" x14ac:dyDescent="0.2">
      <c r="A14" s="240"/>
      <c r="B14" s="33"/>
      <c r="C14" s="241"/>
      <c r="D14" s="115"/>
      <c r="E14" s="243"/>
      <c r="F14" s="115"/>
      <c r="G14" s="115"/>
      <c r="H14" s="242"/>
      <c r="I14" s="243"/>
      <c r="J14" s="240"/>
      <c r="K14" s="33"/>
      <c r="L14" s="244"/>
      <c r="N14" s="58"/>
      <c r="O14" s="244"/>
      <c r="P14" s="2"/>
      <c r="Q14" s="3"/>
      <c r="R14" s="58"/>
    </row>
    <row r="15" spans="1:18" ht="14.1" customHeight="1" x14ac:dyDescent="0.2">
      <c r="A15" s="240" t="s">
        <v>129</v>
      </c>
      <c r="B15" s="33"/>
      <c r="C15" s="241">
        <f>SUM(C16:C18)</f>
        <v>97</v>
      </c>
      <c r="D15" s="115">
        <f>SUM(D16:D18)</f>
        <v>234</v>
      </c>
      <c r="E15" s="243">
        <f>(C15-D15)/D15</f>
        <v>-0.5854700854700855</v>
      </c>
      <c r="F15" s="115">
        <f>SUM(F16:F18)</f>
        <v>579</v>
      </c>
      <c r="G15" s="115">
        <f>SUM(G16:G18)</f>
        <v>955</v>
      </c>
      <c r="H15" s="242">
        <f>(F15-G15)/G15</f>
        <v>-0.39371727748691099</v>
      </c>
      <c r="I15" s="243">
        <f>F15/$F$68</f>
        <v>6.2376109626820653E-3</v>
      </c>
      <c r="J15" s="240" t="s">
        <v>129</v>
      </c>
      <c r="K15" s="33"/>
      <c r="L15" s="241">
        <f>SUM(L16:L18)</f>
        <v>1344</v>
      </c>
      <c r="M15" s="115">
        <f>SUM(M16:M18)</f>
        <v>25752</v>
      </c>
      <c r="N15" s="243">
        <f>(L15-M15)/M15</f>
        <v>-0.94780987884436163</v>
      </c>
      <c r="O15" s="241">
        <f>SUM(O16:O18)</f>
        <v>45164</v>
      </c>
      <c r="P15" s="115">
        <f>SUM(P16:P18)</f>
        <v>101782</v>
      </c>
      <c r="Q15" s="242">
        <f>(O15-P15)/P15</f>
        <v>-0.55626731642137117</v>
      </c>
      <c r="R15" s="243">
        <f>O15/$O$68</f>
        <v>6.0714273231436671E-3</v>
      </c>
    </row>
    <row r="16" spans="1:18" ht="14.1" customHeight="1" x14ac:dyDescent="0.2">
      <c r="A16" s="240"/>
      <c r="B16" s="297" t="s">
        <v>129</v>
      </c>
      <c r="C16" s="301">
        <f>[3]Alaska!$GS$19</f>
        <v>93</v>
      </c>
      <c r="D16" s="192">
        <f>[3]Alaska!$GE$19</f>
        <v>176</v>
      </c>
      <c r="E16" s="303">
        <f>(C16-D16)/D16</f>
        <v>-0.47159090909090912</v>
      </c>
      <c r="F16" s="192">
        <f>SUM([3]Alaska!$GP$19:$GS$19)</f>
        <v>413</v>
      </c>
      <c r="G16" s="192">
        <f>SUM([3]Alaska!$GB$19:$GE$19)</f>
        <v>585</v>
      </c>
      <c r="H16" s="302">
        <f>(F16-G16)/G16</f>
        <v>-0.29401709401709403</v>
      </c>
      <c r="I16" s="303">
        <f>F16/$F$68</f>
        <v>4.4492803585279668E-3</v>
      </c>
      <c r="J16" s="240"/>
      <c r="K16" s="297" t="s">
        <v>129</v>
      </c>
      <c r="L16" s="301">
        <f>[3]Alaska!$GS$41</f>
        <v>1298</v>
      </c>
      <c r="M16" s="192">
        <f>[3]Alaska!$GE$41</f>
        <v>21795</v>
      </c>
      <c r="N16" s="303">
        <f>(L16-M16)/M16</f>
        <v>-0.94044505620555174</v>
      </c>
      <c r="O16" s="301">
        <f>SUM([3]Alaska!$GP$41:$GS$41)</f>
        <v>34953</v>
      </c>
      <c r="P16" s="192">
        <f>SUM([3]Alaska!$GB$41:$GE$41)</f>
        <v>77700</v>
      </c>
      <c r="Q16" s="302">
        <f>(O16-P16)/P16</f>
        <v>-0.55015444015444015</v>
      </c>
      <c r="R16" s="303">
        <f>O16/$O$68</f>
        <v>4.6987556289487331E-3</v>
      </c>
    </row>
    <row r="17" spans="1:20" ht="14.1" customHeight="1" x14ac:dyDescent="0.2">
      <c r="A17" s="240"/>
      <c r="B17" s="297" t="s">
        <v>98</v>
      </c>
      <c r="C17" s="244">
        <f>'[3]Sky West_AS'!$GS$19</f>
        <v>0</v>
      </c>
      <c r="D17" s="2">
        <f>'[3]Sky West_AS'!$GE$19</f>
        <v>58</v>
      </c>
      <c r="E17" s="58">
        <f>(C17-D17)/D17</f>
        <v>-1</v>
      </c>
      <c r="F17" s="2">
        <f>SUM('[3]Sky West_AS'!$GP$19:$GS$19)</f>
        <v>0</v>
      </c>
      <c r="G17" s="2">
        <f>SUM('[3]Sky West_AS'!$GB$19:$GE$19)</f>
        <v>358</v>
      </c>
      <c r="H17" s="3">
        <f>(F17-G17)/G17</f>
        <v>-1</v>
      </c>
      <c r="I17" s="58">
        <f>F17/$F$68</f>
        <v>0</v>
      </c>
      <c r="J17" s="240"/>
      <c r="K17" s="297" t="s">
        <v>98</v>
      </c>
      <c r="L17" s="244">
        <f>'[3]Sky West_AS'!$GS$41</f>
        <v>0</v>
      </c>
      <c r="M17" s="2">
        <f>'[3]Sky West_AS'!$GE$41</f>
        <v>3957</v>
      </c>
      <c r="N17" s="58">
        <f>(L17-M17)/M17</f>
        <v>-1</v>
      </c>
      <c r="O17" s="244">
        <f>SUM('[3]Sky West_AS'!$GP$41:$GS$41)</f>
        <v>0</v>
      </c>
      <c r="P17" s="2">
        <f>SUM('[3]Sky West_AS'!$GB$41:$GE$41)</f>
        <v>23263</v>
      </c>
      <c r="Q17" s="3">
        <f>(O17-P17)/P17</f>
        <v>-1</v>
      </c>
      <c r="R17" s="303">
        <f>O17/$O$68</f>
        <v>0</v>
      </c>
    </row>
    <row r="18" spans="1:20" ht="14.1" customHeight="1" x14ac:dyDescent="0.2">
      <c r="A18" s="240"/>
      <c r="B18" s="297" t="s">
        <v>193</v>
      </c>
      <c r="C18" s="244">
        <f>[3]Horizon_AS!$GS$19</f>
        <v>4</v>
      </c>
      <c r="D18" s="2">
        <f>[3]Horizon_AS!$GE$19</f>
        <v>0</v>
      </c>
      <c r="E18" s="58" t="e">
        <f>(C18-D18)/D18</f>
        <v>#DIV/0!</v>
      </c>
      <c r="F18" s="2">
        <f>SUM([3]Horizon_AS!$GP$19:$GS$19)</f>
        <v>166</v>
      </c>
      <c r="G18" s="2">
        <f>SUM([3]Horizon_AS!$GB$19:$GE$19)</f>
        <v>12</v>
      </c>
      <c r="H18" s="3">
        <f>(F18-G18)/G18</f>
        <v>12.833333333333334</v>
      </c>
      <c r="I18" s="58">
        <f>F18/$F$68</f>
        <v>1.7883306041540981E-3</v>
      </c>
      <c r="J18" s="240"/>
      <c r="K18" s="297" t="s">
        <v>193</v>
      </c>
      <c r="L18" s="244">
        <f>[3]Horizon_AS!$GS$41</f>
        <v>46</v>
      </c>
      <c r="M18" s="2">
        <f>[3]Horizon_AS!$GE$41</f>
        <v>0</v>
      </c>
      <c r="N18" s="58" t="e">
        <f>(L18-M18)/M18</f>
        <v>#DIV/0!</v>
      </c>
      <c r="O18" s="244">
        <f>SUM([3]Horizon_AS!$GP$41:$GS$41)</f>
        <v>10211</v>
      </c>
      <c r="P18" s="2">
        <f>SUM([3]Horizon_AS!$GB$41:$GE$41)</f>
        <v>819</v>
      </c>
      <c r="Q18" s="3">
        <f>(O18-P18)/P18</f>
        <v>11.467643467643468</v>
      </c>
      <c r="R18" s="303">
        <f>O18/$O$68</f>
        <v>1.3726716941949335E-3</v>
      </c>
    </row>
    <row r="19" spans="1:20" ht="14.1" customHeight="1" x14ac:dyDescent="0.2">
      <c r="A19" s="240"/>
      <c r="B19" s="33"/>
      <c r="C19" s="241"/>
      <c r="D19" s="125"/>
      <c r="E19" s="243"/>
      <c r="F19" s="125"/>
      <c r="G19" s="125"/>
      <c r="H19" s="242"/>
      <c r="I19" s="243"/>
      <c r="J19" s="240"/>
      <c r="K19" s="33"/>
      <c r="L19" s="108"/>
      <c r="M19" s="83"/>
      <c r="N19" s="58"/>
      <c r="O19" s="108"/>
      <c r="P19" s="83"/>
      <c r="Q19" s="3"/>
      <c r="R19" s="58"/>
    </row>
    <row r="20" spans="1:20" ht="14.1" customHeight="1" x14ac:dyDescent="0.2">
      <c r="A20" s="240" t="s">
        <v>17</v>
      </c>
      <c r="B20" s="245"/>
      <c r="C20" s="241">
        <f>SUM(C21:C27)</f>
        <v>536</v>
      </c>
      <c r="D20" s="115">
        <f>SUM(D21:D27)</f>
        <v>1571</v>
      </c>
      <c r="E20" s="243">
        <f t="shared" ref="E20:E27" si="0">(C20-D20)/D20</f>
        <v>-0.65881604073838318</v>
      </c>
      <c r="F20" s="241">
        <f>SUM(F21:F27)</f>
        <v>4833</v>
      </c>
      <c r="G20" s="115">
        <f>SUM(G21:G27)</f>
        <v>6315</v>
      </c>
      <c r="H20" s="242">
        <f t="shared" ref="H20:H27" si="1">(F20-G20)/G20</f>
        <v>-0.2346793349168646</v>
      </c>
      <c r="I20" s="243">
        <f t="shared" ref="I20:I27" si="2">F20/$F$68</f>
        <v>5.2066275963112987E-2</v>
      </c>
      <c r="J20" s="240" t="s">
        <v>17</v>
      </c>
      <c r="K20" s="245"/>
      <c r="L20" s="241">
        <f>SUM(L21:L27)</f>
        <v>10550</v>
      </c>
      <c r="M20" s="115">
        <f>SUM(M21:M27)</f>
        <v>170272</v>
      </c>
      <c r="N20" s="243">
        <f t="shared" ref="N20:N27" si="3">(L20-M20)/M20</f>
        <v>-0.93804031197143389</v>
      </c>
      <c r="O20" s="241">
        <f>SUM(O21:O27)</f>
        <v>380783</v>
      </c>
      <c r="P20" s="115">
        <f>SUM(P21:P27)</f>
        <v>668402</v>
      </c>
      <c r="Q20" s="242">
        <f t="shared" ref="Q20:Q27" si="4">(O20-P20)/P20</f>
        <v>-0.43030840721601671</v>
      </c>
      <c r="R20" s="243">
        <f t="shared" ref="R20:R27" si="5">O20/$O$68</f>
        <v>5.1188918394929922E-2</v>
      </c>
    </row>
    <row r="21" spans="1:20" ht="14.1" customHeight="1" x14ac:dyDescent="0.2">
      <c r="A21" s="31"/>
      <c r="B21" s="33" t="s">
        <v>17</v>
      </c>
      <c r="C21" s="244">
        <f>[3]American!$GS$19</f>
        <v>371</v>
      </c>
      <c r="D21" s="2">
        <f>[3]American!$GE$19</f>
        <v>1199</v>
      </c>
      <c r="E21" s="58">
        <f t="shared" si="0"/>
        <v>-0.69057547956630527</v>
      </c>
      <c r="F21" s="2">
        <f>SUM([3]American!$GP$19:$GS$19)</f>
        <v>2901</v>
      </c>
      <c r="G21" s="2">
        <f>SUM([3]American!$GB$19:$GE$19)</f>
        <v>4839</v>
      </c>
      <c r="H21" s="3">
        <f t="shared" si="1"/>
        <v>-0.40049597024178551</v>
      </c>
      <c r="I21" s="58">
        <f t="shared" si="2"/>
        <v>3.1252693268982161E-2</v>
      </c>
      <c r="J21" s="31"/>
      <c r="K21" s="33" t="s">
        <v>17</v>
      </c>
      <c r="L21" s="244">
        <f>[3]American!$GS$41</f>
        <v>9119</v>
      </c>
      <c r="M21" s="2">
        <f>[3]American!$GE$41</f>
        <v>148121</v>
      </c>
      <c r="N21" s="58">
        <f t="shared" si="3"/>
        <v>-0.93843546829956592</v>
      </c>
      <c r="O21" s="244">
        <f>SUM([3]American!$GP$41:$GS$41)</f>
        <v>294150</v>
      </c>
      <c r="P21" s="2">
        <f>SUM([3]American!$GB$41:$GE$41)</f>
        <v>587429</v>
      </c>
      <c r="Q21" s="3">
        <f t="shared" si="4"/>
        <v>-0.49925863380936247</v>
      </c>
      <c r="R21" s="58">
        <f t="shared" si="5"/>
        <v>3.9542785118738585E-2</v>
      </c>
    </row>
    <row r="22" spans="1:20" ht="14.1" customHeight="1" x14ac:dyDescent="0.2">
      <c r="A22" s="31"/>
      <c r="B22" s="297" t="s">
        <v>166</v>
      </c>
      <c r="C22" s="244">
        <f>'[3]American Eagle'!$GS$19</f>
        <v>42</v>
      </c>
      <c r="D22" s="2">
        <f>'[3]American Eagle'!$GE$19</f>
        <v>100</v>
      </c>
      <c r="E22" s="58">
        <f t="shared" si="0"/>
        <v>-0.57999999999999996</v>
      </c>
      <c r="F22" s="2">
        <f>SUM('[3]American Eagle'!$GP$19:$GS$19)</f>
        <v>488</v>
      </c>
      <c r="G22" s="2">
        <f>SUM('[3]American Eagle'!$GB$19:$GE$19)</f>
        <v>282</v>
      </c>
      <c r="H22" s="3">
        <f t="shared" si="1"/>
        <v>0.73049645390070927</v>
      </c>
      <c r="I22" s="58">
        <f t="shared" si="2"/>
        <v>5.257261053175903E-3</v>
      </c>
      <c r="J22" s="31"/>
      <c r="K22" s="297" t="s">
        <v>166</v>
      </c>
      <c r="L22" s="244">
        <f>'[3]American Eagle'!$GS$41</f>
        <v>699</v>
      </c>
      <c r="M22" s="2">
        <f>'[3]American Eagle'!$GE$41</f>
        <v>6819</v>
      </c>
      <c r="N22" s="58">
        <f t="shared" si="3"/>
        <v>-0.8974923009238891</v>
      </c>
      <c r="O22" s="244">
        <f>SUM('[3]American Eagle'!$GP$41:$GS$41)</f>
        <v>27366</v>
      </c>
      <c r="P22" s="2">
        <f>SUM('[3]American Eagle'!$GB$41:$GE$41)</f>
        <v>19461</v>
      </c>
      <c r="Q22" s="3">
        <f t="shared" si="4"/>
        <v>0.40619700940342224</v>
      </c>
      <c r="R22" s="58">
        <f t="shared" si="5"/>
        <v>3.6788300443970768E-3</v>
      </c>
    </row>
    <row r="23" spans="1:20" ht="14.1" customHeight="1" x14ac:dyDescent="0.2">
      <c r="A23" s="31"/>
      <c r="B23" s="297" t="s">
        <v>52</v>
      </c>
      <c r="C23" s="244">
        <f>[3]Republic!$GS$19</f>
        <v>123</v>
      </c>
      <c r="D23" s="2">
        <f>[3]Republic!$GE$19</f>
        <v>272</v>
      </c>
      <c r="E23" s="58">
        <f t="shared" si="0"/>
        <v>-0.54779411764705888</v>
      </c>
      <c r="F23" s="2">
        <f>SUM([3]Republic!$GP$19:$GS$19)</f>
        <v>1258</v>
      </c>
      <c r="G23" s="2">
        <f>SUM([3]Republic!$GB$19:$GE$19)</f>
        <v>1194</v>
      </c>
      <c r="H23" s="3">
        <f t="shared" si="1"/>
        <v>5.3601340033500838E-2</v>
      </c>
      <c r="I23" s="58">
        <f t="shared" si="2"/>
        <v>1.3552529518228044E-2</v>
      </c>
      <c r="J23" s="31"/>
      <c r="K23" s="246" t="s">
        <v>52</v>
      </c>
      <c r="L23" s="244">
        <f>[3]Republic!$GS$41</f>
        <v>732</v>
      </c>
      <c r="M23" s="2">
        <f>[3]Republic!$GE$41</f>
        <v>15332</v>
      </c>
      <c r="N23" s="58">
        <f t="shared" si="3"/>
        <v>-0.95225671797547617</v>
      </c>
      <c r="O23" s="244">
        <f>SUM([3]Republic!$GP$41:$GS$41)</f>
        <v>49702</v>
      </c>
      <c r="P23" s="2">
        <f>SUM([3]Republic!$GB$41:$GE$41)</f>
        <v>61512</v>
      </c>
      <c r="Q23" s="3">
        <f t="shared" si="4"/>
        <v>-0.19199505787488619</v>
      </c>
      <c r="R23" s="58">
        <f t="shared" si="5"/>
        <v>6.6814737581898532E-3</v>
      </c>
    </row>
    <row r="24" spans="1:20" ht="14.1" customHeight="1" x14ac:dyDescent="0.2">
      <c r="A24" s="31"/>
      <c r="B24" s="297" t="s">
        <v>182</v>
      </c>
      <c r="C24" s="244">
        <f>[3]PSA!$GS$19</f>
        <v>0</v>
      </c>
      <c r="D24" s="2">
        <f>[3]PSA!$GE$19</f>
        <v>0</v>
      </c>
      <c r="E24" s="58" t="e">
        <f t="shared" si="0"/>
        <v>#DIV/0!</v>
      </c>
      <c r="F24" s="2">
        <f>SUM([3]PSA!$GP$19:$GS$19)</f>
        <v>0</v>
      </c>
      <c r="G24" s="2">
        <f>SUM([3]PSA!$GB$19:$GE$19)</f>
        <v>0</v>
      </c>
      <c r="H24" s="3" t="e">
        <f t="shared" si="1"/>
        <v>#DIV/0!</v>
      </c>
      <c r="I24" s="58">
        <f t="shared" si="2"/>
        <v>0</v>
      </c>
      <c r="J24" s="31"/>
      <c r="K24" s="297" t="s">
        <v>182</v>
      </c>
      <c r="L24" s="244">
        <f>[3]PSA!$GS$41</f>
        <v>0</v>
      </c>
      <c r="M24" s="2">
        <f>[3]PSA!$GE$41</f>
        <v>0</v>
      </c>
      <c r="N24" s="58" t="e">
        <f t="shared" si="3"/>
        <v>#DIV/0!</v>
      </c>
      <c r="O24" s="244">
        <f>SUM([3]PSA!$GP$41:$GS$41)</f>
        <v>0</v>
      </c>
      <c r="P24" s="2">
        <f>SUM([3]PSA!$GB$41:$GE$41)</f>
        <v>0</v>
      </c>
      <c r="Q24" s="3" t="e">
        <f t="shared" si="4"/>
        <v>#DIV/0!</v>
      </c>
      <c r="R24" s="58">
        <f t="shared" si="5"/>
        <v>0</v>
      </c>
    </row>
    <row r="25" spans="1:20" ht="14.1" customHeight="1" x14ac:dyDescent="0.2">
      <c r="A25" s="31"/>
      <c r="B25" s="297" t="s">
        <v>98</v>
      </c>
      <c r="C25" s="244">
        <f>'[3]Sky West_AA'!$GS$19</f>
        <v>0</v>
      </c>
      <c r="D25" s="2">
        <f>'[3]Sky West_AA'!$GE$19</f>
        <v>0</v>
      </c>
      <c r="E25" s="58" t="e">
        <f>(C25-D25)/D25</f>
        <v>#DIV/0!</v>
      </c>
      <c r="F25" s="2">
        <f>SUM('[3]Sky West_AA'!$GP$19:$GS$19)</f>
        <v>182</v>
      </c>
      <c r="G25" s="2">
        <f>SUM('[3]Sky West_AA'!$GB$19:$GE$19)</f>
        <v>0</v>
      </c>
      <c r="H25" s="3" t="e">
        <f>(F25-G25)/G25</f>
        <v>#DIV/0!</v>
      </c>
      <c r="I25" s="58">
        <f t="shared" si="2"/>
        <v>1.9606998190123243E-3</v>
      </c>
      <c r="J25" s="31"/>
      <c r="K25" s="297" t="s">
        <v>98</v>
      </c>
      <c r="L25" s="244">
        <f>'[3]Sky West_AA'!$GS$41</f>
        <v>0</v>
      </c>
      <c r="M25" s="2">
        <f>'[3]Sky West_AA'!$GE$41</f>
        <v>0</v>
      </c>
      <c r="N25" s="58" t="e">
        <f>(L25-M25)/M25</f>
        <v>#DIV/0!</v>
      </c>
      <c r="O25" s="244">
        <f>SUM('[3]Sky West_AA'!$GP$41:$GS$41)</f>
        <v>9404</v>
      </c>
      <c r="P25" s="2">
        <f>SUM('[3]Sky West_AA'!$GB$41:$GE$41)</f>
        <v>0</v>
      </c>
      <c r="Q25" s="3" t="e">
        <f>(O25-P25)/P25</f>
        <v>#DIV/0!</v>
      </c>
      <c r="R25" s="303">
        <f t="shared" si="5"/>
        <v>1.2641861337977824E-3</v>
      </c>
    </row>
    <row r="26" spans="1:20" ht="14.1" customHeight="1" x14ac:dyDescent="0.2">
      <c r="A26" s="31"/>
      <c r="B26" s="297" t="s">
        <v>51</v>
      </c>
      <c r="C26" s="244">
        <f>[3]MESA!$GS$19</f>
        <v>0</v>
      </c>
      <c r="D26" s="2">
        <f>[3]MESA!$GE$19</f>
        <v>0</v>
      </c>
      <c r="E26" s="58" t="e">
        <f t="shared" si="0"/>
        <v>#DIV/0!</v>
      </c>
      <c r="F26" s="2">
        <f>SUM([3]MESA!$GP$19:$GS$19)</f>
        <v>0</v>
      </c>
      <c r="G26" s="2">
        <f>SUM([3]MESA!$GB$19:$GE$19)</f>
        <v>0</v>
      </c>
      <c r="H26" s="3" t="e">
        <f t="shared" si="1"/>
        <v>#DIV/0!</v>
      </c>
      <c r="I26" s="58">
        <f t="shared" si="2"/>
        <v>0</v>
      </c>
      <c r="J26" s="31"/>
      <c r="K26" s="297" t="s">
        <v>51</v>
      </c>
      <c r="L26" s="244">
        <f>[3]MESA!$GS$41</f>
        <v>0</v>
      </c>
      <c r="M26" s="2">
        <f>[3]MESA!$GE$41</f>
        <v>0</v>
      </c>
      <c r="N26" s="58" t="e">
        <f t="shared" si="3"/>
        <v>#DIV/0!</v>
      </c>
      <c r="O26" s="244">
        <f>SUM([3]MESA!$GP$41:$GS$41)</f>
        <v>0</v>
      </c>
      <c r="P26" s="2">
        <f>SUM([3]MESA!$GB$41:$GE$41)</f>
        <v>0</v>
      </c>
      <c r="Q26" s="3" t="e">
        <f t="shared" si="4"/>
        <v>#DIV/0!</v>
      </c>
      <c r="R26" s="58">
        <f t="shared" si="5"/>
        <v>0</v>
      </c>
    </row>
    <row r="27" spans="1:20" ht="14.1" customHeight="1" x14ac:dyDescent="0.2">
      <c r="A27" s="31"/>
      <c r="B27" s="297" t="s">
        <v>50</v>
      </c>
      <c r="C27" s="244">
        <f>'[3]Air Wisconsin'!$GS$19</f>
        <v>0</v>
      </c>
      <c r="D27" s="2">
        <f>'[3]Air Wisconsin'!$GE$19</f>
        <v>0</v>
      </c>
      <c r="E27" s="58" t="e">
        <f t="shared" si="0"/>
        <v>#DIV/0!</v>
      </c>
      <c r="F27" s="2">
        <f>SUM('[3]Air Wisconsin'!$GP$19:$GS$19)</f>
        <v>4</v>
      </c>
      <c r="G27" s="2">
        <f>SUM('[3]Air Wisconsin'!$GB$19:$GE$19)</f>
        <v>0</v>
      </c>
      <c r="H27" s="285" t="e">
        <f t="shared" si="1"/>
        <v>#DIV/0!</v>
      </c>
      <c r="I27" s="58">
        <f t="shared" si="2"/>
        <v>4.3092303714556583E-5</v>
      </c>
      <c r="J27" s="31"/>
      <c r="K27" s="246" t="s">
        <v>50</v>
      </c>
      <c r="L27" s="244">
        <f>'[3]Air Wisconsin'!$GS$41</f>
        <v>0</v>
      </c>
      <c r="M27" s="2">
        <f>'[3]Air Wisconsin'!$GE$41</f>
        <v>0</v>
      </c>
      <c r="N27" s="58" t="e">
        <f t="shared" si="3"/>
        <v>#DIV/0!</v>
      </c>
      <c r="O27" s="244">
        <f>SUM('[3]Air Wisconsin'!$GP$41:$GS$41)</f>
        <v>161</v>
      </c>
      <c r="P27" s="2">
        <f>SUM('[3]Air Wisconsin'!$GB$41:$GE$41)</f>
        <v>0</v>
      </c>
      <c r="Q27" s="3" t="e">
        <f t="shared" si="4"/>
        <v>#DIV/0!</v>
      </c>
      <c r="R27" s="58">
        <f t="shared" si="5"/>
        <v>2.1643339806618776E-5</v>
      </c>
    </row>
    <row r="28" spans="1:20" ht="14.1" customHeight="1" x14ac:dyDescent="0.2">
      <c r="A28" s="31"/>
      <c r="B28" s="33"/>
      <c r="C28" s="244"/>
      <c r="E28" s="58"/>
      <c r="F28" s="2"/>
      <c r="I28" s="58"/>
      <c r="J28" s="31"/>
      <c r="K28" s="33"/>
      <c r="L28" s="244"/>
      <c r="N28" s="58"/>
      <c r="O28" s="244"/>
      <c r="P28" s="2"/>
      <c r="Q28" s="3"/>
      <c r="R28" s="58"/>
      <c r="T28" s="2"/>
    </row>
    <row r="29" spans="1:20" ht="14.1" customHeight="1" x14ac:dyDescent="0.2">
      <c r="A29" s="240" t="s">
        <v>180</v>
      </c>
      <c r="B29" s="33"/>
      <c r="C29" s="241">
        <f>'[3]Boutique Air'!$GS$19</f>
        <v>140</v>
      </c>
      <c r="D29" s="115">
        <f>'[3]Boutique Air'!$GE$19</f>
        <v>142</v>
      </c>
      <c r="E29" s="243">
        <f>(C29-D29)/D29</f>
        <v>-1.4084507042253521E-2</v>
      </c>
      <c r="F29" s="115">
        <f>SUM('[3]Boutique Air'!$GP$19:$GS$19)</f>
        <v>651</v>
      </c>
      <c r="G29" s="115">
        <f>SUM('[3]Boutique Air'!$GB$19:$GE$19)</f>
        <v>554</v>
      </c>
      <c r="H29" s="242">
        <f>(F29-G29)/G29</f>
        <v>0.17509025270758122</v>
      </c>
      <c r="I29" s="243">
        <f>F29/$F$68</f>
        <v>7.0132724295440835E-3</v>
      </c>
      <c r="J29" s="240" t="s">
        <v>180</v>
      </c>
      <c r="K29" s="33"/>
      <c r="L29" s="241">
        <f>'[3]Boutique Air'!$GS$41</f>
        <v>66</v>
      </c>
      <c r="M29" s="115">
        <f>'[3]Boutique Air'!$GE$41</f>
        <v>602</v>
      </c>
      <c r="N29" s="243">
        <f>(L29-M29)/M29</f>
        <v>-0.89036544850498334</v>
      </c>
      <c r="O29" s="241">
        <f>SUM('[3]Boutique Air'!$GP$41:$GS$41)</f>
        <v>2379</v>
      </c>
      <c r="P29" s="115">
        <f>SUM('[3]Boutique Air'!$GB$41:$GE$41)</f>
        <v>2337</v>
      </c>
      <c r="Q29" s="242">
        <f>(O29-P29)/P29</f>
        <v>1.7971758664955071E-2</v>
      </c>
      <c r="R29" s="243">
        <f>O29/$O$68</f>
        <v>3.1981059254624885E-4</v>
      </c>
      <c r="T29" s="2"/>
    </row>
    <row r="30" spans="1:20" ht="14.1" customHeight="1" x14ac:dyDescent="0.2">
      <c r="A30" s="31"/>
      <c r="B30" s="33"/>
      <c r="C30" s="244"/>
      <c r="E30" s="58"/>
      <c r="F30" s="2"/>
      <c r="I30" s="58"/>
      <c r="J30" s="31"/>
      <c r="K30" s="33"/>
      <c r="L30" s="244"/>
      <c r="N30" s="58"/>
      <c r="O30" s="244"/>
      <c r="P30" s="2"/>
      <c r="Q30" s="3"/>
      <c r="R30" s="58"/>
      <c r="T30" s="2"/>
    </row>
    <row r="31" spans="1:20" ht="14.1" customHeight="1" x14ac:dyDescent="0.2">
      <c r="A31" s="240" t="s">
        <v>162</v>
      </c>
      <c r="B31" s="33"/>
      <c r="C31" s="241">
        <f>[3]Condor!$GS$19</f>
        <v>0</v>
      </c>
      <c r="D31" s="115">
        <f>[3]Condor!$GE$19</f>
        <v>0</v>
      </c>
      <c r="E31" s="243" t="e">
        <f>(C31-D31)/D31</f>
        <v>#DIV/0!</v>
      </c>
      <c r="F31" s="115">
        <f>SUM([3]Condor!$GP$19:$GS$19)</f>
        <v>0</v>
      </c>
      <c r="G31" s="115">
        <f>SUM([3]Condor!$GB$19:$GE$19)</f>
        <v>0</v>
      </c>
      <c r="H31" s="242" t="e">
        <f>(F31-G31)/G31</f>
        <v>#DIV/0!</v>
      </c>
      <c r="I31" s="243">
        <f>F31/$F$68</f>
        <v>0</v>
      </c>
      <c r="J31" s="240" t="s">
        <v>162</v>
      </c>
      <c r="K31" s="33"/>
      <c r="L31" s="241">
        <f>[3]Condor!$GS$41</f>
        <v>0</v>
      </c>
      <c r="M31" s="115">
        <f>[3]Condor!$GE$41</f>
        <v>0</v>
      </c>
      <c r="N31" s="243" t="e">
        <f>(L31-M31)/M31</f>
        <v>#DIV/0!</v>
      </c>
      <c r="O31" s="241">
        <f>SUM([3]Condor!$GP$41:$GS$41)</f>
        <v>0</v>
      </c>
      <c r="P31" s="115">
        <f>SUM([3]Condor!$GB$41:$GE$41)</f>
        <v>0</v>
      </c>
      <c r="Q31" s="242" t="e">
        <f>(O31-P31)/P31</f>
        <v>#DIV/0!</v>
      </c>
      <c r="R31" s="243">
        <f>O31/$O$68</f>
        <v>0</v>
      </c>
      <c r="T31" s="2"/>
    </row>
    <row r="32" spans="1:20" ht="14.1" customHeight="1" x14ac:dyDescent="0.2">
      <c r="A32" s="31"/>
      <c r="B32" s="33"/>
      <c r="C32" s="244"/>
      <c r="E32" s="58"/>
      <c r="F32" s="2"/>
      <c r="I32" s="58"/>
      <c r="J32" s="31"/>
      <c r="K32" s="33"/>
      <c r="L32" s="244"/>
      <c r="N32" s="58"/>
      <c r="O32" s="244"/>
      <c r="P32" s="2"/>
      <c r="Q32" s="3"/>
      <c r="R32" s="58"/>
      <c r="T32" s="2"/>
    </row>
    <row r="33" spans="1:21" ht="14.1" customHeight="1" x14ac:dyDescent="0.2">
      <c r="A33" s="240" t="s">
        <v>18</v>
      </c>
      <c r="B33" s="245"/>
      <c r="C33" s="241">
        <f>SUM(C34:C40)</f>
        <v>6656</v>
      </c>
      <c r="D33" s="115">
        <f>SUM(D34:D40)</f>
        <v>22054</v>
      </c>
      <c r="E33" s="243">
        <f t="shared" ref="E33:E40" si="6">(C33-D33)/D33</f>
        <v>-0.69819533871406547</v>
      </c>
      <c r="F33" s="125">
        <f>SUM(F34:F40)</f>
        <v>68245</v>
      </c>
      <c r="G33" s="125">
        <f>SUM(G34:G40)</f>
        <v>85190</v>
      </c>
      <c r="H33" s="242">
        <f>(F33-G33)/G33</f>
        <v>-0.19890832257307195</v>
      </c>
      <c r="I33" s="243">
        <f t="shared" ref="I33:I40" si="7">F33/$F$68</f>
        <v>0.73520856674997848</v>
      </c>
      <c r="J33" s="240" t="s">
        <v>18</v>
      </c>
      <c r="K33" s="245"/>
      <c r="L33" s="241">
        <f>SUM(L34:L40)</f>
        <v>93330</v>
      </c>
      <c r="M33" s="115">
        <f>SUM(M34:M40)</f>
        <v>2146083</v>
      </c>
      <c r="N33" s="243">
        <f t="shared" ref="N33:N40" si="8">(L33-M33)/M33</f>
        <v>-0.95651146763661987</v>
      </c>
      <c r="O33" s="241">
        <f>SUM(O34:O40)</f>
        <v>5239101</v>
      </c>
      <c r="P33" s="115">
        <f>SUM(P34:P40)</f>
        <v>8128833</v>
      </c>
      <c r="Q33" s="242">
        <f t="shared" ref="Q33:Q40" si="9">(O33-P33)/P33</f>
        <v>-0.35549161853860206</v>
      </c>
      <c r="R33" s="243">
        <f t="shared" ref="R33:R40" si="10">O33/$O$68</f>
        <v>0.70429592064718161</v>
      </c>
      <c r="S33" s="286"/>
    </row>
    <row r="34" spans="1:21" ht="14.1" customHeight="1" x14ac:dyDescent="0.2">
      <c r="A34" s="31"/>
      <c r="B34" s="33" t="s">
        <v>18</v>
      </c>
      <c r="C34" s="244">
        <f>[3]Delta!$GS$19</f>
        <v>2653</v>
      </c>
      <c r="D34" s="2">
        <f>[3]Delta!$GE$19</f>
        <v>11915</v>
      </c>
      <c r="E34" s="58">
        <f t="shared" si="6"/>
        <v>-0.77733948804028541</v>
      </c>
      <c r="F34" s="2">
        <f>SUM([3]Delta!$GP$19:$GS$19)</f>
        <v>34707</v>
      </c>
      <c r="G34" s="2">
        <f>SUM([3]Delta!$GB$19:$GE$19)</f>
        <v>45610</v>
      </c>
      <c r="H34" s="3">
        <f t="shared" ref="H34:H40" si="11">(F34-G34)/G34</f>
        <v>-0.23904845428634072</v>
      </c>
      <c r="I34" s="58">
        <f t="shared" si="7"/>
        <v>0.37390114625527882</v>
      </c>
      <c r="J34" s="31"/>
      <c r="K34" s="33" t="s">
        <v>18</v>
      </c>
      <c r="L34" s="244">
        <f>[3]Delta!$GS$41</f>
        <v>59376</v>
      </c>
      <c r="M34" s="2">
        <f>[3]Delta!$GE$41</f>
        <v>1625824</v>
      </c>
      <c r="N34" s="58">
        <f t="shared" si="8"/>
        <v>-0.96347944180919953</v>
      </c>
      <c r="O34" s="244">
        <f>SUM([3]Delta!$GP$41:$GS$41)</f>
        <v>3952630</v>
      </c>
      <c r="P34" s="2">
        <f>SUM([3]Delta!$GB$41:$GE$41)</f>
        <v>6133933</v>
      </c>
      <c r="Q34" s="3">
        <f t="shared" si="9"/>
        <v>-0.35561245941225639</v>
      </c>
      <c r="R34" s="58">
        <f t="shared" si="10"/>
        <v>0.53135474670705318</v>
      </c>
      <c r="T34" s="2"/>
    </row>
    <row r="35" spans="1:21" ht="14.1" customHeight="1" x14ac:dyDescent="0.2">
      <c r="A35" s="31"/>
      <c r="B35" s="246" t="s">
        <v>118</v>
      </c>
      <c r="C35" s="244">
        <f>[3]Compass!$GS$19</f>
        <v>0</v>
      </c>
      <c r="D35" s="2">
        <f>[3]Compass!$GE$19</f>
        <v>0</v>
      </c>
      <c r="E35" s="58" t="e">
        <f t="shared" si="6"/>
        <v>#DIV/0!</v>
      </c>
      <c r="F35" s="2">
        <f>SUM([3]Compass!$GP$19:$GS$19)</f>
        <v>0</v>
      </c>
      <c r="G35" s="2">
        <f>SUM([3]Compass!$GB$19:$GE$19)</f>
        <v>0</v>
      </c>
      <c r="H35" s="3" t="e">
        <f t="shared" si="11"/>
        <v>#DIV/0!</v>
      </c>
      <c r="I35" s="58">
        <f t="shared" si="7"/>
        <v>0</v>
      </c>
      <c r="J35" s="31"/>
      <c r="K35" s="246" t="s">
        <v>118</v>
      </c>
      <c r="L35" s="244">
        <f>[3]Compass!$GS$41</f>
        <v>0</v>
      </c>
      <c r="M35" s="2">
        <f>[3]Compass!$GE$41</f>
        <v>0</v>
      </c>
      <c r="N35" s="58" t="e">
        <f t="shared" si="8"/>
        <v>#DIV/0!</v>
      </c>
      <c r="O35" s="244">
        <f>SUM([3]Compass!$GP$41:$GS$41)</f>
        <v>0</v>
      </c>
      <c r="P35" s="2">
        <f>SUM([3]Compass!$GB$41:$GE$41)</f>
        <v>0</v>
      </c>
      <c r="Q35" s="3" t="e">
        <f t="shared" si="9"/>
        <v>#DIV/0!</v>
      </c>
      <c r="R35" s="58">
        <f t="shared" si="10"/>
        <v>0</v>
      </c>
      <c r="S35" s="2"/>
      <c r="T35" s="2"/>
    </row>
    <row r="36" spans="1:21" ht="14.1" customHeight="1" x14ac:dyDescent="0.2">
      <c r="A36" s="31"/>
      <c r="B36" s="33" t="s">
        <v>159</v>
      </c>
      <c r="C36" s="244">
        <f>[3]Pinnacle!$GS$19</f>
        <v>688</v>
      </c>
      <c r="D36" s="2">
        <f>[3]Pinnacle!$GE$19</f>
        <v>2183</v>
      </c>
      <c r="E36" s="58">
        <f t="shared" si="6"/>
        <v>-0.68483737975263403</v>
      </c>
      <c r="F36" s="2">
        <f>SUM([3]Pinnacle!$GP$19:$GS$19)</f>
        <v>8080</v>
      </c>
      <c r="G36" s="2">
        <f>SUM([3]Pinnacle!$GB$19:$GE$19)</f>
        <v>8246</v>
      </c>
      <c r="H36" s="3">
        <f t="shared" si="11"/>
        <v>-2.0130972592772252E-2</v>
      </c>
      <c r="I36" s="58">
        <f t="shared" si="7"/>
        <v>8.7046453503404286E-2</v>
      </c>
      <c r="J36" s="31"/>
      <c r="K36" s="33" t="s">
        <v>159</v>
      </c>
      <c r="L36" s="244">
        <f>[3]Pinnacle!$GS$41</f>
        <v>5161</v>
      </c>
      <c r="M36" s="2">
        <f>[3]Pinnacle!$GE$41</f>
        <v>130097</v>
      </c>
      <c r="N36" s="58">
        <f t="shared" si="8"/>
        <v>-0.96032960022137326</v>
      </c>
      <c r="O36" s="244">
        <f>SUM([3]Pinnacle!$GP$41:$GS$41)</f>
        <v>342857</v>
      </c>
      <c r="P36" s="2">
        <f>SUM([3]Pinnacle!$GB$41:$GE$41)</f>
        <v>494557</v>
      </c>
      <c r="Q36" s="3">
        <f t="shared" si="9"/>
        <v>-0.30673916252322786</v>
      </c>
      <c r="R36" s="58">
        <f t="shared" si="10"/>
        <v>4.6090500348309894E-2</v>
      </c>
    </row>
    <row r="37" spans="1:21" ht="14.1" customHeight="1" x14ac:dyDescent="0.2">
      <c r="A37" s="31"/>
      <c r="B37" s="33" t="s">
        <v>155</v>
      </c>
      <c r="C37" s="244">
        <f>'[3]Go Jet'!$GS$19</f>
        <v>0</v>
      </c>
      <c r="D37" s="2">
        <f>'[3]Go Jet'!$GE$19</f>
        <v>209</v>
      </c>
      <c r="E37" s="58">
        <f t="shared" si="6"/>
        <v>-1</v>
      </c>
      <c r="F37" s="2">
        <f>SUM('[3]Go Jet'!$GP$19:$GS$19)</f>
        <v>44</v>
      </c>
      <c r="G37" s="2">
        <f>SUM('[3]Go Jet'!$GB$19:$GE$19)</f>
        <v>1054</v>
      </c>
      <c r="H37" s="3">
        <f>(F37-G37)/G37</f>
        <v>-0.95825426944971537</v>
      </c>
      <c r="I37" s="58">
        <f t="shared" si="7"/>
        <v>4.740153408601224E-4</v>
      </c>
      <c r="J37" s="31"/>
      <c r="K37" s="33" t="s">
        <v>155</v>
      </c>
      <c r="L37" s="244">
        <f>'[3]Go Jet'!$GS$41</f>
        <v>0</v>
      </c>
      <c r="M37" s="2">
        <f>'[3]Go Jet'!$GE$41</f>
        <v>12369</v>
      </c>
      <c r="N37" s="58">
        <f t="shared" si="8"/>
        <v>-1</v>
      </c>
      <c r="O37" s="244">
        <f>SUM('[3]Go Jet'!$GP$41:$GS$41)</f>
        <v>2644</v>
      </c>
      <c r="P37" s="2">
        <f>SUM('[3]Go Jet'!$GB$41:$GE$41)</f>
        <v>60059</v>
      </c>
      <c r="Q37" s="3">
        <f>(O37-P37)/P37</f>
        <v>-0.95597662298739572</v>
      </c>
      <c r="R37" s="58">
        <f t="shared" si="10"/>
        <v>3.5543472328385117E-4</v>
      </c>
      <c r="S37" s="221"/>
      <c r="T37" s="140"/>
    </row>
    <row r="38" spans="1:21" ht="14.1" customHeight="1" x14ac:dyDescent="0.2">
      <c r="A38" s="31"/>
      <c r="B38" s="33" t="s">
        <v>98</v>
      </c>
      <c r="C38" s="244">
        <f>'[3]Sky West'!$GS$19</f>
        <v>3315</v>
      </c>
      <c r="D38" s="2">
        <f>'[3]Sky West'!$GE$19</f>
        <v>7747</v>
      </c>
      <c r="E38" s="58">
        <f t="shared" si="6"/>
        <v>-0.57209242287337037</v>
      </c>
      <c r="F38" s="2">
        <f>SUM('[3]Sky West'!$GP$19:$GS$19)</f>
        <v>25414</v>
      </c>
      <c r="G38" s="2">
        <f>SUM('[3]Sky West'!$GB$19:$GE$19)</f>
        <v>29958</v>
      </c>
      <c r="H38" s="3">
        <f t="shared" si="11"/>
        <v>-0.15167901729087388</v>
      </c>
      <c r="I38" s="58">
        <f t="shared" si="7"/>
        <v>0.27378695165043521</v>
      </c>
      <c r="J38" s="31"/>
      <c r="K38" s="33" t="s">
        <v>98</v>
      </c>
      <c r="L38" s="244">
        <f>'[3]Sky West'!$GS$41</f>
        <v>28793</v>
      </c>
      <c r="M38" s="2">
        <f>'[3]Sky West'!$GE$41</f>
        <v>377793</v>
      </c>
      <c r="N38" s="58">
        <f t="shared" si="8"/>
        <v>-0.92378630625765967</v>
      </c>
      <c r="O38" s="244">
        <f>SUM('[3]Sky West'!$GP$41:$GS$41)</f>
        <v>940970</v>
      </c>
      <c r="P38" s="2">
        <f>SUM('[3]Sky West'!$GB$41:$GE$41)</f>
        <v>1423650</v>
      </c>
      <c r="Q38" s="3">
        <f t="shared" si="9"/>
        <v>-0.33904400660274647</v>
      </c>
      <c r="R38" s="58">
        <f t="shared" si="10"/>
        <v>0.12649523886853459</v>
      </c>
    </row>
    <row r="39" spans="1:21" ht="14.1" customHeight="1" x14ac:dyDescent="0.2">
      <c r="A39" s="31"/>
      <c r="B39" s="33" t="s">
        <v>132</v>
      </c>
      <c r="C39" s="244">
        <f>'[3]Shuttle America_Delta'!$GS$19</f>
        <v>0</v>
      </c>
      <c r="D39" s="2">
        <f>'[3]Shuttle America_Delta'!$GE$19</f>
        <v>0</v>
      </c>
      <c r="E39" s="58" t="e">
        <f t="shared" si="6"/>
        <v>#DIV/0!</v>
      </c>
      <c r="F39" s="2">
        <f>SUM('[3]Shuttle America_Delta'!$GP$19:$GS$19)</f>
        <v>0</v>
      </c>
      <c r="G39" s="2">
        <f>SUM('[3]Shuttle America_Delta'!$GB$19:$GE$19)</f>
        <v>322</v>
      </c>
      <c r="H39" s="3">
        <f t="shared" si="11"/>
        <v>-1</v>
      </c>
      <c r="I39" s="58">
        <f t="shared" si="7"/>
        <v>0</v>
      </c>
      <c r="J39" s="31"/>
      <c r="K39" s="33" t="s">
        <v>132</v>
      </c>
      <c r="L39" s="244">
        <f>'[3]Shuttle America_Delta'!$GS$41</f>
        <v>0</v>
      </c>
      <c r="M39" s="2">
        <f>'[3]Shuttle America_Delta'!$GE$41</f>
        <v>0</v>
      </c>
      <c r="N39" s="58" t="e">
        <f t="shared" si="8"/>
        <v>#DIV/0!</v>
      </c>
      <c r="O39" s="244">
        <f>SUM('[3]Shuttle America_Delta'!$GP$41:$GS$41)</f>
        <v>0</v>
      </c>
      <c r="P39" s="2">
        <f>SUM('[3]Shuttle America_Delta'!$GB$41:$GE$41)</f>
        <v>16634</v>
      </c>
      <c r="Q39" s="3">
        <f t="shared" si="9"/>
        <v>-1</v>
      </c>
      <c r="R39" s="58">
        <f t="shared" si="10"/>
        <v>0</v>
      </c>
    </row>
    <row r="40" spans="1:21" ht="14.1" customHeight="1" x14ac:dyDescent="0.2">
      <c r="A40" s="31"/>
      <c r="B40" s="297" t="s">
        <v>167</v>
      </c>
      <c r="C40" s="244">
        <f>'[3]Atlantic Southeast'!$GS$19</f>
        <v>0</v>
      </c>
      <c r="D40" s="2">
        <f>'[3]Atlantic Southeast'!$GE$19</f>
        <v>0</v>
      </c>
      <c r="E40" s="58" t="e">
        <f t="shared" si="6"/>
        <v>#DIV/0!</v>
      </c>
      <c r="F40" s="2">
        <f>SUM('[3]Atlantic Southeast'!$GP$19:$GS$19)</f>
        <v>0</v>
      </c>
      <c r="G40" s="2">
        <f>SUM('[3]Atlantic Southeast'!$GB$19:$GE$19)</f>
        <v>0</v>
      </c>
      <c r="H40" s="3" t="e">
        <f t="shared" si="11"/>
        <v>#DIV/0!</v>
      </c>
      <c r="I40" s="58">
        <f t="shared" si="7"/>
        <v>0</v>
      </c>
      <c r="J40" s="31"/>
      <c r="K40" s="297" t="s">
        <v>167</v>
      </c>
      <c r="L40" s="244">
        <f>'[3]Atlantic Southeast'!$GS$41</f>
        <v>0</v>
      </c>
      <c r="M40" s="2">
        <f>'[3]Atlantic Southeast'!$GE$41</f>
        <v>0</v>
      </c>
      <c r="N40" s="58" t="e">
        <f t="shared" si="8"/>
        <v>#DIV/0!</v>
      </c>
      <c r="O40" s="244">
        <f>SUM('[3]Atlantic Southeast'!$GP$41:$GS$41)</f>
        <v>0</v>
      </c>
      <c r="P40" s="2">
        <f>SUM('[3]Atlantic Southeast'!$GB$41:$GE$41)</f>
        <v>0</v>
      </c>
      <c r="Q40" s="3" t="e">
        <f t="shared" si="9"/>
        <v>#DIV/0!</v>
      </c>
      <c r="R40" s="58">
        <f t="shared" si="10"/>
        <v>0</v>
      </c>
      <c r="S40" s="220"/>
    </row>
    <row r="41" spans="1:21" ht="14.1" customHeight="1" x14ac:dyDescent="0.2">
      <c r="A41" s="31"/>
      <c r="B41" s="297"/>
      <c r="C41" s="244"/>
      <c r="E41" s="58"/>
      <c r="F41" s="2"/>
      <c r="I41" s="58"/>
      <c r="J41" s="31"/>
      <c r="K41" s="297"/>
      <c r="L41" s="244"/>
      <c r="N41" s="58"/>
      <c r="O41" s="244"/>
      <c r="P41" s="2"/>
      <c r="Q41" s="3"/>
      <c r="R41" s="58"/>
      <c r="S41" s="220"/>
    </row>
    <row r="42" spans="1:21" ht="14.1" customHeight="1" x14ac:dyDescent="0.2">
      <c r="A42" s="240" t="s">
        <v>47</v>
      </c>
      <c r="B42" s="33"/>
      <c r="C42" s="241">
        <f>[3]Frontier!$GS$19</f>
        <v>28</v>
      </c>
      <c r="D42" s="115">
        <f>[3]Frontier!$GE$19</f>
        <v>206</v>
      </c>
      <c r="E42" s="243">
        <f>(C42-D42)/D42</f>
        <v>-0.86407766990291257</v>
      </c>
      <c r="F42" s="115">
        <f>SUM([3]Frontier!$GP$19:$GS$19)</f>
        <v>639</v>
      </c>
      <c r="G42" s="115">
        <f>SUM([3]Frontier!$GB$19:$GE$19)</f>
        <v>821</v>
      </c>
      <c r="H42" s="242">
        <f>(F42-G42)/G42</f>
        <v>-0.22168087697929353</v>
      </c>
      <c r="I42" s="243">
        <f>F42/$F$68</f>
        <v>6.8839955184004133E-3</v>
      </c>
      <c r="J42" s="240" t="s">
        <v>47</v>
      </c>
      <c r="K42" s="33"/>
      <c r="L42" s="241">
        <f>[3]Frontier!$GS$41</f>
        <v>911</v>
      </c>
      <c r="M42" s="115">
        <f>[3]Frontier!$GE$41</f>
        <v>34814</v>
      </c>
      <c r="N42" s="243">
        <f>(L42-M42)/M42</f>
        <v>-0.97383236628942382</v>
      </c>
      <c r="O42" s="241">
        <f>SUM([3]Frontier!$GP$41:$GS$41)</f>
        <v>90658</v>
      </c>
      <c r="P42" s="115">
        <f>SUM([3]Frontier!$GB$41:$GE$41)</f>
        <v>141264</v>
      </c>
      <c r="Q42" s="242">
        <f>(O42-P42)/P42</f>
        <v>-0.35823705968965908</v>
      </c>
      <c r="R42" s="243">
        <f>O42/$O$68</f>
        <v>1.21872167713568E-2</v>
      </c>
      <c r="S42" s="324"/>
      <c r="U42" s="2"/>
    </row>
    <row r="43" spans="1:21" ht="14.1" customHeight="1" x14ac:dyDescent="0.2">
      <c r="A43" s="240"/>
      <c r="B43" s="33"/>
      <c r="C43" s="241"/>
      <c r="D43" s="115"/>
      <c r="E43" s="243"/>
      <c r="F43" s="115"/>
      <c r="G43" s="115"/>
      <c r="H43" s="242"/>
      <c r="I43" s="243"/>
      <c r="J43" s="240"/>
      <c r="K43" s="33"/>
      <c r="L43" s="244"/>
      <c r="N43" s="58"/>
      <c r="O43" s="244"/>
      <c r="P43" s="2"/>
      <c r="Q43" s="3"/>
      <c r="R43" s="58"/>
      <c r="S43" s="324"/>
    </row>
    <row r="44" spans="1:21" ht="14.1" customHeight="1" x14ac:dyDescent="0.2">
      <c r="A44" s="240" t="s">
        <v>48</v>
      </c>
      <c r="B44" s="33"/>
      <c r="C44" s="241">
        <f>[3]Icelandair!$GS$19</f>
        <v>0</v>
      </c>
      <c r="D44" s="115">
        <f>[3]Icelandair!$GE$19</f>
        <v>48</v>
      </c>
      <c r="E44" s="243">
        <f>(C44-D44)/D44</f>
        <v>-1</v>
      </c>
      <c r="F44" s="115">
        <f>SUM([3]Icelandair!$GP$19:$GS$19)</f>
        <v>18</v>
      </c>
      <c r="G44" s="115">
        <f>SUM([3]Icelandair!$GB$19:$GE$19)</f>
        <v>86</v>
      </c>
      <c r="H44" s="242">
        <f>(F44-G44)/G44</f>
        <v>-0.79069767441860461</v>
      </c>
      <c r="I44" s="243">
        <f>F44/$F$68</f>
        <v>1.939153667155046E-4</v>
      </c>
      <c r="J44" s="240" t="s">
        <v>48</v>
      </c>
      <c r="K44" s="33"/>
      <c r="L44" s="241">
        <f>[3]Icelandair!$GS$41</f>
        <v>0</v>
      </c>
      <c r="M44" s="115">
        <f>[3]Icelandair!$GE$41</f>
        <v>6649</v>
      </c>
      <c r="N44" s="243">
        <f>(L44-M44)/M44</f>
        <v>-1</v>
      </c>
      <c r="O44" s="241">
        <f>SUM([3]Icelandair!$GP$41:$GS$41)</f>
        <v>2058</v>
      </c>
      <c r="P44" s="115">
        <f>SUM([3]Icelandair!$GB$41:$GE$41)</f>
        <v>11518</v>
      </c>
      <c r="Q44" s="242">
        <f>(O44-P44)/P44</f>
        <v>-0.82132314637957982</v>
      </c>
      <c r="R44" s="243">
        <f>O44/$O$68</f>
        <v>2.7665834361504001E-4</v>
      </c>
    </row>
    <row r="45" spans="1:21" ht="14.1" customHeight="1" x14ac:dyDescent="0.2">
      <c r="A45" s="240"/>
      <c r="B45" s="33"/>
      <c r="C45" s="241"/>
      <c r="D45" s="115"/>
      <c r="E45" s="243"/>
      <c r="F45" s="115"/>
      <c r="G45" s="115"/>
      <c r="H45" s="242"/>
      <c r="I45" s="243"/>
      <c r="J45" s="240"/>
      <c r="K45" s="33"/>
      <c r="L45" s="244"/>
      <c r="N45" s="58"/>
      <c r="O45" s="244"/>
      <c r="P45" s="2"/>
      <c r="Q45" s="3"/>
      <c r="R45" s="58"/>
    </row>
    <row r="46" spans="1:21" ht="14.1" customHeight="1" x14ac:dyDescent="0.2">
      <c r="A46" s="240" t="s">
        <v>201</v>
      </c>
      <c r="B46" s="33"/>
      <c r="C46" s="241">
        <f>'[3]Jet Blue'!$GS$19</f>
        <v>19</v>
      </c>
      <c r="D46" s="115">
        <f>'[3]Jet Blue'!$GE$19</f>
        <v>172</v>
      </c>
      <c r="E46" s="243">
        <f>(C46-D46)/D46</f>
        <v>-0.88953488372093026</v>
      </c>
      <c r="F46" s="115">
        <f>SUM('[3]Jet Blue'!$GP$19:$GS$19)</f>
        <v>487</v>
      </c>
      <c r="G46" s="115">
        <f>SUM('[3]Jet Blue'!$GB$19:$GE$19)</f>
        <v>660</v>
      </c>
      <c r="H46" s="242">
        <f>(F46-G46)/G46</f>
        <v>-0.26212121212121214</v>
      </c>
      <c r="I46" s="243">
        <f>F46/$F$68</f>
        <v>5.2464879772472633E-3</v>
      </c>
      <c r="J46" s="240" t="s">
        <v>201</v>
      </c>
      <c r="K46" s="33"/>
      <c r="L46" s="241">
        <f>'[3]Jet Blue'!$GS$41</f>
        <v>70</v>
      </c>
      <c r="M46" s="115">
        <f>'[3]Jet Blue'!$GE$41</f>
        <v>18657</v>
      </c>
      <c r="N46" s="243">
        <f>(L46-M46)/M46</f>
        <v>-0.99624805702953312</v>
      </c>
      <c r="O46" s="241">
        <f>SUM('[3]Jet Blue'!$GP$41:$GS$41)</f>
        <v>28694</v>
      </c>
      <c r="P46" s="115">
        <f>SUM('[3]Jet Blue'!$GB$41:$GE$41)</f>
        <v>65606</v>
      </c>
      <c r="Q46" s="242">
        <f>(O46-P46)/P46</f>
        <v>-0.56263146663414931</v>
      </c>
      <c r="R46" s="243">
        <f>O46/$O$68</f>
        <v>3.857353990131175E-3</v>
      </c>
    </row>
    <row r="47" spans="1:21" ht="14.1" customHeight="1" x14ac:dyDescent="0.2">
      <c r="A47" s="240"/>
      <c r="B47" s="33"/>
      <c r="C47" s="241"/>
      <c r="D47" s="115"/>
      <c r="E47" s="243"/>
      <c r="F47" s="115"/>
      <c r="G47" s="115"/>
      <c r="H47" s="242"/>
      <c r="I47" s="243"/>
      <c r="J47" s="240"/>
      <c r="K47" s="33"/>
      <c r="L47" s="244"/>
      <c r="N47" s="58"/>
      <c r="O47" s="244"/>
      <c r="P47" s="2"/>
      <c r="Q47" s="3"/>
      <c r="R47" s="58"/>
    </row>
    <row r="48" spans="1:21" ht="14.1" customHeight="1" x14ac:dyDescent="0.2">
      <c r="A48" s="240" t="s">
        <v>194</v>
      </c>
      <c r="B48" s="33"/>
      <c r="C48" s="241">
        <f>[3]KLM!$GS$19</f>
        <v>0</v>
      </c>
      <c r="D48" s="115">
        <f>[3]KLM!$GE$19</f>
        <v>32</v>
      </c>
      <c r="E48" s="243">
        <f>(C48-D48)/D48</f>
        <v>-1</v>
      </c>
      <c r="F48" s="115">
        <f>SUM([3]KLM!$GP$19:$GS$19)</f>
        <v>80</v>
      </c>
      <c r="G48" s="115">
        <f>SUM([3]KLM!$GB$19:$GE$19)</f>
        <v>130</v>
      </c>
      <c r="H48" s="242">
        <f>(F48-G48)/G48</f>
        <v>-0.38461538461538464</v>
      </c>
      <c r="I48" s="243">
        <f>F48/$F$68</f>
        <v>8.6184607429113161E-4</v>
      </c>
      <c r="J48" s="240" t="s">
        <v>194</v>
      </c>
      <c r="K48" s="33"/>
      <c r="L48" s="241">
        <f>[3]KLM!$GS$41</f>
        <v>0</v>
      </c>
      <c r="M48" s="115">
        <f>[3]KLM!$GE$41</f>
        <v>7477</v>
      </c>
      <c r="N48" s="243">
        <f>(L48-M48)/M48</f>
        <v>-1</v>
      </c>
      <c r="O48" s="241">
        <f>SUM([3]KLM!$GP$41:$GS$41)</f>
        <v>15968</v>
      </c>
      <c r="P48" s="115">
        <f>SUM([3]KLM!$GB$41:$GE$41)</f>
        <v>29063</v>
      </c>
      <c r="Q48" s="242">
        <f>(O48-P48)/P48</f>
        <v>-0.45057289336957645</v>
      </c>
      <c r="R48" s="243">
        <f>O48/$O$68</f>
        <v>2.1465891306340907E-3</v>
      </c>
    </row>
    <row r="49" spans="1:18" ht="14.1" customHeight="1" x14ac:dyDescent="0.2">
      <c r="A49" s="240"/>
      <c r="B49" s="33"/>
      <c r="C49" s="241"/>
      <c r="D49" s="115"/>
      <c r="E49" s="243"/>
      <c r="F49" s="115"/>
      <c r="G49" s="115"/>
      <c r="H49" s="242"/>
      <c r="I49" s="243"/>
      <c r="J49" s="240"/>
      <c r="K49" s="33"/>
      <c r="L49" s="244"/>
      <c r="N49" s="58"/>
      <c r="O49" s="244"/>
      <c r="P49" s="2"/>
      <c r="Q49" s="3"/>
      <c r="R49" s="58"/>
    </row>
    <row r="50" spans="1:18" ht="14.1" customHeight="1" x14ac:dyDescent="0.2">
      <c r="A50" s="245" t="s">
        <v>130</v>
      </c>
      <c r="C50" s="241">
        <f>[3]Southwest!$GS$19</f>
        <v>540</v>
      </c>
      <c r="D50" s="115">
        <f>[3]Southwest!$GE$19</f>
        <v>1368</v>
      </c>
      <c r="E50" s="243">
        <f>(C50-D50)/D50</f>
        <v>-0.60526315789473684</v>
      </c>
      <c r="F50" s="115">
        <f>SUM([3]Southwest!$GP$19:$GS$19)</f>
        <v>3856</v>
      </c>
      <c r="G50" s="115">
        <f>SUM([3]Southwest!$GB$19:$GE$19)</f>
        <v>5259</v>
      </c>
      <c r="H50" s="242">
        <f>(F50-G50)/G50</f>
        <v>-0.26678075679787033</v>
      </c>
      <c r="I50" s="243">
        <f>F50/$F$68</f>
        <v>4.1540980780832543E-2</v>
      </c>
      <c r="J50" s="245" t="s">
        <v>130</v>
      </c>
      <c r="L50" s="241">
        <f>[3]Southwest!$GS$41</f>
        <v>5226</v>
      </c>
      <c r="M50" s="115">
        <f>[3]Southwest!$GE$41</f>
        <v>157941</v>
      </c>
      <c r="N50" s="243">
        <f>(L50-M50)/M50</f>
        <v>-0.96691169487340212</v>
      </c>
      <c r="O50" s="241">
        <f>SUM([3]Southwest!$GP$41:$GS$41)</f>
        <v>315101</v>
      </c>
      <c r="P50" s="115">
        <f>SUM([3]Southwest!$GB$41:$GE$41)</f>
        <v>605695</v>
      </c>
      <c r="Q50" s="242">
        <f>(O50-P50)/P50</f>
        <v>-0.47976952096352127</v>
      </c>
      <c r="R50" s="243">
        <f>O50/$O$68</f>
        <v>4.2359242337921633E-2</v>
      </c>
    </row>
    <row r="51" spans="1:18" ht="14.1" customHeight="1" x14ac:dyDescent="0.2">
      <c r="A51" s="240"/>
      <c r="B51" s="33"/>
      <c r="C51" s="241"/>
      <c r="D51" s="115"/>
      <c r="E51" s="243"/>
      <c r="F51" s="115"/>
      <c r="G51" s="115"/>
      <c r="H51" s="242"/>
      <c r="I51" s="243"/>
      <c r="J51" s="240"/>
      <c r="K51" s="33"/>
      <c r="L51" s="244"/>
      <c r="N51" s="58"/>
      <c r="O51" s="244"/>
      <c r="P51" s="2"/>
      <c r="Q51" s="3"/>
      <c r="R51" s="58"/>
    </row>
    <row r="52" spans="1:18" ht="14.1" customHeight="1" x14ac:dyDescent="0.2">
      <c r="A52" s="240" t="s">
        <v>156</v>
      </c>
      <c r="B52" s="33"/>
      <c r="C52" s="241">
        <f>[3]Spirit!$GS$19</f>
        <v>136</v>
      </c>
      <c r="D52" s="115">
        <f>[3]Spirit!$GE$19</f>
        <v>696</v>
      </c>
      <c r="E52" s="243">
        <f>(C52-D52)/D52</f>
        <v>-0.8045977011494253</v>
      </c>
      <c r="F52" s="115">
        <f>SUM([3]Spirit!$GP$19:$GS$19)</f>
        <v>2001</v>
      </c>
      <c r="G52" s="115">
        <f>SUM([3]Spirit!$GB$19:$GE$19)</f>
        <v>2787</v>
      </c>
      <c r="H52" s="242">
        <f>(F52-G52)/G52</f>
        <v>-0.28202368137782563</v>
      </c>
      <c r="I52" s="243">
        <f>F52/$F$68</f>
        <v>2.155692493320693E-2</v>
      </c>
      <c r="J52" s="240" t="s">
        <v>156</v>
      </c>
      <c r="K52" s="33"/>
      <c r="L52" s="241">
        <f>[3]Spirit!$GS$41</f>
        <v>3156</v>
      </c>
      <c r="M52" s="115">
        <f>[3]Spirit!$GE$41</f>
        <v>96376</v>
      </c>
      <c r="N52" s="243">
        <f>(L52-M52)/M52</f>
        <v>-0.96725325807254914</v>
      </c>
      <c r="O52" s="241">
        <f>SUM([3]Spirit!$GP$41:$GS$41)</f>
        <v>255564</v>
      </c>
      <c r="P52" s="115">
        <f>SUM([3]Spirit!$GB$41:$GE$41)</f>
        <v>410509</v>
      </c>
      <c r="Q52" s="242">
        <f>(O52-P52)/P52</f>
        <v>-0.3774460486858997</v>
      </c>
      <c r="R52" s="243">
        <f>O52/$O$68</f>
        <v>3.4355642821979629E-2</v>
      </c>
    </row>
    <row r="53" spans="1:18" ht="14.1" customHeight="1" x14ac:dyDescent="0.2">
      <c r="A53" s="240"/>
      <c r="B53" s="33"/>
      <c r="C53" s="241"/>
      <c r="D53" s="115"/>
      <c r="E53" s="243"/>
      <c r="F53" s="115"/>
      <c r="G53" s="115"/>
      <c r="H53" s="242"/>
      <c r="I53" s="243"/>
      <c r="J53" s="240"/>
      <c r="K53" s="33"/>
      <c r="L53" s="244"/>
      <c r="N53" s="58"/>
      <c r="O53" s="244"/>
      <c r="P53" s="2"/>
      <c r="Q53" s="3"/>
      <c r="R53" s="58">
        <f>O53/$O$68</f>
        <v>0</v>
      </c>
    </row>
    <row r="54" spans="1:18" ht="14.1" customHeight="1" x14ac:dyDescent="0.2">
      <c r="A54" s="240" t="s">
        <v>49</v>
      </c>
      <c r="B54" s="33"/>
      <c r="C54" s="241">
        <f>'[3]Sun Country'!$GS$19</f>
        <v>241</v>
      </c>
      <c r="D54" s="115">
        <f>'[3]Sun Country'!$GE$19</f>
        <v>1807</v>
      </c>
      <c r="E54" s="243">
        <f>(C54-D54)/D54</f>
        <v>-0.86662977310459322</v>
      </c>
      <c r="F54" s="115">
        <f>SUM('[3]Sun Country'!$GP$19:$GS$19)</f>
        <v>5799</v>
      </c>
      <c r="G54" s="115">
        <f>SUM('[3]Sun Country'!$GB$19:$GE$19)</f>
        <v>7097</v>
      </c>
      <c r="H54" s="242">
        <f>(F54-G54)/G54</f>
        <v>-0.18289418063970692</v>
      </c>
      <c r="I54" s="243">
        <f>F54/$F$68</f>
        <v>6.2473067310178404E-2</v>
      </c>
      <c r="J54" s="240" t="s">
        <v>49</v>
      </c>
      <c r="K54" s="33"/>
      <c r="L54" s="241">
        <f>'[3]Sun Country'!$GS$41</f>
        <v>7400</v>
      </c>
      <c r="M54" s="115">
        <f>'[3]Sun Country'!$GE$41</f>
        <v>240129</v>
      </c>
      <c r="N54" s="243">
        <f>(L54-M54)/M54</f>
        <v>-0.96918323068017609</v>
      </c>
      <c r="O54" s="241">
        <f>SUM('[3]Sun Country'!$GP$41:$GS$41)</f>
        <v>728012</v>
      </c>
      <c r="P54" s="115">
        <f>SUM('[3]Sun Country'!$GB$41:$GE$41)</f>
        <v>979538</v>
      </c>
      <c r="Q54" s="242">
        <f>(O54-P54)/P54</f>
        <v>-0.25678023721387022</v>
      </c>
      <c r="R54" s="243">
        <f>O54/$O$68</f>
        <v>9.7867149685069238E-2</v>
      </c>
    </row>
    <row r="55" spans="1:18" ht="14.1" customHeight="1" x14ac:dyDescent="0.2">
      <c r="A55" s="240"/>
      <c r="B55" s="33"/>
      <c r="C55" s="241"/>
      <c r="D55" s="115"/>
      <c r="E55" s="243"/>
      <c r="F55" s="115"/>
      <c r="G55" s="115"/>
      <c r="H55" s="242"/>
      <c r="I55" s="243"/>
      <c r="J55" s="240"/>
      <c r="K55" s="33"/>
      <c r="L55" s="244"/>
      <c r="N55" s="58"/>
      <c r="O55" s="244"/>
      <c r="P55" s="2"/>
      <c r="Q55" s="3"/>
      <c r="R55" s="58"/>
    </row>
    <row r="56" spans="1:18" ht="14.1" customHeight="1" x14ac:dyDescent="0.2">
      <c r="A56" s="240" t="s">
        <v>19</v>
      </c>
      <c r="B56" s="245"/>
      <c r="C56" s="241">
        <f>SUM(C57:C63)</f>
        <v>298</v>
      </c>
      <c r="D56" s="115">
        <f>SUM(D57:D63)</f>
        <v>1434</v>
      </c>
      <c r="E56" s="243">
        <f t="shared" ref="E56:E63" si="12">(C56-D56)/D56</f>
        <v>-0.79218967921896788</v>
      </c>
      <c r="F56" s="115">
        <f>SUM(F57:F63)</f>
        <v>4416</v>
      </c>
      <c r="G56" s="115">
        <f>SUM(G57:G63)</f>
        <v>5468</v>
      </c>
      <c r="H56" s="242">
        <f t="shared" ref="H56:H63" si="13">(F56-G56)/G56</f>
        <v>-0.19239209948792976</v>
      </c>
      <c r="I56" s="243">
        <f t="shared" ref="I56:I63" si="14">F56/$F$68</f>
        <v>4.7573903300870461E-2</v>
      </c>
      <c r="J56" s="240" t="s">
        <v>19</v>
      </c>
      <c r="K56" s="245"/>
      <c r="L56" s="241">
        <f>SUM(L57:L63)</f>
        <v>3389</v>
      </c>
      <c r="M56" s="115">
        <f>SUM(M57:M63)</f>
        <v>118354</v>
      </c>
      <c r="N56" s="243">
        <f t="shared" ref="N56:N63" si="15">(L56-M56)/M56</f>
        <v>-0.97136556432397725</v>
      </c>
      <c r="O56" s="241">
        <f>SUM(O57:O63)</f>
        <v>306736</v>
      </c>
      <c r="P56" s="115">
        <f>SUM(P57:P63)</f>
        <v>462818</v>
      </c>
      <c r="Q56" s="242">
        <f t="shared" ref="Q56:Q63" si="16">(O56-P56)/P56</f>
        <v>-0.3372427174396847</v>
      </c>
      <c r="R56" s="243">
        <f t="shared" ref="R56:R63" si="17">O56/$O$68</f>
        <v>4.1234729682751659E-2</v>
      </c>
    </row>
    <row r="57" spans="1:18" ht="14.1" customHeight="1" x14ac:dyDescent="0.2">
      <c r="A57" s="31"/>
      <c r="B57" s="297" t="s">
        <v>19</v>
      </c>
      <c r="C57" s="244">
        <f>[3]United!$GS$19</f>
        <v>72</v>
      </c>
      <c r="D57" s="2">
        <f>[3]United!$GE$19+[3]Continental!$GE$19</f>
        <v>506</v>
      </c>
      <c r="E57" s="58">
        <f t="shared" si="12"/>
        <v>-0.85770750988142297</v>
      </c>
      <c r="F57" s="2">
        <f>SUM([3]United!$GP$19:$GS$19)</f>
        <v>1562</v>
      </c>
      <c r="G57" s="2">
        <f>SUM([3]United!$GB$19:$GE$19)+SUM([3]Continental!$GB$19:$GE$19)</f>
        <v>1902</v>
      </c>
      <c r="H57" s="3">
        <f t="shared" si="13"/>
        <v>-0.17875920084121977</v>
      </c>
      <c r="I57" s="58">
        <f t="shared" si="14"/>
        <v>1.6827544600534344E-2</v>
      </c>
      <c r="J57" s="31"/>
      <c r="K57" s="297" t="s">
        <v>19</v>
      </c>
      <c r="L57" s="244">
        <f>[3]United!$GS$41</f>
        <v>983</v>
      </c>
      <c r="M57" s="2">
        <f>[3]United!$GE$41+[3]Continental!$GE$41</f>
        <v>60517</v>
      </c>
      <c r="N57" s="58">
        <f t="shared" si="15"/>
        <v>-0.98375663036832628</v>
      </c>
      <c r="O57" s="244">
        <f>SUM([3]United!$GP$41:$GS$41)</f>
        <v>163541</v>
      </c>
      <c r="P57" s="2">
        <f>SUM([3]United!$GB$41:$GE$41)+SUM([3]Continental!$GB$41:$GE$41)</f>
        <v>242703</v>
      </c>
      <c r="Q57" s="3">
        <f t="shared" si="16"/>
        <v>-0.32616819734407898</v>
      </c>
      <c r="R57" s="58">
        <f t="shared" si="17"/>
        <v>2.198492816965367E-2</v>
      </c>
    </row>
    <row r="58" spans="1:18" ht="14.1" customHeight="1" x14ac:dyDescent="0.2">
      <c r="A58" s="31"/>
      <c r="B58" s="297" t="s">
        <v>167</v>
      </c>
      <c r="C58" s="244">
        <f>'[3]Continental Express'!$GS$19</f>
        <v>0</v>
      </c>
      <c r="D58" s="2">
        <f>'[3]Continental Express'!$GE$19</f>
        <v>0</v>
      </c>
      <c r="E58" s="58" t="e">
        <f t="shared" si="12"/>
        <v>#DIV/0!</v>
      </c>
      <c r="F58" s="2">
        <f>SUM('[3]Continental Express'!$GP$19:$GS$19)</f>
        <v>236</v>
      </c>
      <c r="G58" s="2">
        <f>SUM('[3]Continental Express'!$GB$19:$GE$19)</f>
        <v>54</v>
      </c>
      <c r="H58" s="3">
        <f t="shared" si="13"/>
        <v>3.3703703703703702</v>
      </c>
      <c r="I58" s="58">
        <f t="shared" si="14"/>
        <v>2.5424459191588384E-3</v>
      </c>
      <c r="J58" s="31"/>
      <c r="K58" s="297" t="s">
        <v>167</v>
      </c>
      <c r="L58" s="244">
        <f>'[3]Continental Express'!$GS$41</f>
        <v>0</v>
      </c>
      <c r="M58" s="2">
        <f>'[3]Continental Express'!$GE$41</f>
        <v>0</v>
      </c>
      <c r="N58" s="58" t="e">
        <f t="shared" si="15"/>
        <v>#DIV/0!</v>
      </c>
      <c r="O58" s="244">
        <f>SUM('[3]Continental Express'!$GP$41:$GS$41)</f>
        <v>10983</v>
      </c>
      <c r="P58" s="2">
        <f>SUM('[3]Continental Express'!$GB$41:$GE$41)</f>
        <v>1426</v>
      </c>
      <c r="Q58" s="3">
        <f t="shared" si="16"/>
        <v>6.7019635343618518</v>
      </c>
      <c r="R58" s="58">
        <f t="shared" si="17"/>
        <v>1.4764521807210807E-3</v>
      </c>
    </row>
    <row r="59" spans="1:18" ht="14.1" customHeight="1" x14ac:dyDescent="0.2">
      <c r="A59" s="31"/>
      <c r="B59" s="33" t="s">
        <v>155</v>
      </c>
      <c r="C59" s="244">
        <f>'[3]Go Jet_UA'!$GS$19</f>
        <v>0</v>
      </c>
      <c r="D59" s="2">
        <f>'[3]Go Jet_UA'!$GE$19</f>
        <v>4</v>
      </c>
      <c r="E59" s="58">
        <f t="shared" si="12"/>
        <v>-1</v>
      </c>
      <c r="F59" s="2">
        <f>SUM('[3]Go Jet_UA'!$GP$19:$GS$19)</f>
        <v>2</v>
      </c>
      <c r="G59" s="2">
        <f>SUM('[3]Go Jet_UA'!$GB$19:$GE$19)</f>
        <v>36</v>
      </c>
      <c r="H59" s="3">
        <f t="shared" si="13"/>
        <v>-0.94444444444444442</v>
      </c>
      <c r="I59" s="58">
        <f t="shared" si="14"/>
        <v>2.1546151857278292E-5</v>
      </c>
      <c r="J59" s="31"/>
      <c r="K59" s="33" t="s">
        <v>155</v>
      </c>
      <c r="L59" s="244">
        <f>'[3]Go Jet_UA'!$GS$41</f>
        <v>0</v>
      </c>
      <c r="M59" s="2">
        <f>'[3]Go Jet_UA'!$GE$41</f>
        <v>114</v>
      </c>
      <c r="N59" s="58">
        <f t="shared" si="15"/>
        <v>-1</v>
      </c>
      <c r="O59" s="244">
        <f>SUM('[3]Go Jet_UA'!$GP$41:$GS$41)</f>
        <v>83</v>
      </c>
      <c r="P59" s="2">
        <f>SUM('[3]Go Jet_UA'!$GB$41:$GE$41)</f>
        <v>2118</v>
      </c>
      <c r="Q59" s="3">
        <f t="shared" si="16"/>
        <v>-0.96081208687440978</v>
      </c>
      <c r="R59" s="58">
        <f t="shared" si="17"/>
        <v>1.1157746608381109E-5</v>
      </c>
    </row>
    <row r="60" spans="1:18" ht="14.1" customHeight="1" x14ac:dyDescent="0.2">
      <c r="A60" s="31"/>
      <c r="B60" s="33" t="s">
        <v>51</v>
      </c>
      <c r="C60" s="244">
        <f>[3]MESA_UA!$GS$19</f>
        <v>66</v>
      </c>
      <c r="D60" s="2">
        <f>[3]MESA_UA!$GE$19</f>
        <v>284</v>
      </c>
      <c r="E60" s="58">
        <f t="shared" si="12"/>
        <v>-0.76760563380281688</v>
      </c>
      <c r="F60" s="2">
        <f>SUM([3]MESA_UA!$GP$19:$GS$19)</f>
        <v>804</v>
      </c>
      <c r="G60" s="2">
        <f>SUM([3]MESA_UA!$GB$19:$GE$19)</f>
        <v>954</v>
      </c>
      <c r="H60" s="3">
        <f>(F60-G60)/G60</f>
        <v>-0.15723270440251572</v>
      </c>
      <c r="I60" s="58">
        <f t="shared" si="14"/>
        <v>8.6615530466258722E-3</v>
      </c>
      <c r="J60" s="31"/>
      <c r="K60" s="33" t="s">
        <v>51</v>
      </c>
      <c r="L60" s="244">
        <f>[3]MESA_UA!$GS$41</f>
        <v>689</v>
      </c>
      <c r="M60" s="2">
        <f>[3]MESA_UA!$GE$41</f>
        <v>17510</v>
      </c>
      <c r="N60" s="58">
        <f t="shared" si="15"/>
        <v>-0.96065105653912053</v>
      </c>
      <c r="O60" s="244">
        <f>SUM([3]MESA_UA!$GP$41:$GS$41)</f>
        <v>40703</v>
      </c>
      <c r="P60" s="2">
        <f>SUM([3]MESA_UA!$GB$41:$GE$41)</f>
        <v>60526</v>
      </c>
      <c r="Q60" s="3">
        <f t="shared" si="16"/>
        <v>-0.32751214354161851</v>
      </c>
      <c r="R60" s="58">
        <f t="shared" si="17"/>
        <v>5.4717320506136894E-3</v>
      </c>
    </row>
    <row r="61" spans="1:18" ht="14.1" customHeight="1" x14ac:dyDescent="0.2">
      <c r="A61" s="31"/>
      <c r="B61" s="297" t="s">
        <v>52</v>
      </c>
      <c r="C61" s="244">
        <f>[3]Republic_UA!$GS$19</f>
        <v>98</v>
      </c>
      <c r="D61" s="2">
        <f>[3]Republic_UA!$GE$19</f>
        <v>530</v>
      </c>
      <c r="E61" s="58">
        <f t="shared" si="12"/>
        <v>-0.81509433962264155</v>
      </c>
      <c r="F61" s="2">
        <f>SUM([3]Republic_UA!$GP$19:$GS$19)</f>
        <v>1346</v>
      </c>
      <c r="G61" s="2">
        <f>SUM([3]Republic_UA!$GB$19:$GE$19)</f>
        <v>1942</v>
      </c>
      <c r="H61" s="3">
        <f t="shared" ref="H61" si="18">(F61-G61)/G61</f>
        <v>-0.30690010298661174</v>
      </c>
      <c r="I61" s="58">
        <f t="shared" si="14"/>
        <v>1.450056019994829E-2</v>
      </c>
      <c r="J61" s="31"/>
      <c r="K61" s="297" t="s">
        <v>52</v>
      </c>
      <c r="L61" s="244">
        <f>[3]Republic_UA!$GS$41</f>
        <v>907</v>
      </c>
      <c r="M61" s="2">
        <f>[3]Republic_UA!$GE$41</f>
        <v>32691</v>
      </c>
      <c r="N61" s="58">
        <f t="shared" si="15"/>
        <v>-0.97225536080266739</v>
      </c>
      <c r="O61" s="244">
        <f>SUM([3]Republic_UA!$GP$41:$GS$41)</f>
        <v>65094</v>
      </c>
      <c r="P61" s="2">
        <f>SUM([3]Republic_UA!$GB$41:$GE$41)</f>
        <v>117558</v>
      </c>
      <c r="Q61" s="3">
        <f t="shared" si="16"/>
        <v>-0.44628183534935945</v>
      </c>
      <c r="R61" s="58">
        <f t="shared" si="17"/>
        <v>8.7506308159754197E-3</v>
      </c>
    </row>
    <row r="62" spans="1:18" ht="14.1" customHeight="1" x14ac:dyDescent="0.2">
      <c r="A62" s="31"/>
      <c r="B62" s="33" t="s">
        <v>98</v>
      </c>
      <c r="C62" s="244">
        <f>'[3]Sky West_UA'!$GS$19</f>
        <v>62</v>
      </c>
      <c r="D62" s="2">
        <f>'[3]Sky West_UA'!$GE$19+'[3]Sky West_CO'!$GE$19</f>
        <v>110</v>
      </c>
      <c r="E62" s="58">
        <f t="shared" si="12"/>
        <v>-0.43636363636363634</v>
      </c>
      <c r="F62" s="2">
        <f>SUM('[3]Sky West_UA'!$GP$19:$GS$19)</f>
        <v>466</v>
      </c>
      <c r="G62" s="2">
        <f>SUM('[3]Sky West_UA'!$GB$19:$GE$19)+SUM('[3]Sky West_CO'!$GB$19:$GE$19)</f>
        <v>580</v>
      </c>
      <c r="H62" s="3">
        <f t="shared" si="13"/>
        <v>-0.19655172413793104</v>
      </c>
      <c r="I62" s="58">
        <f t="shared" si="14"/>
        <v>5.0202533827458417E-3</v>
      </c>
      <c r="J62" s="31"/>
      <c r="K62" s="33" t="s">
        <v>98</v>
      </c>
      <c r="L62" s="244">
        <f>'[3]Sky West_UA'!$GS$41</f>
        <v>810</v>
      </c>
      <c r="M62" s="2">
        <f>'[3]Sky West_UA'!$GE$41+'[3]Sky West_CO'!$GE$41</f>
        <v>7522</v>
      </c>
      <c r="N62" s="58">
        <f t="shared" si="15"/>
        <v>-0.89231587343791541</v>
      </c>
      <c r="O62" s="244">
        <f>SUM('[3]Sky West_UA'!$GP$41:$GS$41)</f>
        <v>26332</v>
      </c>
      <c r="P62" s="2">
        <f>SUM('[3]Sky West_UA'!$GB$41:$GE$41)+SUM('[3]Sky West_CO'!$GB$41:$GE$41)</f>
        <v>38487</v>
      </c>
      <c r="Q62" s="3">
        <f t="shared" si="16"/>
        <v>-0.31582092654662614</v>
      </c>
      <c r="R62" s="58">
        <f t="shared" si="17"/>
        <v>3.5398287191794136E-3</v>
      </c>
    </row>
    <row r="63" spans="1:18" ht="14.1" customHeight="1" x14ac:dyDescent="0.2">
      <c r="A63" s="31"/>
      <c r="B63" s="246" t="s">
        <v>132</v>
      </c>
      <c r="C63" s="244">
        <f>'[3]Shuttle America'!$GS$19</f>
        <v>0</v>
      </c>
      <c r="D63" s="2">
        <f>'[3]Shuttle America'!$GE$19</f>
        <v>0</v>
      </c>
      <c r="E63" s="58" t="e">
        <f t="shared" si="12"/>
        <v>#DIV/0!</v>
      </c>
      <c r="F63" s="2">
        <f>SUM('[3]Shuttle America'!$GP$19:$GS$19)</f>
        <v>0</v>
      </c>
      <c r="G63" s="2">
        <f>SUM('[3]Shuttle America'!$GB$19:$GE$19)</f>
        <v>0</v>
      </c>
      <c r="H63" s="3" t="e">
        <f t="shared" si="13"/>
        <v>#DIV/0!</v>
      </c>
      <c r="I63" s="58">
        <f t="shared" si="14"/>
        <v>0</v>
      </c>
      <c r="J63" s="31"/>
      <c r="K63" s="246" t="s">
        <v>132</v>
      </c>
      <c r="L63" s="244">
        <f>'[3]Shuttle America'!$GS$41</f>
        <v>0</v>
      </c>
      <c r="M63" s="2">
        <f>'[3]Shuttle America'!$GE$41</f>
        <v>0</v>
      </c>
      <c r="N63" s="58" t="e">
        <f t="shared" si="15"/>
        <v>#DIV/0!</v>
      </c>
      <c r="O63" s="244">
        <f>SUM('[3]Shuttle America'!$GP$41:$GS$41)</f>
        <v>0</v>
      </c>
      <c r="P63" s="2">
        <f>SUM('[3]Shuttle America'!$GB$41:$GE$41)</f>
        <v>0</v>
      </c>
      <c r="Q63" s="3" t="e">
        <f t="shared" si="16"/>
        <v>#DIV/0!</v>
      </c>
      <c r="R63" s="58">
        <f t="shared" si="17"/>
        <v>0</v>
      </c>
    </row>
    <row r="64" spans="1:18" ht="14.1" customHeight="1" thickBot="1" x14ac:dyDescent="0.25">
      <c r="A64" s="299"/>
      <c r="B64" s="300"/>
      <c r="C64" s="247"/>
      <c r="D64" s="249"/>
      <c r="E64" s="250"/>
      <c r="F64" s="249"/>
      <c r="G64" s="249"/>
      <c r="H64" s="248"/>
      <c r="I64" s="250"/>
      <c r="J64" s="299"/>
      <c r="K64" s="300"/>
      <c r="L64" s="247"/>
      <c r="M64" s="249"/>
      <c r="N64" s="250"/>
      <c r="O64" s="247"/>
      <c r="P64" s="249"/>
      <c r="Q64" s="248"/>
      <c r="R64" s="326"/>
    </row>
    <row r="65" spans="2:20" s="141" customFormat="1" ht="14.1" customHeight="1" thickBot="1" x14ac:dyDescent="0.25">
      <c r="B65" s="140"/>
      <c r="C65" s="115"/>
      <c r="D65" s="115"/>
      <c r="E65" s="242"/>
      <c r="F65" s="298"/>
      <c r="G65" s="115"/>
      <c r="H65" s="242"/>
      <c r="I65" s="242"/>
      <c r="J65" s="251"/>
      <c r="K65" s="140"/>
      <c r="L65" s="252"/>
      <c r="M65" s="253"/>
      <c r="N65" s="251"/>
      <c r="S65"/>
      <c r="T65"/>
    </row>
    <row r="66" spans="2:20" ht="14.1" customHeight="1" x14ac:dyDescent="0.2">
      <c r="B66" s="254" t="s">
        <v>134</v>
      </c>
      <c r="C66" s="307">
        <f>+C68-C67</f>
        <v>4479</v>
      </c>
      <c r="D66" s="307">
        <f>+D68-D67</f>
        <v>18471</v>
      </c>
      <c r="E66" s="308">
        <f>(C66-D66)/D66</f>
        <v>-0.75751177521520219</v>
      </c>
      <c r="F66" s="307">
        <f>+F68-F67</f>
        <v>53944</v>
      </c>
      <c r="G66" s="307">
        <f>+G68-G67</f>
        <v>71098</v>
      </c>
      <c r="H66" s="308">
        <f>(F66-G66)/G66</f>
        <v>-0.24127260963740191</v>
      </c>
      <c r="I66" s="348">
        <f>F66/$F$68</f>
        <v>0.58114280789451001</v>
      </c>
      <c r="K66" s="254" t="s">
        <v>134</v>
      </c>
      <c r="L66" s="307">
        <f>+L68-L67</f>
        <v>87707</v>
      </c>
      <c r="M66" s="307">
        <f>+M68-M67</f>
        <v>2420182</v>
      </c>
      <c r="N66" s="308">
        <f>(L66-M66)/M66</f>
        <v>-0.96376016349183657</v>
      </c>
      <c r="O66" s="307">
        <f>+O68-O67</f>
        <v>5895327</v>
      </c>
      <c r="P66" s="307">
        <f>+P68-P67</f>
        <v>9290890</v>
      </c>
      <c r="Q66" s="339">
        <f>(O66-P66)/P66</f>
        <v>-0.36547230674348746</v>
      </c>
      <c r="R66" s="343">
        <f>+O66/O68</f>
        <v>0.79251282939213941</v>
      </c>
    </row>
    <row r="67" spans="2:20" ht="14.1" customHeight="1" x14ac:dyDescent="0.2">
      <c r="B67" s="140" t="s">
        <v>135</v>
      </c>
      <c r="C67" s="309">
        <f>C63+C40+C38+C36+C35+C39+C22+C62+C59+C37+C58+C60+C27+C26+C23+C17+C8+C61+C24+C25+C9+C18</f>
        <v>4398</v>
      </c>
      <c r="D67" s="309">
        <f>D63+D40+D38+D36+D35+D39+D22+D62+D59+D37+D58+D60+D27+D26+D23+D17+D8+D61+D24+D25+D9+D18</f>
        <v>11657</v>
      </c>
      <c r="E67" s="255">
        <f>(C67-D67)/D67</f>
        <v>-0.62271596465642964</v>
      </c>
      <c r="F67" s="309">
        <f>F63+F40+F38+F36+F35+F39+F22+F62+F59+F37+F58+F60+F27+F26+F23+F17+F8+F61+F24+F25+F9+F18</f>
        <v>38880</v>
      </c>
      <c r="G67" s="309">
        <f>G63+G40+G38+G36+G35+G39+G22+G62+G59+G37+G58+G60+G27+G26+G23+G17+G8+G61+G24+G25+G9+G18</f>
        <v>45608</v>
      </c>
      <c r="H67" s="255">
        <f>(F67-G67)/G67</f>
        <v>-0.14751797930187685</v>
      </c>
      <c r="I67" s="349">
        <f>F67/$F$68</f>
        <v>0.41885719210548994</v>
      </c>
      <c r="K67" s="140" t="s">
        <v>135</v>
      </c>
      <c r="L67" s="309">
        <f>L63+L40+L38+L36+L35+L39+L22+L62+L59+L37+L58+L60+L27+L26+L23+L17+L8+L61+L24+L25+L9+L18</f>
        <v>37837</v>
      </c>
      <c r="M67" s="309">
        <f>M63+M40+M38+M36+M35+M39+M22+M62+M59+M37+M58+M60+M27+M26+M23+M17+M8+M61+M24+M25+M9+M18</f>
        <v>613293</v>
      </c>
      <c r="N67" s="255">
        <f>(L67-M67)/M67</f>
        <v>-0.93830518202555713</v>
      </c>
      <c r="O67" s="309">
        <f>O63+O40+O38+O36+O35+O39+O22+O62+O59+O37+O58+O60+O27+O26+O23+O17+O8+O61+O24+O25+O9+O18</f>
        <v>1543451</v>
      </c>
      <c r="P67" s="309">
        <f>P63+P40+P38+P36+P35+P39+P22+P62+P59+P37+P58+P60+P27+P26+P23+P17+P8+P61+P24+P25+P9+P18</f>
        <v>2353150</v>
      </c>
      <c r="Q67" s="337">
        <f>(O67-P67)/P67</f>
        <v>-0.34409153687610222</v>
      </c>
      <c r="R67" s="344">
        <f>+O67/O68</f>
        <v>0.20748717060786059</v>
      </c>
    </row>
    <row r="68" spans="2:20" ht="14.1" customHeight="1" thickBot="1" x14ac:dyDescent="0.25">
      <c r="B68" s="140" t="s">
        <v>136</v>
      </c>
      <c r="C68" s="310">
        <f>C56+C54+C50+C44+C42+C33+C20+C15+C6+C52+C31+C29+C11+C48+C13+C46+C4</f>
        <v>8877</v>
      </c>
      <c r="D68" s="310">
        <f>D56+D54+D50+D44+D42+D33+D20+D15+D6+D52+D31+D29+D11+D48+D13+D46+D4</f>
        <v>30128</v>
      </c>
      <c r="E68" s="311">
        <f>(C68-D68)/D68</f>
        <v>-0.7053571428571429</v>
      </c>
      <c r="F68" s="310">
        <f>F56+F54+F50+F44+F42+F33+F20+F15+F6+F52+F31+F29+F11+F48+F13+F46+F4</f>
        <v>92824</v>
      </c>
      <c r="G68" s="310">
        <f>G56+G54+G50+G44+G42+G33+G20+G15+G6+G52+G31+G29+G11+G48+G13+G46+G4</f>
        <v>116706</v>
      </c>
      <c r="H68" s="311">
        <f>(F68-G68)/G68</f>
        <v>-0.20463386629650576</v>
      </c>
      <c r="I68" s="350">
        <f>+H68/H68</f>
        <v>1</v>
      </c>
      <c r="K68" s="140" t="s">
        <v>136</v>
      </c>
      <c r="L68" s="310">
        <f>L56+L54+L50+L44+L42+L33+L20+L15+L6+L52+L31+L29+L11+L48+L13+L46+L4</f>
        <v>125544</v>
      </c>
      <c r="M68" s="310">
        <f>M56+M54+M50+M44+M42+M33+M20+M15+M6+M52+M31+M29+M11+M48+M13+M46+M4</f>
        <v>3033475</v>
      </c>
      <c r="N68" s="311">
        <f>(L68-M68)/M68</f>
        <v>-0.95861380100379923</v>
      </c>
      <c r="O68" s="310">
        <f>O56+O54+O50+O44+O42+O33+O20+O15+O6+O52+O31+O29+O11+O48+O13+O46+O4</f>
        <v>7438778</v>
      </c>
      <c r="P68" s="310">
        <f>P56+P54+P50+P44+P42+P33+P20+P15+P6+P52+P31+P29+P11+P48+P13+P46+P4</f>
        <v>11644040</v>
      </c>
      <c r="Q68" s="340">
        <f>(O68-P68)/P68</f>
        <v>-0.36115145602385429</v>
      </c>
      <c r="R68" s="345">
        <f>+O68/O68</f>
        <v>1</v>
      </c>
    </row>
    <row r="69" spans="2:20" x14ac:dyDescent="0.2">
      <c r="D69" s="3"/>
      <c r="F69" s="2"/>
      <c r="G69"/>
      <c r="H69"/>
      <c r="I69"/>
      <c r="J69"/>
      <c r="K69"/>
      <c r="M69"/>
      <c r="N69"/>
    </row>
    <row r="70" spans="2:20" x14ac:dyDescent="0.2">
      <c r="F70" s="2"/>
      <c r="H70"/>
      <c r="I70"/>
      <c r="J70"/>
      <c r="K70"/>
      <c r="N70"/>
      <c r="O70" s="2"/>
      <c r="P70" s="2"/>
    </row>
    <row r="71" spans="2:20" x14ac:dyDescent="0.2">
      <c r="F71" s="2"/>
      <c r="H71"/>
      <c r="I71"/>
      <c r="J71"/>
      <c r="K71"/>
      <c r="N71"/>
      <c r="O71" s="2"/>
      <c r="P71" s="2"/>
    </row>
    <row r="72" spans="2:20" x14ac:dyDescent="0.2">
      <c r="F72" s="2"/>
      <c r="H72"/>
      <c r="I72"/>
      <c r="J72"/>
      <c r="K72"/>
      <c r="N72"/>
      <c r="O72" s="2"/>
      <c r="P72" s="2"/>
    </row>
    <row r="73" spans="2:20" x14ac:dyDescent="0.2">
      <c r="D73" s="3"/>
      <c r="F73"/>
      <c r="G73"/>
      <c r="H73"/>
      <c r="I73"/>
      <c r="J73"/>
      <c r="K73"/>
      <c r="M73"/>
      <c r="N73"/>
    </row>
    <row r="74" spans="2:20" x14ac:dyDescent="0.2">
      <c r="D74" s="3"/>
      <c r="F74"/>
      <c r="G74"/>
      <c r="H74"/>
      <c r="I74"/>
      <c r="J74"/>
      <c r="K74"/>
      <c r="L74"/>
      <c r="M74"/>
      <c r="N74"/>
    </row>
    <row r="75" spans="2:20" x14ac:dyDescent="0.2">
      <c r="D75" s="3"/>
      <c r="F75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F140" s="142"/>
      <c r="K140"/>
    </row>
    <row r="141" spans="4:14" x14ac:dyDescent="0.2">
      <c r="F141" s="142"/>
      <c r="K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April 2020</oddHeader>
    <oddFooter>&amp;LPrinted on &amp;D&amp;RPage &amp;P of &amp;N</oddFooter>
  </headerFooter>
  <colBreaks count="1" manualBreakCount="1">
    <brk id="9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O9" sqref="O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9">
        <v>43922</v>
      </c>
      <c r="B1" s="429" t="s">
        <v>17</v>
      </c>
      <c r="C1" s="429" t="s">
        <v>18</v>
      </c>
      <c r="D1" s="429" t="s">
        <v>19</v>
      </c>
      <c r="E1" s="429" t="s">
        <v>156</v>
      </c>
      <c r="F1" s="306" t="s">
        <v>162</v>
      </c>
      <c r="G1" s="306" t="s">
        <v>157</v>
      </c>
      <c r="H1" s="430" t="s">
        <v>201</v>
      </c>
      <c r="I1" s="352" t="s">
        <v>194</v>
      </c>
      <c r="J1" s="306" t="s">
        <v>20</v>
      </c>
      <c r="K1" s="305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2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[3]American!$GS$22</f>
        <v>4827</v>
      </c>
      <c r="C4" s="12">
        <f>[3]Delta!$GS$22+[3]Delta!$GS$32</f>
        <v>31517</v>
      </c>
      <c r="D4" s="12">
        <f>[3]United!$GS$22</f>
        <v>478</v>
      </c>
      <c r="E4" s="12">
        <f>[3]Spirit!$GS$22</f>
        <v>1789</v>
      </c>
      <c r="F4" s="12">
        <f>[3]Condor!$GS$22</f>
        <v>0</v>
      </c>
      <c r="G4" s="12">
        <f>'[3]Air France'!$GS$22</f>
        <v>0</v>
      </c>
      <c r="H4" s="12">
        <f>'[3]Jet Blue'!$GS$22</f>
        <v>37</v>
      </c>
      <c r="I4" s="12">
        <f>[3]KLM!$GS$22+[3]KLM!$GS$32</f>
        <v>0</v>
      </c>
      <c r="J4" s="12">
        <f>'Other Major Airline Stats'!J5</f>
        <v>8557</v>
      </c>
      <c r="K4" s="373">
        <f>SUM(B4:J4)</f>
        <v>47205</v>
      </c>
    </row>
    <row r="5" spans="1:20" x14ac:dyDescent="0.2">
      <c r="A5" s="38" t="s">
        <v>31</v>
      </c>
      <c r="B5" s="7">
        <f>[3]American!$GS$23</f>
        <v>4292</v>
      </c>
      <c r="C5" s="7">
        <f>[3]Delta!$GS$23+[3]Delta!$GS$33</f>
        <v>27859</v>
      </c>
      <c r="D5" s="7">
        <f>[3]United!$GS$23</f>
        <v>505</v>
      </c>
      <c r="E5" s="7">
        <f>[3]Spirit!$GS$23</f>
        <v>1367</v>
      </c>
      <c r="F5" s="7">
        <f>[3]Condor!$GS$23</f>
        <v>0</v>
      </c>
      <c r="G5" s="7">
        <f>'[3]Air France'!$GS$23</f>
        <v>0</v>
      </c>
      <c r="H5" s="7">
        <f>'[3]Jet Blue'!$GS$23</f>
        <v>33</v>
      </c>
      <c r="I5" s="7">
        <f>[3]KLM!$GS$23+[3]KLM!$GS$33</f>
        <v>0</v>
      </c>
      <c r="J5" s="7">
        <f>'Other Major Airline Stats'!J6</f>
        <v>6446</v>
      </c>
      <c r="K5" s="374">
        <f>SUM(B5:J5)</f>
        <v>40502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9119</v>
      </c>
      <c r="C6" s="18">
        <f t="shared" si="0"/>
        <v>59376</v>
      </c>
      <c r="D6" s="18">
        <f t="shared" si="0"/>
        <v>983</v>
      </c>
      <c r="E6" s="18">
        <f t="shared" si="0"/>
        <v>3156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70</v>
      </c>
      <c r="I6" s="18">
        <f t="shared" si="1"/>
        <v>0</v>
      </c>
      <c r="J6" s="18">
        <f t="shared" si="0"/>
        <v>15003</v>
      </c>
      <c r="K6" s="375">
        <f>SUM(B6:J6)</f>
        <v>87707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3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3">
        <f>SUM(B8:J8)</f>
        <v>0</v>
      </c>
    </row>
    <row r="9" spans="1:20" x14ac:dyDescent="0.2">
      <c r="A9" s="38" t="s">
        <v>30</v>
      </c>
      <c r="B9" s="12">
        <f>[3]American!$GS$27</f>
        <v>792</v>
      </c>
      <c r="C9" s="12">
        <f>[3]Delta!$GS$27+[3]Delta!$GS$37</f>
        <v>7317</v>
      </c>
      <c r="D9" s="12">
        <f>[3]United!$GS$27</f>
        <v>223</v>
      </c>
      <c r="E9" s="12">
        <f>[3]Spirit!$GS$27</f>
        <v>42</v>
      </c>
      <c r="F9" s="12">
        <f>[3]Condor!$GS$27</f>
        <v>0</v>
      </c>
      <c r="G9" s="12">
        <f>'[3]Air France'!$GS$27</f>
        <v>0</v>
      </c>
      <c r="H9" s="12">
        <f>'[3]Jet Blue'!$GS$27</f>
        <v>9</v>
      </c>
      <c r="I9" s="12">
        <f>[3]KLM!$GS$27+[3]KLM!$GS$37</f>
        <v>0</v>
      </c>
      <c r="J9" s="12">
        <f>'Other Major Airline Stats'!J10</f>
        <v>1078</v>
      </c>
      <c r="K9" s="373">
        <f>SUM(B9:J9)</f>
        <v>9461</v>
      </c>
    </row>
    <row r="10" spans="1:20" x14ac:dyDescent="0.2">
      <c r="A10" s="38" t="s">
        <v>33</v>
      </c>
      <c r="B10" s="7">
        <f>[3]American!$GS$28</f>
        <v>757</v>
      </c>
      <c r="C10" s="7">
        <f>[3]Delta!$GS$28+[3]Delta!$GS$38</f>
        <v>7305</v>
      </c>
      <c r="D10" s="7">
        <f>[3]United!$GS$28</f>
        <v>229</v>
      </c>
      <c r="E10" s="7">
        <f>[3]Spirit!$GS$28</f>
        <v>43</v>
      </c>
      <c r="F10" s="7">
        <f>[3]Condor!$GS$28</f>
        <v>0</v>
      </c>
      <c r="G10" s="7">
        <f>'[3]Air France'!$GS$28</f>
        <v>0</v>
      </c>
      <c r="H10" s="7">
        <f>'[3]Jet Blue'!$GS$28</f>
        <v>14</v>
      </c>
      <c r="I10" s="7">
        <f>[3]KLM!$GS$28+[3]KLM!$GS$38</f>
        <v>0</v>
      </c>
      <c r="J10" s="7">
        <f>'Other Major Airline Stats'!J11</f>
        <v>1104</v>
      </c>
      <c r="K10" s="374">
        <f>SUM(B10:J10)</f>
        <v>9452</v>
      </c>
    </row>
    <row r="11" spans="1:20" ht="15.75" thickBot="1" x14ac:dyDescent="0.3">
      <c r="A11" s="39" t="s">
        <v>34</v>
      </c>
      <c r="B11" s="186">
        <f t="shared" ref="B11:J11" si="3">SUM(B9:B10)</f>
        <v>1549</v>
      </c>
      <c r="C11" s="186">
        <f t="shared" si="3"/>
        <v>14622</v>
      </c>
      <c r="D11" s="186">
        <f t="shared" si="3"/>
        <v>452</v>
      </c>
      <c r="E11" s="186">
        <f t="shared" si="3"/>
        <v>85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23</v>
      </c>
      <c r="I11" s="186">
        <f t="shared" si="4"/>
        <v>0</v>
      </c>
      <c r="J11" s="186">
        <f t="shared" si="3"/>
        <v>2182</v>
      </c>
      <c r="K11" s="376">
        <f>SUM(B11:J11)</f>
        <v>18913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7"/>
    </row>
    <row r="15" spans="1:20" x14ac:dyDescent="0.2">
      <c r="A15" s="38" t="s">
        <v>22</v>
      </c>
      <c r="B15" s="12">
        <f>[3]American!$GS$4</f>
        <v>184</v>
      </c>
      <c r="C15" s="12">
        <f>[3]Delta!$GS$4+[3]Delta!$GS$15</f>
        <v>1321</v>
      </c>
      <c r="D15" s="12">
        <f>[3]United!$GS$4</f>
        <v>36</v>
      </c>
      <c r="E15" s="12">
        <f>[3]Spirit!$GS$4</f>
        <v>67</v>
      </c>
      <c r="F15" s="12">
        <f>[3]Condor!$GS$4</f>
        <v>0</v>
      </c>
      <c r="G15" s="12">
        <f>'[3]Air France'!$GS$4</f>
        <v>0</v>
      </c>
      <c r="H15" s="12">
        <f>'[3]Jet Blue'!$GS$4</f>
        <v>9</v>
      </c>
      <c r="I15" s="12">
        <f>[3]KLM!$GS$4+[3]KLM!$GS$15</f>
        <v>0</v>
      </c>
      <c r="J15" s="12">
        <f>'Other Major Airline Stats'!J16</f>
        <v>578</v>
      </c>
      <c r="K15" s="373">
        <f>SUM(B15:J15)</f>
        <v>2195</v>
      </c>
    </row>
    <row r="16" spans="1:20" x14ac:dyDescent="0.2">
      <c r="A16" s="38" t="s">
        <v>23</v>
      </c>
      <c r="B16" s="7">
        <f>[3]American!$GS$5</f>
        <v>187</v>
      </c>
      <c r="C16" s="7">
        <f>[3]Delta!$GS$5+[3]Delta!$GS$16</f>
        <v>1332</v>
      </c>
      <c r="D16" s="7">
        <f>[3]United!$GS$5</f>
        <v>36</v>
      </c>
      <c r="E16" s="7">
        <f>[3]Spirit!$GS$5</f>
        <v>69</v>
      </c>
      <c r="F16" s="7">
        <f>[3]Condor!$GS$5</f>
        <v>0</v>
      </c>
      <c r="G16" s="7">
        <f>'[3]Air France'!$GS$5</f>
        <v>0</v>
      </c>
      <c r="H16" s="7">
        <f>'[3]Jet Blue'!$GS$5</f>
        <v>10</v>
      </c>
      <c r="I16" s="7">
        <f>[3]KLM!$GS$5+[3]KLM!$GS$16</f>
        <v>0</v>
      </c>
      <c r="J16" s="7">
        <f>'Other Major Airline Stats'!J17</f>
        <v>577</v>
      </c>
      <c r="K16" s="374">
        <f>SUM(B16:J16)</f>
        <v>2211</v>
      </c>
    </row>
    <row r="17" spans="1:11" x14ac:dyDescent="0.2">
      <c r="A17" s="38" t="s">
        <v>24</v>
      </c>
      <c r="B17" s="188">
        <f t="shared" ref="B17:J17" si="6">SUM(B15:B16)</f>
        <v>371</v>
      </c>
      <c r="C17" s="187">
        <f t="shared" si="6"/>
        <v>2653</v>
      </c>
      <c r="D17" s="187">
        <f t="shared" si="6"/>
        <v>72</v>
      </c>
      <c r="E17" s="187">
        <f t="shared" si="6"/>
        <v>136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19</v>
      </c>
      <c r="I17" s="187">
        <f t="shared" si="7"/>
        <v>0</v>
      </c>
      <c r="J17" s="187">
        <f t="shared" si="6"/>
        <v>1155</v>
      </c>
      <c r="K17" s="378">
        <f>SUM(B17:J17)</f>
        <v>4406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3"/>
    </row>
    <row r="19" spans="1:11" x14ac:dyDescent="0.2">
      <c r="A19" s="38" t="s">
        <v>25</v>
      </c>
      <c r="B19" s="12">
        <f>[3]American!$GS$8</f>
        <v>0</v>
      </c>
      <c r="C19" s="12">
        <f>[3]Delta!$GS$8</f>
        <v>0</v>
      </c>
      <c r="D19" s="12">
        <f>[3]United!$GS$8</f>
        <v>0</v>
      </c>
      <c r="E19" s="12">
        <f>[3]Spirit!$GS$8</f>
        <v>0</v>
      </c>
      <c r="F19" s="12">
        <f>[3]Condor!$GS$8</f>
        <v>0</v>
      </c>
      <c r="G19" s="12">
        <f>'[3]Air France'!$GS$8</f>
        <v>0</v>
      </c>
      <c r="H19" s="12">
        <f>'[3]Jet Blue'!$GS$8</f>
        <v>0</v>
      </c>
      <c r="I19" s="12">
        <f>[3]KLM!$GS$8</f>
        <v>0</v>
      </c>
      <c r="J19" s="12">
        <f>'Other Major Airline Stats'!J20</f>
        <v>36</v>
      </c>
      <c r="K19" s="373">
        <f>SUM(B19:J19)</f>
        <v>36</v>
      </c>
    </row>
    <row r="20" spans="1:11" x14ac:dyDescent="0.2">
      <c r="A20" s="38" t="s">
        <v>26</v>
      </c>
      <c r="B20" s="7">
        <f>[3]American!$GS$9</f>
        <v>0</v>
      </c>
      <c r="C20" s="7">
        <f>[3]Delta!$GS$9</f>
        <v>0</v>
      </c>
      <c r="D20" s="7">
        <f>[3]United!$GS$9</f>
        <v>0</v>
      </c>
      <c r="E20" s="7">
        <f>[3]Spirit!$GS$9</f>
        <v>0</v>
      </c>
      <c r="F20" s="7">
        <f>[3]Condor!$GS$9</f>
        <v>0</v>
      </c>
      <c r="G20" s="7">
        <f>'[3]Air France'!$GS$9</f>
        <v>0</v>
      </c>
      <c r="H20" s="7">
        <f>'[3]Jet Blue'!$GS$9</f>
        <v>0</v>
      </c>
      <c r="I20" s="7">
        <f>[3]KLM!$GS$9</f>
        <v>0</v>
      </c>
      <c r="J20" s="7">
        <f>'Other Major Airline Stats'!J21</f>
        <v>37</v>
      </c>
      <c r="K20" s="374">
        <f>SUM(B20:J20)</f>
        <v>37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0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0</v>
      </c>
      <c r="I21" s="187">
        <f t="shared" si="10"/>
        <v>0</v>
      </c>
      <c r="J21" s="187">
        <f t="shared" si="9"/>
        <v>73</v>
      </c>
      <c r="K21" s="379">
        <f>SUM(B21:J21)</f>
        <v>73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3"/>
    </row>
    <row r="23" spans="1:11" ht="15.75" thickBot="1" x14ac:dyDescent="0.3">
      <c r="A23" s="39" t="s">
        <v>28</v>
      </c>
      <c r="B23" s="16">
        <f t="shared" ref="B23:J23" si="12">B17+B21</f>
        <v>371</v>
      </c>
      <c r="C23" s="16">
        <f t="shared" si="12"/>
        <v>2653</v>
      </c>
      <c r="D23" s="16">
        <f t="shared" si="12"/>
        <v>72</v>
      </c>
      <c r="E23" s="16">
        <f>E17+E21</f>
        <v>136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19</v>
      </c>
      <c r="I23" s="16">
        <f t="shared" si="13"/>
        <v>0</v>
      </c>
      <c r="J23" s="16">
        <f t="shared" si="12"/>
        <v>1228</v>
      </c>
      <c r="K23" s="376">
        <f>SUM(B23:J23)</f>
        <v>4479</v>
      </c>
    </row>
    <row r="25" spans="1:11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0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[3]American!$GS$47</f>
        <v>41169</v>
      </c>
      <c r="C28" s="12">
        <f>[3]Delta!$GS$47</f>
        <v>447099</v>
      </c>
      <c r="D28" s="12">
        <f>[3]United!$GS$47</f>
        <v>4733</v>
      </c>
      <c r="E28" s="12">
        <f>[3]Spirit!$GS$47</f>
        <v>0</v>
      </c>
      <c r="F28" s="12">
        <f>[3]Condor!$GS$47</f>
        <v>0</v>
      </c>
      <c r="G28" s="12">
        <f>'[3]Air France'!$GS$47</f>
        <v>0</v>
      </c>
      <c r="H28" s="12">
        <f>'[3]Jet Blue'!$GS$47</f>
        <v>0</v>
      </c>
      <c r="I28" s="12">
        <f>[3]KLM!$GS$47</f>
        <v>0</v>
      </c>
      <c r="J28" s="12">
        <f>'Other Major Airline Stats'!J28</f>
        <v>241694</v>
      </c>
      <c r="K28" s="373">
        <f>SUM(B28:J28)</f>
        <v>734695</v>
      </c>
    </row>
    <row r="29" spans="1:11" x14ac:dyDescent="0.2">
      <c r="A29" s="38" t="s">
        <v>38</v>
      </c>
      <c r="B29" s="7">
        <f>[3]American!$GS$48</f>
        <v>71758</v>
      </c>
      <c r="C29" s="7">
        <f>[3]Delta!$GS$48</f>
        <v>468661</v>
      </c>
      <c r="D29" s="7">
        <f>[3]United!$GS$48</f>
        <v>1885</v>
      </c>
      <c r="E29" s="7">
        <f>[3]Spirit!$GS$48</f>
        <v>0</v>
      </c>
      <c r="F29" s="7">
        <f>[3]Condor!$GS$48</f>
        <v>0</v>
      </c>
      <c r="G29" s="7">
        <f>'[3]Air France'!$GS$48</f>
        <v>0</v>
      </c>
      <c r="H29" s="7">
        <f>'[3]Jet Blue'!$GS$48</f>
        <v>0</v>
      </c>
      <c r="I29" s="7">
        <f>[3]KLM!$GS$48</f>
        <v>0</v>
      </c>
      <c r="J29" s="7">
        <f>'Other Major Airline Stats'!J29</f>
        <v>35547</v>
      </c>
      <c r="K29" s="374">
        <f>SUM(B29:J29)</f>
        <v>577851</v>
      </c>
    </row>
    <row r="30" spans="1:11" x14ac:dyDescent="0.2">
      <c r="A30" s="42" t="s">
        <v>39</v>
      </c>
      <c r="B30" s="188">
        <f t="shared" ref="B30:J30" si="15">SUM(B28:B29)</f>
        <v>112927</v>
      </c>
      <c r="C30" s="188">
        <f t="shared" si="15"/>
        <v>915760</v>
      </c>
      <c r="D30" s="188">
        <f t="shared" si="15"/>
        <v>6618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0</v>
      </c>
      <c r="J30" s="188">
        <f t="shared" si="15"/>
        <v>277241</v>
      </c>
      <c r="K30" s="373">
        <f>SUM(B30:J30)</f>
        <v>1312546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3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3">
        <f t="shared" ref="K32:K40" si="18">SUM(B32:J32)</f>
        <v>0</v>
      </c>
    </row>
    <row r="33" spans="1:11" x14ac:dyDescent="0.2">
      <c r="A33" s="38" t="s">
        <v>37</v>
      </c>
      <c r="B33" s="12">
        <f>[3]American!$GS$52</f>
        <v>1441</v>
      </c>
      <c r="C33" s="12">
        <f>[3]Delta!$GS$52</f>
        <v>234809</v>
      </c>
      <c r="D33" s="12">
        <f>[3]United!$GS$52</f>
        <v>10982</v>
      </c>
      <c r="E33" s="12">
        <f>[3]Spirit!$GS$52</f>
        <v>0</v>
      </c>
      <c r="F33" s="12">
        <f>[3]Condor!$GS$52</f>
        <v>0</v>
      </c>
      <c r="G33" s="12">
        <f>'[3]Air France'!$GS$52</f>
        <v>0</v>
      </c>
      <c r="H33" s="12">
        <f>'[3]Jet Blue'!$GS$52</f>
        <v>0</v>
      </c>
      <c r="I33" s="12">
        <f>[3]KLM!$GS$52</f>
        <v>0</v>
      </c>
      <c r="J33" s="12">
        <f>'Other Major Airline Stats'!J33</f>
        <v>100619</v>
      </c>
      <c r="K33" s="373">
        <f t="shared" si="18"/>
        <v>347851</v>
      </c>
    </row>
    <row r="34" spans="1:11" x14ac:dyDescent="0.2">
      <c r="A34" s="38" t="s">
        <v>38</v>
      </c>
      <c r="B34" s="7">
        <f>[3]American!$GS$53</f>
        <v>55543</v>
      </c>
      <c r="C34" s="7">
        <f>[3]Delta!$GS$53</f>
        <v>419847</v>
      </c>
      <c r="D34" s="7">
        <f>[3]United!$GS$53</f>
        <v>973</v>
      </c>
      <c r="E34" s="7">
        <f>[3]Spirit!$GS$53</f>
        <v>0</v>
      </c>
      <c r="F34" s="7">
        <f>[3]Condor!$GS$53</f>
        <v>0</v>
      </c>
      <c r="G34" s="7">
        <f>'[3]Air France'!$GS$53</f>
        <v>0</v>
      </c>
      <c r="H34" s="7">
        <f>'[3]Jet Blue'!$GS$53</f>
        <v>0</v>
      </c>
      <c r="I34" s="7">
        <f>[3]KLM!$GS$53</f>
        <v>0</v>
      </c>
      <c r="J34" s="7">
        <f>'Other Major Airline Stats'!J34</f>
        <v>20689</v>
      </c>
      <c r="K34" s="374">
        <f t="shared" si="18"/>
        <v>497052</v>
      </c>
    </row>
    <row r="35" spans="1:11" x14ac:dyDescent="0.2">
      <c r="A35" s="42" t="s">
        <v>41</v>
      </c>
      <c r="B35" s="188">
        <f t="shared" ref="B35:J35" si="19">SUM(B33:B34)</f>
        <v>56984</v>
      </c>
      <c r="C35" s="188">
        <f t="shared" si="19"/>
        <v>654656</v>
      </c>
      <c r="D35" s="188">
        <f t="shared" si="19"/>
        <v>11955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0</v>
      </c>
      <c r="J35" s="188">
        <f t="shared" si="19"/>
        <v>121308</v>
      </c>
      <c r="K35" s="373">
        <f t="shared" si="18"/>
        <v>844903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3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3">
        <f t="shared" si="18"/>
        <v>0</v>
      </c>
    </row>
    <row r="38" spans="1:11" hidden="1" x14ac:dyDescent="0.2">
      <c r="A38" s="38" t="s">
        <v>37</v>
      </c>
      <c r="B38" s="12">
        <f>[3]American!$GS$57</f>
        <v>0</v>
      </c>
      <c r="C38" s="12">
        <f>[3]Delta!$GS$57</f>
        <v>0</v>
      </c>
      <c r="D38" s="12">
        <f>[3]United!$GS$57</f>
        <v>0</v>
      </c>
      <c r="E38" s="12">
        <f>[3]Spirit!$GS$57</f>
        <v>0</v>
      </c>
      <c r="F38" s="12">
        <f>[3]Condor!$GS$57</f>
        <v>0</v>
      </c>
      <c r="G38" s="12">
        <f>'[3]Air France'!$GS$57</f>
        <v>0</v>
      </c>
      <c r="H38" s="12">
        <f>'[3]Jet Blue'!$GS$57</f>
        <v>0</v>
      </c>
      <c r="I38" s="12">
        <f>[3]KLM!$GS$57</f>
        <v>0</v>
      </c>
      <c r="J38" s="12">
        <f>'Other Major Airline Stats'!J38</f>
        <v>0</v>
      </c>
      <c r="K38" s="373">
        <f t="shared" si="18"/>
        <v>0</v>
      </c>
    </row>
    <row r="39" spans="1:11" hidden="1" x14ac:dyDescent="0.2">
      <c r="A39" s="38" t="s">
        <v>38</v>
      </c>
      <c r="B39" s="7">
        <f>[3]American!$GS$58</f>
        <v>0</v>
      </c>
      <c r="C39" s="7">
        <f>[3]Delta!$GS$58</f>
        <v>0</v>
      </c>
      <c r="D39" s="7">
        <f>[3]United!$GS$58</f>
        <v>0</v>
      </c>
      <c r="E39" s="7">
        <f>[3]Spirit!$GS$58</f>
        <v>0</v>
      </c>
      <c r="F39" s="7">
        <f>[3]Condor!$GS$58</f>
        <v>0</v>
      </c>
      <c r="G39" s="7">
        <f>'[3]Air France'!$GS$58</f>
        <v>0</v>
      </c>
      <c r="H39" s="7">
        <f>'[3]Jet Blue'!$GS$58</f>
        <v>0</v>
      </c>
      <c r="I39" s="7">
        <f>[3]KLM!$GS$58</f>
        <v>0</v>
      </c>
      <c r="J39" s="7">
        <f>'Other Major Airline Stats'!J39</f>
        <v>0</v>
      </c>
      <c r="K39" s="374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3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3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3">
        <f>SUM(B42:J42)</f>
        <v>0</v>
      </c>
    </row>
    <row r="43" spans="1:11" x14ac:dyDescent="0.2">
      <c r="A43" s="38" t="s">
        <v>45</v>
      </c>
      <c r="B43" s="12">
        <f t="shared" ref="B43:J44" si="25">B28+B33+B38</f>
        <v>42610</v>
      </c>
      <c r="C43" s="12">
        <f t="shared" si="25"/>
        <v>681908</v>
      </c>
      <c r="D43" s="12">
        <f t="shared" si="25"/>
        <v>15715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342313</v>
      </c>
      <c r="K43" s="373">
        <f>SUM(B43:J43)</f>
        <v>1082546</v>
      </c>
    </row>
    <row r="44" spans="1:11" x14ac:dyDescent="0.2">
      <c r="A44" s="38" t="s">
        <v>38</v>
      </c>
      <c r="B44" s="7">
        <f t="shared" si="25"/>
        <v>127301</v>
      </c>
      <c r="C44" s="7">
        <f t="shared" si="25"/>
        <v>888508</v>
      </c>
      <c r="D44" s="7">
        <f t="shared" si="25"/>
        <v>2858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56236</v>
      </c>
      <c r="K44" s="373">
        <f>SUM(B44:J44)</f>
        <v>1074903</v>
      </c>
    </row>
    <row r="45" spans="1:11" ht="15.75" thickBot="1" x14ac:dyDescent="0.3">
      <c r="A45" s="39" t="s">
        <v>46</v>
      </c>
      <c r="B45" s="189">
        <f t="shared" ref="B45:J45" si="30">SUM(B43:B44)</f>
        <v>169911</v>
      </c>
      <c r="C45" s="189">
        <f t="shared" si="30"/>
        <v>1570416</v>
      </c>
      <c r="D45" s="189">
        <f t="shared" si="30"/>
        <v>18573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0</v>
      </c>
      <c r="J45" s="189">
        <f t="shared" si="30"/>
        <v>398549</v>
      </c>
      <c r="K45" s="381">
        <f>SUM(B45:J45)</f>
        <v>2157449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6" t="s">
        <v>122</v>
      </c>
      <c r="C47" s="212">
        <f>[3]Delta!$GS$70+[3]Delta!$GS$73</f>
        <v>12952</v>
      </c>
      <c r="D47" s="200"/>
      <c r="E47" s="200"/>
      <c r="F47" s="200"/>
      <c r="G47" s="200"/>
      <c r="H47" s="200"/>
      <c r="I47" s="200"/>
      <c r="J47" s="200"/>
      <c r="K47" s="201">
        <f>SUM(B47:J47)</f>
        <v>12952</v>
      </c>
    </row>
    <row r="48" spans="1:11" hidden="1" x14ac:dyDescent="0.2">
      <c r="A48" s="257" t="s">
        <v>123</v>
      </c>
      <c r="C48" s="212">
        <f>[3]Delta!$GS$71+[3]Delta!$GS$74</f>
        <v>14907</v>
      </c>
      <c r="D48" s="200"/>
      <c r="E48" s="200"/>
      <c r="F48" s="200"/>
      <c r="G48" s="200"/>
      <c r="H48" s="200"/>
      <c r="I48" s="200"/>
      <c r="J48" s="200"/>
      <c r="K48" s="201">
        <f>SUM(B48:J48)</f>
        <v>14907</v>
      </c>
    </row>
    <row r="49" spans="1:11" hidden="1" x14ac:dyDescent="0.2">
      <c r="A49" s="258" t="s">
        <v>124</v>
      </c>
      <c r="C49" s="213">
        <f>SUM(C47:C48)</f>
        <v>27859</v>
      </c>
      <c r="K49" s="201">
        <f>SUM(B49:J49)</f>
        <v>27859</v>
      </c>
    </row>
    <row r="50" spans="1:11" x14ac:dyDescent="0.2">
      <c r="A50" s="256" t="s">
        <v>122</v>
      </c>
      <c r="B50" s="266"/>
      <c r="C50" s="215">
        <f>[3]Delta!$GS$70+[3]Delta!$GS$73</f>
        <v>12952</v>
      </c>
      <c r="D50" s="266"/>
      <c r="E50" s="215">
        <f>[3]Spirit!$GS$70+[3]Spirit!$GS$73</f>
        <v>0</v>
      </c>
      <c r="F50" s="266"/>
      <c r="G50" s="266"/>
      <c r="H50" s="266"/>
      <c r="I50" s="266"/>
      <c r="J50" s="214">
        <f>'Other Major Airline Stats'!J48</f>
        <v>5012</v>
      </c>
      <c r="K50" s="204">
        <f>SUM(B50:J50)</f>
        <v>17964</v>
      </c>
    </row>
    <row r="51" spans="1:11" x14ac:dyDescent="0.2">
      <c r="A51" s="268" t="s">
        <v>123</v>
      </c>
      <c r="B51" s="266"/>
      <c r="C51" s="215">
        <f>[3]Delta!$GS$71+[3]Delta!$GS$74</f>
        <v>14907</v>
      </c>
      <c r="D51" s="266"/>
      <c r="E51" s="215">
        <f>[3]Spirit!$GS$71+[3]Spirit!$GS$74</f>
        <v>0</v>
      </c>
      <c r="F51" s="266"/>
      <c r="G51" s="266"/>
      <c r="H51" s="266"/>
      <c r="I51" s="266"/>
      <c r="J51" s="214">
        <f>+'Other Major Airline Stats'!J49</f>
        <v>17</v>
      </c>
      <c r="K51" s="204">
        <f>SUM(B51:J51)</f>
        <v>14924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E6" sqref="E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9">
        <v>43922</v>
      </c>
      <c r="B2" s="429" t="s">
        <v>47</v>
      </c>
      <c r="C2" s="431" t="s">
        <v>179</v>
      </c>
      <c r="D2" s="431" t="s">
        <v>211</v>
      </c>
      <c r="E2" s="431" t="s">
        <v>180</v>
      </c>
      <c r="F2" s="429" t="s">
        <v>48</v>
      </c>
      <c r="G2" s="431" t="s">
        <v>130</v>
      </c>
      <c r="H2" s="431" t="s">
        <v>49</v>
      </c>
      <c r="I2" s="431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2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3"/>
    </row>
    <row r="5" spans="1:13" x14ac:dyDescent="0.2">
      <c r="A5" s="38" t="s">
        <v>30</v>
      </c>
      <c r="B5" s="83">
        <f>[3]Frontier!$GS$22</f>
        <v>319</v>
      </c>
      <c r="C5" s="83">
        <f>'[3]Air Choice One'!$GS$22</f>
        <v>53</v>
      </c>
      <c r="D5" s="83">
        <f>'[3]Aer Lingus'!$GS$32</f>
        <v>0</v>
      </c>
      <c r="E5" s="83">
        <f>'[3]Boutique Air'!$GS$22</f>
        <v>31</v>
      </c>
      <c r="F5" s="83">
        <f>[3]Icelandair!$GS$32</f>
        <v>0</v>
      </c>
      <c r="G5" s="83">
        <f>[3]Southwest!$GS$22</f>
        <v>3041</v>
      </c>
      <c r="H5" s="83">
        <f>'[3]Sun Country'!$GS$22+'[3]Sun Country'!$GS$32</f>
        <v>4556</v>
      </c>
      <c r="I5" s="83">
        <f>[3]Alaska!$GS$22</f>
        <v>557</v>
      </c>
      <c r="J5" s="384">
        <f>SUM(B5:I5)</f>
        <v>8557</v>
      </c>
      <c r="M5" s="83"/>
    </row>
    <row r="6" spans="1:13" x14ac:dyDescent="0.2">
      <c r="A6" s="38" t="s">
        <v>31</v>
      </c>
      <c r="B6" s="83">
        <f>[3]Frontier!$GS$23</f>
        <v>592</v>
      </c>
      <c r="C6" s="83">
        <f>'[3]Air Choice One'!$GS$23</f>
        <v>49</v>
      </c>
      <c r="D6" s="83">
        <f>'[3]Aer Lingus'!$GS$33</f>
        <v>0</v>
      </c>
      <c r="E6" s="83">
        <f>'[3]Boutique Air'!$GS$23</f>
        <v>35</v>
      </c>
      <c r="F6" s="83">
        <f>[3]Icelandair!$GS$33</f>
        <v>0</v>
      </c>
      <c r="G6" s="83">
        <f>[3]Southwest!$GS$23</f>
        <v>2185</v>
      </c>
      <c r="H6" s="83">
        <f>'[3]Sun Country'!$GS$23+'[3]Sun Country'!$GS$33</f>
        <v>2844</v>
      </c>
      <c r="I6" s="83">
        <f>[3]Alaska!$GS$23</f>
        <v>741</v>
      </c>
      <c r="J6" s="384">
        <f>SUM(B6:I6)</f>
        <v>6446</v>
      </c>
    </row>
    <row r="7" spans="1:13" ht="15" x14ac:dyDescent="0.25">
      <c r="A7" s="36" t="s">
        <v>7</v>
      </c>
      <c r="B7" s="101">
        <f t="shared" ref="B7:I7" si="0">SUM(B5:B6)</f>
        <v>911</v>
      </c>
      <c r="C7" s="101">
        <f t="shared" ref="C7:E7" si="1">SUM(C5:C6)</f>
        <v>102</v>
      </c>
      <c r="D7" s="101">
        <f t="shared" si="1"/>
        <v>0</v>
      </c>
      <c r="E7" s="101">
        <f t="shared" si="1"/>
        <v>66</v>
      </c>
      <c r="F7" s="101">
        <f t="shared" si="0"/>
        <v>0</v>
      </c>
      <c r="G7" s="101">
        <f t="shared" si="0"/>
        <v>5226</v>
      </c>
      <c r="H7" s="101">
        <f>SUM(H5:H6)</f>
        <v>7400</v>
      </c>
      <c r="I7" s="101">
        <f t="shared" si="0"/>
        <v>1298</v>
      </c>
      <c r="J7" s="385">
        <f>SUM(B7:I7)</f>
        <v>15003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4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4"/>
    </row>
    <row r="10" spans="1:13" x14ac:dyDescent="0.2">
      <c r="A10" s="38" t="s">
        <v>30</v>
      </c>
      <c r="B10" s="100">
        <f>[3]Frontier!$GS$27</f>
        <v>13</v>
      </c>
      <c r="C10" s="100">
        <f>'[3]Air Choice One'!$GS$27</f>
        <v>0</v>
      </c>
      <c r="D10" s="100">
        <f>'[3]Aer Lingus'!$GS$37</f>
        <v>0</v>
      </c>
      <c r="E10" s="100">
        <f>'[3]Boutique Air'!$GS$27</f>
        <v>0</v>
      </c>
      <c r="F10" s="100">
        <f>[3]Icelandair!$GS$37</f>
        <v>0</v>
      </c>
      <c r="G10" s="100">
        <f>[3]Southwest!$GS$27</f>
        <v>852</v>
      </c>
      <c r="H10" s="100">
        <f>'[3]Sun Country'!$GS$27+'[3]Sun Country'!$GS$37</f>
        <v>129</v>
      </c>
      <c r="I10" s="100">
        <f>[3]Alaska!$GS$27</f>
        <v>84</v>
      </c>
      <c r="J10" s="384">
        <f>SUM(B10:I10)</f>
        <v>1078</v>
      </c>
    </row>
    <row r="11" spans="1:13" x14ac:dyDescent="0.2">
      <c r="A11" s="38" t="s">
        <v>33</v>
      </c>
      <c r="B11" s="102">
        <f>[3]Frontier!$GS$28</f>
        <v>17</v>
      </c>
      <c r="C11" s="102">
        <f>'[3]Air Choice One'!$GS$28</f>
        <v>0</v>
      </c>
      <c r="D11" s="102">
        <f>'[3]Aer Lingus'!$GS$38</f>
        <v>0</v>
      </c>
      <c r="E11" s="102">
        <f>'[3]Boutique Air'!$GS$28</f>
        <v>0</v>
      </c>
      <c r="F11" s="102">
        <f>[3]Icelandair!$GS$38</f>
        <v>0</v>
      </c>
      <c r="G11" s="102">
        <f>[3]Southwest!$GS$28</f>
        <v>882</v>
      </c>
      <c r="H11" s="102">
        <f>'[3]Sun Country'!$GS$28+'[3]Sun Country'!$GS$38</f>
        <v>119</v>
      </c>
      <c r="I11" s="102">
        <f>[3]Alaska!$GS$28</f>
        <v>86</v>
      </c>
      <c r="J11" s="384">
        <f>SUM(B11:I11)</f>
        <v>1104</v>
      </c>
    </row>
    <row r="12" spans="1:13" ht="15.75" thickBot="1" x14ac:dyDescent="0.3">
      <c r="A12" s="39" t="s">
        <v>34</v>
      </c>
      <c r="B12" s="99">
        <f t="shared" ref="B12:I12" si="2">SUM(B10:B11)</f>
        <v>30</v>
      </c>
      <c r="C12" s="99">
        <f t="shared" ref="C12:E12" si="3">SUM(C10:C11)</f>
        <v>0</v>
      </c>
      <c r="D12" s="99">
        <f t="shared" si="3"/>
        <v>0</v>
      </c>
      <c r="E12" s="99">
        <f t="shared" si="3"/>
        <v>0</v>
      </c>
      <c r="F12" s="99">
        <f t="shared" si="2"/>
        <v>0</v>
      </c>
      <c r="G12" s="99">
        <f t="shared" si="2"/>
        <v>1734</v>
      </c>
      <c r="H12" s="99">
        <f>SUM(H10:H11)</f>
        <v>248</v>
      </c>
      <c r="I12" s="99">
        <f t="shared" si="2"/>
        <v>170</v>
      </c>
      <c r="J12" s="386">
        <f>SUM(B12:I12)</f>
        <v>2182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87"/>
    </row>
    <row r="16" spans="1:13" x14ac:dyDescent="0.2">
      <c r="A16" s="38" t="s">
        <v>22</v>
      </c>
      <c r="B16" s="83">
        <f>[3]Frontier!$GS$4</f>
        <v>14</v>
      </c>
      <c r="C16" s="76">
        <f>'[3]Air Choice One'!$GS$4</f>
        <v>93</v>
      </c>
      <c r="D16" s="83">
        <f>'[3]Aer Lingus'!$GS$15</f>
        <v>0</v>
      </c>
      <c r="E16" s="76">
        <f>'[3]Boutique Air'!$GS$4</f>
        <v>70</v>
      </c>
      <c r="F16" s="83">
        <f>[3]Icelandair!$GS$15</f>
        <v>0</v>
      </c>
      <c r="G16" s="76">
        <f>[3]Southwest!$GS$4</f>
        <v>271</v>
      </c>
      <c r="H16" s="83">
        <f>'[3]Sun Country'!$GS$4+'[3]Sun Country'!$GS$15</f>
        <v>84</v>
      </c>
      <c r="I16" s="83">
        <f>[3]Alaska!$GS$4</f>
        <v>46</v>
      </c>
      <c r="J16" s="384">
        <f>SUM(B16:I16)</f>
        <v>578</v>
      </c>
    </row>
    <row r="17" spans="1:257" x14ac:dyDescent="0.2">
      <c r="A17" s="38" t="s">
        <v>23</v>
      </c>
      <c r="B17" s="83">
        <f>[3]Frontier!$GS$5</f>
        <v>14</v>
      </c>
      <c r="C17" s="76">
        <f>'[3]Air Choice One'!$GS$5</f>
        <v>93</v>
      </c>
      <c r="D17" s="83">
        <f>'[3]Aer Lingus'!$GS$16</f>
        <v>0</v>
      </c>
      <c r="E17" s="76">
        <f>'[3]Boutique Air'!$GS$5</f>
        <v>70</v>
      </c>
      <c r="F17" s="83">
        <f>[3]Icelandair!$GS$16</f>
        <v>0</v>
      </c>
      <c r="G17" s="76">
        <f>[3]Southwest!$GS$5</f>
        <v>269</v>
      </c>
      <c r="H17" s="83">
        <f>'[3]Sun Country'!$GS$5+'[3]Sun Country'!$GS$16</f>
        <v>84</v>
      </c>
      <c r="I17" s="83">
        <f>[3]Alaska!$GS$5</f>
        <v>47</v>
      </c>
      <c r="J17" s="384">
        <f>SUM(B17:I17)</f>
        <v>577</v>
      </c>
    </row>
    <row r="18" spans="1:257" x14ac:dyDescent="0.2">
      <c r="A18" s="42" t="s">
        <v>24</v>
      </c>
      <c r="B18" s="98">
        <f t="shared" ref="B18:I18" si="4">SUM(B16:B17)</f>
        <v>28</v>
      </c>
      <c r="C18" s="98">
        <f t="shared" ref="C18:E18" si="5">SUM(C16:C17)</f>
        <v>186</v>
      </c>
      <c r="D18" s="98">
        <f t="shared" si="5"/>
        <v>0</v>
      </c>
      <c r="E18" s="98">
        <f t="shared" si="5"/>
        <v>140</v>
      </c>
      <c r="F18" s="98">
        <f t="shared" si="4"/>
        <v>0</v>
      </c>
      <c r="G18" s="98">
        <f t="shared" si="4"/>
        <v>540</v>
      </c>
      <c r="H18" s="98">
        <f t="shared" si="4"/>
        <v>168</v>
      </c>
      <c r="I18" s="98">
        <f t="shared" si="4"/>
        <v>93</v>
      </c>
      <c r="J18" s="388">
        <f>SUM(B18:I18)</f>
        <v>1155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4"/>
    </row>
    <row r="20" spans="1:257" x14ac:dyDescent="0.2">
      <c r="A20" s="38" t="s">
        <v>25</v>
      </c>
      <c r="B20" s="83">
        <f>[3]Frontier!$GS$8</f>
        <v>0</v>
      </c>
      <c r="C20" s="83">
        <f>'[3]Air Choice One'!$GS$8</f>
        <v>0</v>
      </c>
      <c r="D20" s="83">
        <f>'[3]Aer Lingus'!$GS$8</f>
        <v>0</v>
      </c>
      <c r="E20" s="83">
        <f>'[3]Boutique Air'!$GS$8</f>
        <v>0</v>
      </c>
      <c r="F20" s="83">
        <f>[3]Icelandair!$GS$8</f>
        <v>0</v>
      </c>
      <c r="G20" s="83">
        <f>[3]Southwest!$GS$8</f>
        <v>0</v>
      </c>
      <c r="H20" s="83">
        <f>'[3]Sun Country'!$GS$8</f>
        <v>36</v>
      </c>
      <c r="I20" s="83">
        <f>[3]Alaska!$GS$8</f>
        <v>0</v>
      </c>
      <c r="J20" s="384">
        <f>SUM(B20:I20)</f>
        <v>36</v>
      </c>
    </row>
    <row r="21" spans="1:257" x14ac:dyDescent="0.2">
      <c r="A21" s="38" t="s">
        <v>26</v>
      </c>
      <c r="B21" s="83">
        <f>[3]Frontier!$GS$9</f>
        <v>0</v>
      </c>
      <c r="C21" s="83">
        <f>'[3]Air Choice One'!$GS$9</f>
        <v>0</v>
      </c>
      <c r="D21" s="83">
        <f>'[3]Aer Lingus'!$GS$9</f>
        <v>0</v>
      </c>
      <c r="E21" s="83">
        <f>'[3]Boutique Air'!$GS$9</f>
        <v>0</v>
      </c>
      <c r="F21" s="83">
        <f>[3]Icelandair!$GS$9</f>
        <v>0</v>
      </c>
      <c r="G21" s="83">
        <f>[3]Southwest!$GS$9</f>
        <v>0</v>
      </c>
      <c r="H21" s="83">
        <f>'[3]Sun Country'!$GS$9</f>
        <v>37</v>
      </c>
      <c r="I21" s="83">
        <f>[3]Alaska!$GS$9</f>
        <v>0</v>
      </c>
      <c r="J21" s="384">
        <f>SUM(B21:I21)</f>
        <v>37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73</v>
      </c>
      <c r="I22" s="98">
        <f t="shared" si="6"/>
        <v>0</v>
      </c>
      <c r="J22" s="388">
        <f>SUM(B22:I22)</f>
        <v>73</v>
      </c>
    </row>
    <row r="23" spans="1:257" ht="15.75" thickBot="1" x14ac:dyDescent="0.3">
      <c r="A23" s="39" t="s">
        <v>28</v>
      </c>
      <c r="B23" s="99">
        <f t="shared" ref="B23:I23" si="8">B22+B18</f>
        <v>28</v>
      </c>
      <c r="C23" s="99">
        <f t="shared" ref="C23:E23" si="9">C22+C18</f>
        <v>186</v>
      </c>
      <c r="D23" s="99">
        <f t="shared" si="9"/>
        <v>0</v>
      </c>
      <c r="E23" s="99">
        <f t="shared" si="9"/>
        <v>140</v>
      </c>
      <c r="F23" s="99">
        <f t="shared" si="8"/>
        <v>0</v>
      </c>
      <c r="G23" s="99">
        <f t="shared" si="8"/>
        <v>540</v>
      </c>
      <c r="H23" s="99">
        <f t="shared" si="8"/>
        <v>241</v>
      </c>
      <c r="I23" s="99">
        <f t="shared" si="8"/>
        <v>93</v>
      </c>
      <c r="J23" s="389">
        <f>SUM(B23:I23)</f>
        <v>1228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103"/>
      <c r="F26" s="103"/>
      <c r="G26" s="103"/>
      <c r="H26" s="103"/>
      <c r="I26" s="103"/>
      <c r="J26" s="390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3"/>
    </row>
    <row r="28" spans="1:257" x14ac:dyDescent="0.2">
      <c r="A28" s="38" t="s">
        <v>37</v>
      </c>
      <c r="B28" s="83">
        <f>[3]Frontier!$GS$47</f>
        <v>0</v>
      </c>
      <c r="C28" s="83">
        <f>'[3]Air Choice One'!$GS$47</f>
        <v>0</v>
      </c>
      <c r="D28" s="83">
        <f>'[3]Aer Lingus'!$GS$47</f>
        <v>0</v>
      </c>
      <c r="E28" s="83">
        <f>'[3]Boutique Air'!$GS$47</f>
        <v>0</v>
      </c>
      <c r="F28" s="83">
        <f>[3]Icelandair!$GS$47</f>
        <v>0</v>
      </c>
      <c r="G28" s="83">
        <f>[3]Southwest!$GS$47</f>
        <v>223435</v>
      </c>
      <c r="H28" s="83">
        <f>'[3]Sun Country'!$GS$47</f>
        <v>712</v>
      </c>
      <c r="I28" s="83">
        <f>[3]Alaska!$GS$47</f>
        <v>17547</v>
      </c>
      <c r="J28" s="384">
        <f>SUM(B28:I28)</f>
        <v>241694</v>
      </c>
    </row>
    <row r="29" spans="1:257" x14ac:dyDescent="0.2">
      <c r="A29" s="38" t="s">
        <v>38</v>
      </c>
      <c r="B29" s="83">
        <f>[3]Frontier!$GS$48</f>
        <v>0</v>
      </c>
      <c r="C29" s="83">
        <f>'[3]Air Choice One'!$GS$48</f>
        <v>0</v>
      </c>
      <c r="D29" s="83">
        <f>'[3]Aer Lingus'!$GS$48</f>
        <v>0</v>
      </c>
      <c r="E29" s="83">
        <f>'[3]Boutique Air'!$GS$48</f>
        <v>0</v>
      </c>
      <c r="F29" s="83">
        <f>[3]Icelandair!$GS$48</f>
        <v>0</v>
      </c>
      <c r="G29" s="83">
        <f>[3]Southwest!$GS$48</f>
        <v>0</v>
      </c>
      <c r="H29" s="83">
        <f>'[3]Sun Country'!$GS$48</f>
        <v>35216</v>
      </c>
      <c r="I29" s="83">
        <f>[3]Alaska!$GS$48</f>
        <v>331</v>
      </c>
      <c r="J29" s="384">
        <f>SUM(B29:I29)</f>
        <v>35547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0</v>
      </c>
      <c r="E30" s="105">
        <f t="shared" si="11"/>
        <v>0</v>
      </c>
      <c r="F30" s="105">
        <f t="shared" si="10"/>
        <v>0</v>
      </c>
      <c r="G30" s="105">
        <f t="shared" si="10"/>
        <v>223435</v>
      </c>
      <c r="H30" s="105">
        <f t="shared" si="10"/>
        <v>35928</v>
      </c>
      <c r="I30" s="105">
        <f t="shared" si="10"/>
        <v>17878</v>
      </c>
      <c r="J30" s="391">
        <f>SUM(B30:I30)</f>
        <v>277241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4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4"/>
    </row>
    <row r="33" spans="1:10" x14ac:dyDescent="0.2">
      <c r="A33" s="38" t="s">
        <v>37</v>
      </c>
      <c r="B33" s="83">
        <f>[3]Frontier!$GS$52</f>
        <v>0</v>
      </c>
      <c r="C33" s="83">
        <f>'[3]Air Choice One'!$GS$52</f>
        <v>0</v>
      </c>
      <c r="D33" s="83">
        <f>'[3]Aer Lingus'!$GS$52</f>
        <v>0</v>
      </c>
      <c r="E33" s="83">
        <f>'[3]Boutique Air'!$GS$52</f>
        <v>0</v>
      </c>
      <c r="F33" s="83">
        <f>[3]Icelandair!$GS$52</f>
        <v>0</v>
      </c>
      <c r="G33" s="83">
        <f>[3]Southwest!$GS$52</f>
        <v>97961</v>
      </c>
      <c r="H33" s="83">
        <f>'[3]Sun Country'!$GS$52</f>
        <v>0</v>
      </c>
      <c r="I33" s="83">
        <f>[3]Alaska!$GS$52</f>
        <v>2658</v>
      </c>
      <c r="J33" s="384">
        <f>SUM(B33:I33)</f>
        <v>100619</v>
      </c>
    </row>
    <row r="34" spans="1:10" x14ac:dyDescent="0.2">
      <c r="A34" s="38" t="s">
        <v>38</v>
      </c>
      <c r="B34" s="83">
        <f>[3]Frontier!$GS$53</f>
        <v>0</v>
      </c>
      <c r="C34" s="83">
        <f>'[3]Air Choice One'!$GS$53</f>
        <v>0</v>
      </c>
      <c r="D34" s="83">
        <f>'[3]Aer Lingus'!$GS$53</f>
        <v>0</v>
      </c>
      <c r="E34" s="83">
        <f>'[3]Boutique Air'!$GS$53</f>
        <v>0</v>
      </c>
      <c r="F34" s="83">
        <f>[3]Icelandair!$GS$53</f>
        <v>0</v>
      </c>
      <c r="G34" s="83">
        <f>[3]Southwest!$GS$53</f>
        <v>0</v>
      </c>
      <c r="H34" s="83">
        <f>'[3]Sun Country'!$GS$53</f>
        <v>20514</v>
      </c>
      <c r="I34" s="83">
        <f>[3]Alaska!$GS$53</f>
        <v>175</v>
      </c>
      <c r="J34" s="392">
        <f>SUM(B34:I34)</f>
        <v>20689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0</v>
      </c>
      <c r="E35" s="98">
        <f t="shared" si="13"/>
        <v>0</v>
      </c>
      <c r="F35" s="98">
        <f t="shared" si="12"/>
        <v>0</v>
      </c>
      <c r="G35" s="98">
        <f t="shared" si="12"/>
        <v>97961</v>
      </c>
      <c r="H35" s="98">
        <f t="shared" si="12"/>
        <v>20514</v>
      </c>
      <c r="I35" s="98">
        <f t="shared" si="12"/>
        <v>2833</v>
      </c>
      <c r="J35" s="391">
        <f>SUM(B35:I35)</f>
        <v>121308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4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4"/>
    </row>
    <row r="38" spans="1:10" hidden="1" x14ac:dyDescent="0.2">
      <c r="A38" s="38" t="s">
        <v>37</v>
      </c>
      <c r="B38" s="100">
        <f>[3]Frontier!$GS$57</f>
        <v>0</v>
      </c>
      <c r="C38" s="100">
        <f>'[3]Air Choice One'!$GS$57</f>
        <v>0</v>
      </c>
      <c r="D38" s="100">
        <f>'[3]Aer Lingus'!$GS$57</f>
        <v>0</v>
      </c>
      <c r="E38" s="100">
        <f>'[3]Boutique Air'!$GS$57</f>
        <v>0</v>
      </c>
      <c r="F38" s="100">
        <f>[3]Icelandair!$GS$57</f>
        <v>0</v>
      </c>
      <c r="G38" s="100">
        <f>[3]Southwest!$GS$57</f>
        <v>0</v>
      </c>
      <c r="H38" s="100">
        <f>'[3]Sun Country'!$GS$57</f>
        <v>0</v>
      </c>
      <c r="I38" s="100">
        <f>[3]Alaska!$GS$57</f>
        <v>0</v>
      </c>
      <c r="J38" s="384">
        <f>SUM(B38:H38)</f>
        <v>0</v>
      </c>
    </row>
    <row r="39" spans="1:10" hidden="1" x14ac:dyDescent="0.2">
      <c r="A39" s="38" t="s">
        <v>38</v>
      </c>
      <c r="B39" s="102">
        <f>[3]Frontier!$GS$58</f>
        <v>0</v>
      </c>
      <c r="C39" s="102">
        <f>'[3]Air Choice One'!$GS$58</f>
        <v>0</v>
      </c>
      <c r="D39" s="102">
        <f>'[3]Aer Lingus'!$GS$58</f>
        <v>0</v>
      </c>
      <c r="E39" s="102">
        <f>'[3]Boutique Air'!$GS$58</f>
        <v>0</v>
      </c>
      <c r="F39" s="102">
        <f>[3]Icelandair!$GS$58</f>
        <v>0</v>
      </c>
      <c r="G39" s="102">
        <f>[3]Southwest!$GS$58</f>
        <v>0</v>
      </c>
      <c r="H39" s="102">
        <f>'[3]Sun Country'!$GS$58</f>
        <v>0</v>
      </c>
      <c r="I39" s="102">
        <f>[3]Alaska!$GS$58</f>
        <v>0</v>
      </c>
      <c r="J39" s="392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4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4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4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0</v>
      </c>
      <c r="E43" s="100">
        <f t="shared" si="17"/>
        <v>0</v>
      </c>
      <c r="F43" s="100">
        <f t="shared" si="16"/>
        <v>0</v>
      </c>
      <c r="G43" s="100">
        <f t="shared" si="16"/>
        <v>321396</v>
      </c>
      <c r="H43" s="100">
        <f t="shared" si="16"/>
        <v>712</v>
      </c>
      <c r="I43" s="100">
        <f t="shared" si="16"/>
        <v>20205</v>
      </c>
      <c r="J43" s="384">
        <f>SUM(B43:I43)</f>
        <v>342313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55730</v>
      </c>
      <c r="I44" s="102">
        <f t="shared" si="18"/>
        <v>506</v>
      </c>
      <c r="J44" s="384">
        <f>SUM(B44:I44)</f>
        <v>56236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0</v>
      </c>
      <c r="E45" s="107">
        <f t="shared" si="21"/>
        <v>0</v>
      </c>
      <c r="F45" s="107">
        <f t="shared" si="20"/>
        <v>0</v>
      </c>
      <c r="G45" s="107">
        <f t="shared" si="20"/>
        <v>321396</v>
      </c>
      <c r="H45" s="107">
        <f t="shared" si="20"/>
        <v>56442</v>
      </c>
      <c r="I45" s="107">
        <f t="shared" si="20"/>
        <v>20711</v>
      </c>
      <c r="J45" s="393">
        <f>SUM(B45:I45)</f>
        <v>398549</v>
      </c>
    </row>
    <row r="48" spans="1:10" x14ac:dyDescent="0.2">
      <c r="A48" s="256" t="s">
        <v>122</v>
      </c>
      <c r="B48" s="266"/>
      <c r="C48" s="266"/>
      <c r="D48" s="266"/>
      <c r="E48" s="266"/>
      <c r="G48" s="215">
        <f>[3]Southwest!$GS$70+[3]Southwest!$GS$73</f>
        <v>2168</v>
      </c>
      <c r="H48" s="215">
        <f>'[3]Sun Country'!$GS$70+'[3]Sun Country'!$GS$73</f>
        <v>2844</v>
      </c>
      <c r="I48" s="266"/>
      <c r="J48" s="204">
        <f>SUM(B48:I48)</f>
        <v>5012</v>
      </c>
    </row>
    <row r="49" spans="1:10" x14ac:dyDescent="0.2">
      <c r="A49" s="268" t="s">
        <v>123</v>
      </c>
      <c r="B49" s="266"/>
      <c r="C49" s="266"/>
      <c r="D49" s="266"/>
      <c r="E49" s="266"/>
      <c r="G49" s="215">
        <f>[3]Southwest!$GS$71+[3]Southwest!$GS$74</f>
        <v>17</v>
      </c>
      <c r="H49" s="215">
        <f>'[3]Sun Country'!$GS$71+'[3]Sun Country'!$GS$74</f>
        <v>0</v>
      </c>
      <c r="I49" s="266"/>
      <c r="J49" s="204">
        <f>SUM(B49:I49)</f>
        <v>17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April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D6" sqref="D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4"/>
    </row>
    <row r="2" spans="1:13" ht="51.75" thickBot="1" x14ac:dyDescent="0.25">
      <c r="A2" s="259">
        <v>43922</v>
      </c>
      <c r="B2" s="432" t="s">
        <v>158</v>
      </c>
      <c r="C2" s="432" t="s">
        <v>161</v>
      </c>
      <c r="D2" s="432" t="s">
        <v>169</v>
      </c>
      <c r="E2" s="432" t="s">
        <v>168</v>
      </c>
      <c r="F2" s="432" t="s">
        <v>170</v>
      </c>
      <c r="G2" s="432" t="s">
        <v>198</v>
      </c>
      <c r="H2" s="432" t="s">
        <v>174</v>
      </c>
      <c r="I2" s="432" t="s">
        <v>181</v>
      </c>
      <c r="J2" s="432" t="s">
        <v>196</v>
      </c>
      <c r="K2" s="432" t="s">
        <v>173</v>
      </c>
      <c r="L2" s="304" t="s">
        <v>116</v>
      </c>
      <c r="M2" s="400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4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5"/>
    </row>
    <row r="5" spans="1:13" x14ac:dyDescent="0.2">
      <c r="A5" s="38" t="s">
        <v>30</v>
      </c>
      <c r="B5" s="78">
        <f>[3]Pinnacle!$GS$22+[3]Pinnacle!$GS$32</f>
        <v>2683</v>
      </c>
      <c r="C5" s="78">
        <f>[3]MESA_UA!$GS$22</f>
        <v>421</v>
      </c>
      <c r="D5" s="83">
        <f>'[3]Sky West'!$GS$22+'[3]Sky West'!$GS$32</f>
        <v>15622</v>
      </c>
      <c r="E5" s="83">
        <f>'[3]Sky West_UA'!$GS$22</f>
        <v>445</v>
      </c>
      <c r="F5" s="83">
        <f>'[3]Sky West_AS'!$GS$22</f>
        <v>0</v>
      </c>
      <c r="G5" s="83">
        <f>'[3]Sky West_AA'!$GS$22</f>
        <v>0</v>
      </c>
      <c r="H5" s="83">
        <f>[3]Republic!$GS$22</f>
        <v>360</v>
      </c>
      <c r="I5" s="83">
        <f>[3]Republic_UA!$GS$22</f>
        <v>490</v>
      </c>
      <c r="J5" s="83">
        <f>'[3]Sky Regional'!$GS$32</f>
        <v>0</v>
      </c>
      <c r="K5" s="83">
        <f>'[3]American Eagle'!$GS$22</f>
        <v>490</v>
      </c>
      <c r="L5" s="83">
        <f>'Other Regional'!J5</f>
        <v>14</v>
      </c>
      <c r="M5" s="395">
        <f>SUM(B5:L5)</f>
        <v>20525</v>
      </c>
    </row>
    <row r="6" spans="1:13" s="6" customFormat="1" x14ac:dyDescent="0.2">
      <c r="A6" s="38" t="s">
        <v>31</v>
      </c>
      <c r="B6" s="78">
        <f>[3]Pinnacle!$GS$23+[3]Pinnacle!$GS$33</f>
        <v>2478</v>
      </c>
      <c r="C6" s="78">
        <f>[3]MESA_UA!$GS$23</f>
        <v>268</v>
      </c>
      <c r="D6" s="83">
        <f>'[3]Sky West'!$GS$23+'[3]Sky West'!$GS$33</f>
        <v>13171</v>
      </c>
      <c r="E6" s="83">
        <f>'[3]Sky West_UA'!$GS$23</f>
        <v>365</v>
      </c>
      <c r="F6" s="83">
        <f>'[3]Sky West_AS'!$GS$23</f>
        <v>0</v>
      </c>
      <c r="G6" s="83">
        <f>'[3]Sky West_AA'!$GS$23</f>
        <v>0</v>
      </c>
      <c r="H6" s="83">
        <f>[3]Republic!$GS$23</f>
        <v>372</v>
      </c>
      <c r="I6" s="83">
        <f>[3]Republic_UA!$GS$23</f>
        <v>417</v>
      </c>
      <c r="J6" s="83">
        <f>'[3]Sky Regional'!$GS$33</f>
        <v>0</v>
      </c>
      <c r="K6" s="83">
        <f>'[3]American Eagle'!$GS$23</f>
        <v>209</v>
      </c>
      <c r="L6" s="83">
        <f>'Other Regional'!J6</f>
        <v>32</v>
      </c>
      <c r="M6" s="396">
        <f>SUM(B6:L6)</f>
        <v>17312</v>
      </c>
    </row>
    <row r="7" spans="1:13" ht="15" thickBot="1" x14ac:dyDescent="0.25">
      <c r="A7" s="47" t="s">
        <v>7</v>
      </c>
      <c r="B7" s="91">
        <f>SUM(B5:B6)</f>
        <v>5161</v>
      </c>
      <c r="C7" s="91">
        <f t="shared" ref="C7:L7" si="0">SUM(C5:C6)</f>
        <v>689</v>
      </c>
      <c r="D7" s="91">
        <f t="shared" si="0"/>
        <v>28793</v>
      </c>
      <c r="E7" s="91">
        <f t="shared" si="0"/>
        <v>810</v>
      </c>
      <c r="F7" s="91">
        <f t="shared" ref="F7:G7" si="1">SUM(F5:F6)</f>
        <v>0</v>
      </c>
      <c r="G7" s="91">
        <f t="shared" si="1"/>
        <v>0</v>
      </c>
      <c r="H7" s="91">
        <f t="shared" si="0"/>
        <v>732</v>
      </c>
      <c r="I7" s="91">
        <f t="shared" si="0"/>
        <v>907</v>
      </c>
      <c r="J7" s="91">
        <f t="shared" si="0"/>
        <v>0</v>
      </c>
      <c r="K7" s="91">
        <f t="shared" si="0"/>
        <v>699</v>
      </c>
      <c r="L7" s="91">
        <f t="shared" si="0"/>
        <v>46</v>
      </c>
      <c r="M7" s="397">
        <f>SUM(B7:L7)</f>
        <v>37837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8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5"/>
    </row>
    <row r="10" spans="1:13" x14ac:dyDescent="0.2">
      <c r="A10" s="38" t="s">
        <v>30</v>
      </c>
      <c r="B10" s="78">
        <f>[3]Pinnacle!$GS$27+[3]Pinnacle!$GS$37</f>
        <v>564</v>
      </c>
      <c r="C10" s="78">
        <f>[3]MESA_UA!$GS$27</f>
        <v>51</v>
      </c>
      <c r="D10" s="83">
        <f>'[3]Sky West'!$GS$27+'[3]Sky West'!$GS$37</f>
        <v>2736</v>
      </c>
      <c r="E10" s="83">
        <f>'[3]Sky West_UA'!$GS$27</f>
        <v>64</v>
      </c>
      <c r="F10" s="83">
        <f>'[3]Sky West_AS'!$GS$27</f>
        <v>0</v>
      </c>
      <c r="G10" s="83">
        <f>'[3]Sky West_AA'!$GS$27</f>
        <v>0</v>
      </c>
      <c r="H10" s="83">
        <f>[3]Republic!$GS$27</f>
        <v>78</v>
      </c>
      <c r="I10" s="83">
        <f>[3]Republic_UA!$GS$27</f>
        <v>166</v>
      </c>
      <c r="J10" s="83">
        <f>'[3]Sky Regional'!$GS$37</f>
        <v>0</v>
      </c>
      <c r="K10" s="83">
        <f>'[3]American Eagle'!$GS$27</f>
        <v>135</v>
      </c>
      <c r="L10" s="83">
        <f>'Other Regional'!J10</f>
        <v>6</v>
      </c>
      <c r="M10" s="395">
        <f>SUM(B10:L10)</f>
        <v>3800</v>
      </c>
    </row>
    <row r="11" spans="1:13" x14ac:dyDescent="0.2">
      <c r="A11" s="38" t="s">
        <v>33</v>
      </c>
      <c r="B11" s="78">
        <f>[3]Pinnacle!$GS$28+[3]Pinnacle!$GS$38</f>
        <v>489</v>
      </c>
      <c r="C11" s="78">
        <f>[3]MESA_UA!$GS$28</f>
        <v>104</v>
      </c>
      <c r="D11" s="83">
        <f>'[3]Sky West'!$GS$28+'[3]Sky West'!$GS$38</f>
        <v>2147</v>
      </c>
      <c r="E11" s="83">
        <f>'[3]Sky West_UA'!$GS$28</f>
        <v>78</v>
      </c>
      <c r="F11" s="83">
        <f>'[3]Sky West_AS'!$GS$28</f>
        <v>0</v>
      </c>
      <c r="G11" s="83">
        <f>'[3]Sky West_AA'!$GS$28</f>
        <v>0</v>
      </c>
      <c r="H11" s="83">
        <f>[3]Republic!$GS$28</f>
        <v>124</v>
      </c>
      <c r="I11" s="83">
        <f>[3]Republic_UA!$GS$28</f>
        <v>213</v>
      </c>
      <c r="J11" s="83">
        <f>'[3]Sky Regional'!$GS$38</f>
        <v>0</v>
      </c>
      <c r="K11" s="83">
        <f>'[3]American Eagle'!$GS$28</f>
        <v>71</v>
      </c>
      <c r="L11" s="83">
        <f>'Other Regional'!J11</f>
        <v>0</v>
      </c>
      <c r="M11" s="396">
        <f>SUM(B11:L11)</f>
        <v>3226</v>
      </c>
    </row>
    <row r="12" spans="1:13" ht="15" thickBot="1" x14ac:dyDescent="0.25">
      <c r="A12" s="48" t="s">
        <v>34</v>
      </c>
      <c r="B12" s="92">
        <f t="shared" ref="B12:L12" si="2">SUM(B10:B11)</f>
        <v>1053</v>
      </c>
      <c r="C12" s="92">
        <f t="shared" si="2"/>
        <v>155</v>
      </c>
      <c r="D12" s="92">
        <f t="shared" si="2"/>
        <v>4883</v>
      </c>
      <c r="E12" s="92">
        <f t="shared" si="2"/>
        <v>142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202</v>
      </c>
      <c r="I12" s="92">
        <f t="shared" si="2"/>
        <v>379</v>
      </c>
      <c r="J12" s="92">
        <f t="shared" si="2"/>
        <v>0</v>
      </c>
      <c r="K12" s="92">
        <f t="shared" si="2"/>
        <v>206</v>
      </c>
      <c r="L12" s="92">
        <f t="shared" si="2"/>
        <v>6</v>
      </c>
      <c r="M12" s="399">
        <f>SUM(B12:L12)</f>
        <v>7026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1">
        <f t="shared" ref="M14" si="4">SUM(B14:L14)</f>
        <v>0</v>
      </c>
    </row>
    <row r="15" spans="1:13" x14ac:dyDescent="0.2">
      <c r="A15" s="38" t="s">
        <v>53</v>
      </c>
      <c r="B15" s="12">
        <f>[3]Pinnacle!$GS$4+[3]Pinnacle!$GS$15</f>
        <v>345</v>
      </c>
      <c r="C15" s="77">
        <f>[3]MESA_UA!$GS$4</f>
        <v>33</v>
      </c>
      <c r="D15" s="76">
        <f>'[3]Sky West'!$GS$4+'[3]Sky West'!$GS$15</f>
        <v>1649</v>
      </c>
      <c r="E15" s="76">
        <f>'[3]Sky West_UA'!$GS$4</f>
        <v>31</v>
      </c>
      <c r="F15" s="76">
        <f>'[3]Sky West_AS'!$GS$4</f>
        <v>0</v>
      </c>
      <c r="G15" s="76">
        <f>'[3]Sky West_AA'!$GS$4</f>
        <v>0</v>
      </c>
      <c r="H15" s="78">
        <f>[3]Republic!$GS$4</f>
        <v>61</v>
      </c>
      <c r="I15" s="313">
        <f>[3]Republic_UA!$GS$4</f>
        <v>49</v>
      </c>
      <c r="J15" s="313">
        <f>'[3]Sky Regional'!$GS$15</f>
        <v>0</v>
      </c>
      <c r="K15" s="78">
        <f>'[3]American Eagle'!$GS$4</f>
        <v>21</v>
      </c>
      <c r="L15" s="77">
        <f>'Other Regional'!J15</f>
        <v>2</v>
      </c>
      <c r="M15" s="395">
        <f t="shared" ref="M15:M21" si="5">SUM(B15:L15)</f>
        <v>2191</v>
      </c>
    </row>
    <row r="16" spans="1:13" x14ac:dyDescent="0.2">
      <c r="A16" s="38" t="s">
        <v>54</v>
      </c>
      <c r="B16" s="7">
        <f>[3]Pinnacle!$GS$5+[3]Pinnacle!$GS$16</f>
        <v>343</v>
      </c>
      <c r="C16" s="80">
        <f>[3]MESA_UA!$GS$5</f>
        <v>33</v>
      </c>
      <c r="D16" s="79">
        <f>'[3]Sky West'!$GS$5+'[3]Sky West'!$GS$16</f>
        <v>1662</v>
      </c>
      <c r="E16" s="79">
        <f>'[3]Sky West_UA'!$GS$5</f>
        <v>31</v>
      </c>
      <c r="F16" s="79">
        <f>'[3]Sky West_AS'!$GS$5</f>
        <v>0</v>
      </c>
      <c r="G16" s="79">
        <f>'[3]Sky West_AA'!$GS$5</f>
        <v>0</v>
      </c>
      <c r="H16" s="81">
        <f>[3]Republic!$GS$5</f>
        <v>62</v>
      </c>
      <c r="I16" s="193">
        <f>[3]Republic_UA!$GS$5</f>
        <v>49</v>
      </c>
      <c r="J16" s="193">
        <f>'[3]Sky Regional'!$GS$16</f>
        <v>0</v>
      </c>
      <c r="K16" s="81">
        <f>'[3]American Eagle'!$GS$5</f>
        <v>21</v>
      </c>
      <c r="L16" s="80">
        <f>'Other Regional'!J16</f>
        <v>2</v>
      </c>
      <c r="M16" s="396">
        <f t="shared" si="5"/>
        <v>2203</v>
      </c>
    </row>
    <row r="17" spans="1:13" x14ac:dyDescent="0.2">
      <c r="A17" s="42" t="s">
        <v>55</v>
      </c>
      <c r="B17" s="82">
        <f t="shared" ref="B17:K17" si="6">SUM(B15:B16)</f>
        <v>688</v>
      </c>
      <c r="C17" s="82">
        <f t="shared" si="6"/>
        <v>66</v>
      </c>
      <c r="D17" s="82">
        <f t="shared" si="6"/>
        <v>3311</v>
      </c>
      <c r="E17" s="82">
        <f>SUM(E15:E16)</f>
        <v>62</v>
      </c>
      <c r="F17" s="82">
        <f>SUM(F15:F16)</f>
        <v>0</v>
      </c>
      <c r="G17" s="82">
        <f>SUM(G15:G16)</f>
        <v>0</v>
      </c>
      <c r="H17" s="82">
        <f>SUM(H15:H16)</f>
        <v>123</v>
      </c>
      <c r="I17" s="82">
        <f t="shared" ref="I17" si="7">SUM(I15:I16)</f>
        <v>98</v>
      </c>
      <c r="J17" s="82">
        <f>SUM(J15:J16)</f>
        <v>0</v>
      </c>
      <c r="K17" s="82">
        <f t="shared" si="6"/>
        <v>42</v>
      </c>
      <c r="L17" s="82">
        <f>SUM(L15:L16)</f>
        <v>4</v>
      </c>
      <c r="M17" s="402">
        <f t="shared" si="5"/>
        <v>4394</v>
      </c>
    </row>
    <row r="18" spans="1:13" x14ac:dyDescent="0.2">
      <c r="A18" s="38" t="s">
        <v>56</v>
      </c>
      <c r="B18" s="83">
        <f>[3]Pinnacle!$GS$8</f>
        <v>0</v>
      </c>
      <c r="C18" s="78">
        <f>[3]MESA_UA!$GS$8</f>
        <v>0</v>
      </c>
      <c r="D18" s="83">
        <f>'[3]Sky West'!$GS$8</f>
        <v>4</v>
      </c>
      <c r="E18" s="83">
        <f>'[3]Sky West_UA'!$GS$8</f>
        <v>0</v>
      </c>
      <c r="F18" s="83">
        <f>'[3]Sky West_AS'!$GS$8</f>
        <v>0</v>
      </c>
      <c r="G18" s="83">
        <f>'[3]Sky West_AA'!$GS$8</f>
        <v>0</v>
      </c>
      <c r="H18" s="83">
        <f>[3]Republic!$GS$8</f>
        <v>0</v>
      </c>
      <c r="I18" s="83">
        <f>[3]Republic_UA!$GS$8</f>
        <v>0</v>
      </c>
      <c r="J18" s="83">
        <f>'[3]Sky Regional'!$GS$8</f>
        <v>0</v>
      </c>
      <c r="K18" s="83">
        <f>'[3]American Eagle'!$GS$8</f>
        <v>0</v>
      </c>
      <c r="L18" s="83">
        <f>'Other Regional'!J18</f>
        <v>0</v>
      </c>
      <c r="M18" s="395">
        <f t="shared" si="5"/>
        <v>4</v>
      </c>
    </row>
    <row r="19" spans="1:13" x14ac:dyDescent="0.2">
      <c r="A19" s="38" t="s">
        <v>57</v>
      </c>
      <c r="B19" s="84">
        <f>[3]Pinnacle!$GS$9</f>
        <v>0</v>
      </c>
      <c r="C19" s="81">
        <f>[3]MESA_UA!$GS$9</f>
        <v>0</v>
      </c>
      <c r="D19" s="84">
        <f>'[3]Sky West'!$GS$9</f>
        <v>0</v>
      </c>
      <c r="E19" s="84">
        <f>'[3]Sky West_UA'!$GS$9</f>
        <v>0</v>
      </c>
      <c r="F19" s="84">
        <f>'[3]Sky West_AS'!$GS$9</f>
        <v>0</v>
      </c>
      <c r="G19" s="84">
        <f>'[3]Sky West_AA'!$GS$9</f>
        <v>0</v>
      </c>
      <c r="H19" s="84">
        <f>[3]Republic!$GS$9</f>
        <v>0</v>
      </c>
      <c r="I19" s="84">
        <f>[3]Republic_UA!$GS$9</f>
        <v>0</v>
      </c>
      <c r="J19" s="84">
        <f>'[3]Sky Regional'!$GS$9</f>
        <v>0</v>
      </c>
      <c r="K19" s="84">
        <f>'[3]American Eagle'!$GS$9</f>
        <v>0</v>
      </c>
      <c r="L19" s="84">
        <f>'Other Regional'!J19</f>
        <v>0</v>
      </c>
      <c r="M19" s="396">
        <f t="shared" si="5"/>
        <v>0</v>
      </c>
    </row>
    <row r="20" spans="1:13" x14ac:dyDescent="0.2">
      <c r="A20" s="42" t="s">
        <v>58</v>
      </c>
      <c r="B20" s="82">
        <f t="shared" ref="B20:L20" si="8">SUM(B18:B19)</f>
        <v>0</v>
      </c>
      <c r="C20" s="82">
        <f t="shared" si="8"/>
        <v>0</v>
      </c>
      <c r="D20" s="82">
        <f t="shared" si="8"/>
        <v>4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2">
        <f t="shared" si="5"/>
        <v>4</v>
      </c>
    </row>
    <row r="21" spans="1:13" ht="15.75" thickBot="1" x14ac:dyDescent="0.3">
      <c r="A21" s="46" t="s">
        <v>28</v>
      </c>
      <c r="B21" s="85">
        <f t="shared" ref="B21:K21" si="10">SUM(B20,B17)</f>
        <v>688</v>
      </c>
      <c r="C21" s="85">
        <f t="shared" si="10"/>
        <v>66</v>
      </c>
      <c r="D21" s="85">
        <f t="shared" si="10"/>
        <v>3315</v>
      </c>
      <c r="E21" s="85">
        <f t="shared" si="10"/>
        <v>62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123</v>
      </c>
      <c r="I21" s="85">
        <f t="shared" si="10"/>
        <v>98</v>
      </c>
      <c r="J21" s="85">
        <f t="shared" si="10"/>
        <v>0</v>
      </c>
      <c r="K21" s="85">
        <f t="shared" si="10"/>
        <v>42</v>
      </c>
      <c r="L21" s="85">
        <f>SUM(L20,L17)</f>
        <v>4</v>
      </c>
      <c r="M21" s="403">
        <f t="shared" si="5"/>
        <v>4398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4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5"/>
    </row>
    <row r="25" spans="1:13" x14ac:dyDescent="0.2">
      <c r="A25" s="38" t="s">
        <v>37</v>
      </c>
      <c r="B25" s="83">
        <f>[3]Pinnacle!$GS$47</f>
        <v>0</v>
      </c>
      <c r="C25" s="78">
        <f>[3]MESA_UA!$GS$47</f>
        <v>0</v>
      </c>
      <c r="D25" s="83">
        <f>'[3]Sky West'!$GS$47</f>
        <v>0</v>
      </c>
      <c r="E25" s="83">
        <f>'[3]Sky West_UA'!$GS$47</f>
        <v>0</v>
      </c>
      <c r="F25" s="83">
        <f>'[3]Sky West_AS'!$GS$47</f>
        <v>0</v>
      </c>
      <c r="G25" s="83">
        <f>'[3]Sky West_AA'!$GS$47</f>
        <v>0</v>
      </c>
      <c r="H25" s="83">
        <f>[3]Republic!$GS$47</f>
        <v>226</v>
      </c>
      <c r="I25" s="83">
        <f>[3]Republic_UA!$GS$47</f>
        <v>0</v>
      </c>
      <c r="J25" s="83">
        <f>'[3]Sky Regional'!$GS$47</f>
        <v>0</v>
      </c>
      <c r="K25" s="83">
        <f>'[3]American Eagle'!$GS$47</f>
        <v>0</v>
      </c>
      <c r="L25" s="83">
        <f>'Other Regional'!J25</f>
        <v>0</v>
      </c>
      <c r="M25" s="395">
        <f>SUM(B25:L25)</f>
        <v>226</v>
      </c>
    </row>
    <row r="26" spans="1:13" x14ac:dyDescent="0.2">
      <c r="A26" s="38" t="s">
        <v>38</v>
      </c>
      <c r="B26" s="83">
        <f>[3]Pinnacle!$GS$48</f>
        <v>0</v>
      </c>
      <c r="C26" s="78">
        <f>[3]MESA_UA!$GS$48</f>
        <v>0</v>
      </c>
      <c r="D26" s="83">
        <f>'[3]Sky West'!$GS$48</f>
        <v>0</v>
      </c>
      <c r="E26" s="83">
        <f>'[3]Sky West_UA'!$GS$48</f>
        <v>0</v>
      </c>
      <c r="F26" s="83">
        <f>'[3]Sky West_AS'!$GS$48</f>
        <v>0</v>
      </c>
      <c r="G26" s="83">
        <f>'[3]Sky West_AA'!$GS$48</f>
        <v>0</v>
      </c>
      <c r="H26" s="83">
        <f>[3]Republic!$GS$48</f>
        <v>0</v>
      </c>
      <c r="I26" s="83">
        <f>[3]Republic_UA!$GS$48</f>
        <v>0</v>
      </c>
      <c r="J26" s="83">
        <f>'[3]Sky Regional'!$GS$48</f>
        <v>0</v>
      </c>
      <c r="K26" s="83">
        <f>'[3]American Eagle'!$GS$48</f>
        <v>0</v>
      </c>
      <c r="L26" s="83">
        <f>'Other Regional'!J26</f>
        <v>0</v>
      </c>
      <c r="M26" s="395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226</v>
      </c>
      <c r="I27" s="91">
        <f t="shared" si="12"/>
        <v>0</v>
      </c>
      <c r="J27" s="91">
        <f t="shared" si="12"/>
        <v>0</v>
      </c>
      <c r="K27" s="91">
        <f t="shared" si="12"/>
        <v>0</v>
      </c>
      <c r="L27" s="91">
        <f t="shared" si="12"/>
        <v>0</v>
      </c>
      <c r="M27" s="397">
        <f>SUM(B27:L27)</f>
        <v>226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5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5"/>
    </row>
    <row r="30" spans="1:13" x14ac:dyDescent="0.2">
      <c r="A30" s="38" t="s">
        <v>59</v>
      </c>
      <c r="B30" s="83">
        <f>[3]Pinnacle!$GS$52</f>
        <v>0</v>
      </c>
      <c r="C30" s="78">
        <f>[3]MESA_UA!$GS$52</f>
        <v>0</v>
      </c>
      <c r="D30" s="83">
        <f>'[3]Sky West'!$GS$52</f>
        <v>0</v>
      </c>
      <c r="E30" s="83">
        <f>'[3]Sky West_UA'!$GS$52</f>
        <v>0</v>
      </c>
      <c r="F30" s="83">
        <f>'[3]Sky West_AS'!$GS$52</f>
        <v>0</v>
      </c>
      <c r="G30" s="83">
        <f>'[3]Sky West_AA'!$GS$52</f>
        <v>0</v>
      </c>
      <c r="H30" s="83">
        <f>[3]Republic!$GS$52</f>
        <v>129</v>
      </c>
      <c r="I30" s="83">
        <f>[3]Republic_UA!$GS$52</f>
        <v>0</v>
      </c>
      <c r="J30" s="83">
        <f>'[3]Sky Regional'!$GS$52</f>
        <v>0</v>
      </c>
      <c r="K30" s="83">
        <f>'[3]American Eagle'!$GS$52</f>
        <v>0</v>
      </c>
      <c r="L30" s="83">
        <f>'Other Regional'!J30</f>
        <v>0</v>
      </c>
      <c r="M30" s="395">
        <f t="shared" ref="M30:M37" si="14">SUM(B30:L30)</f>
        <v>129</v>
      </c>
    </row>
    <row r="31" spans="1:13" x14ac:dyDescent="0.2">
      <c r="A31" s="38" t="s">
        <v>60</v>
      </c>
      <c r="B31" s="83">
        <f>[3]Pinnacle!$GS$53</f>
        <v>0</v>
      </c>
      <c r="C31" s="78">
        <f>[3]MESA_UA!$GS$53</f>
        <v>0</v>
      </c>
      <c r="D31" s="83">
        <f>'[3]Sky West'!$GS$53</f>
        <v>0</v>
      </c>
      <c r="E31" s="83">
        <f>'[3]Sky West_UA'!$GS$53</f>
        <v>0</v>
      </c>
      <c r="F31" s="83">
        <f>'[3]Sky West_AS'!$GS$53</f>
        <v>0</v>
      </c>
      <c r="G31" s="83">
        <f>'[3]Sky West_AA'!$GS$53</f>
        <v>0</v>
      </c>
      <c r="H31" s="83">
        <f>[3]Republic!$GS$53</f>
        <v>0</v>
      </c>
      <c r="I31" s="83">
        <f>[3]Republic_UA!$GS$53</f>
        <v>0</v>
      </c>
      <c r="J31" s="83">
        <f>'[3]Sky Regional'!$GS$53</f>
        <v>0</v>
      </c>
      <c r="K31" s="83">
        <f>'[3]American Eagle'!$GS$53</f>
        <v>0</v>
      </c>
      <c r="L31" s="83">
        <f>'Other Regional'!J31</f>
        <v>0</v>
      </c>
      <c r="M31" s="395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129</v>
      </c>
      <c r="I32" s="91">
        <f t="shared" si="15"/>
        <v>0</v>
      </c>
      <c r="J32" s="91">
        <f t="shared" si="15"/>
        <v>0</v>
      </c>
      <c r="K32" s="91">
        <f t="shared" si="15"/>
        <v>0</v>
      </c>
      <c r="L32" s="91">
        <f>SUM(L30:L31)</f>
        <v>0</v>
      </c>
      <c r="M32" s="397">
        <f t="shared" si="14"/>
        <v>129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5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5">
        <f t="shared" si="14"/>
        <v>0</v>
      </c>
    </row>
    <row r="35" spans="1:13" ht="13.5" hidden="1" thickTop="1" x14ac:dyDescent="0.2">
      <c r="A35" s="38" t="s">
        <v>37</v>
      </c>
      <c r="B35" s="83">
        <f>[3]Pinnacle!$GS$57</f>
        <v>0</v>
      </c>
      <c r="C35" s="78">
        <f>[3]MESA_UA!$GS$57</f>
        <v>0</v>
      </c>
      <c r="D35" s="83">
        <f>'[3]Sky West'!$GS$57</f>
        <v>0</v>
      </c>
      <c r="E35" s="83">
        <f>'[3]Sky West_UA'!$GS$57</f>
        <v>0</v>
      </c>
      <c r="F35" s="83">
        <f>'[3]Sky West_AS'!$GS$57</f>
        <v>0</v>
      </c>
      <c r="G35" s="83">
        <f>'[3]Sky West_AA'!$GS$57</f>
        <v>0</v>
      </c>
      <c r="H35" s="83">
        <f>[3]Republic!$GS$57</f>
        <v>0</v>
      </c>
      <c r="I35" s="83">
        <f>[3]Republic!$GS$57</f>
        <v>0</v>
      </c>
      <c r="J35" s="83">
        <f>[3]Republic!$GS$57</f>
        <v>0</v>
      </c>
      <c r="K35" s="83">
        <f>'[3]American Eagle'!$GS$57</f>
        <v>0</v>
      </c>
      <c r="L35" s="83">
        <f>'Other Regional'!J35</f>
        <v>0</v>
      </c>
      <c r="M35" s="395">
        <f t="shared" si="14"/>
        <v>0</v>
      </c>
    </row>
    <row r="36" spans="1:13" ht="13.5" hidden="1" thickTop="1" x14ac:dyDescent="0.2">
      <c r="A36" s="38" t="s">
        <v>38</v>
      </c>
      <c r="B36" s="83">
        <f>[3]Pinnacle!$GS$58</f>
        <v>0</v>
      </c>
      <c r="C36" s="78">
        <f>[3]MESA_UA!$GS$58</f>
        <v>0</v>
      </c>
      <c r="D36" s="83">
        <f>'[3]Sky West'!$GS$58</f>
        <v>0</v>
      </c>
      <c r="E36" s="83">
        <f>'[3]Sky West_UA'!$GS$58</f>
        <v>0</v>
      </c>
      <c r="F36" s="83">
        <f>'[3]Sky West_AS'!$GS$58</f>
        <v>0</v>
      </c>
      <c r="G36" s="83">
        <f>'[3]Sky West_AA'!$GS$58</f>
        <v>0</v>
      </c>
      <c r="H36" s="83">
        <f>[3]Republic!$GS$58</f>
        <v>0</v>
      </c>
      <c r="I36" s="83">
        <f>[3]Republic!$GS$58</f>
        <v>0</v>
      </c>
      <c r="J36" s="83">
        <f>[3]Republic!$GS$58</f>
        <v>0</v>
      </c>
      <c r="K36" s="83">
        <f>'[3]American Eagle'!$GS$58</f>
        <v>0</v>
      </c>
      <c r="L36" s="83">
        <f>'Other Regional'!J36</f>
        <v>0</v>
      </c>
      <c r="M36" s="395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5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5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5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355</v>
      </c>
      <c r="I40" s="83">
        <f t="shared" si="19"/>
        <v>0</v>
      </c>
      <c r="J40" s="83">
        <f t="shared" si="19"/>
        <v>0</v>
      </c>
      <c r="K40" s="83">
        <f>SUM(K35,K30,K25)</f>
        <v>0</v>
      </c>
      <c r="L40" s="83">
        <f>L35+L30+L25</f>
        <v>0</v>
      </c>
      <c r="M40" s="395">
        <f>SUM(B40:L40)</f>
        <v>355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5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355</v>
      </c>
      <c r="I42" s="92">
        <f t="shared" si="19"/>
        <v>0</v>
      </c>
      <c r="J42" s="92">
        <f t="shared" si="19"/>
        <v>0</v>
      </c>
      <c r="K42" s="92">
        <f>SUM(K37,K32,K27)</f>
        <v>0</v>
      </c>
      <c r="L42" s="92">
        <f>SUM(L37,L32,L27)</f>
        <v>0</v>
      </c>
      <c r="M42" s="399">
        <f>SUM(B42:L42)</f>
        <v>355</v>
      </c>
    </row>
    <row r="44" spans="1:13" x14ac:dyDescent="0.2">
      <c r="A44" s="256" t="s">
        <v>122</v>
      </c>
      <c r="B44" s="214">
        <f>[3]Pinnacle!$GS$70+[3]Pinnacle!$GS$73</f>
        <v>476</v>
      </c>
      <c r="D44" s="215">
        <f>'[3]Sky West'!$GS$70+'[3]Sky West'!$GS$73</f>
        <v>3224</v>
      </c>
      <c r="E44" s="2"/>
      <c r="F44" s="2"/>
      <c r="G44" s="2"/>
      <c r="L44" s="215">
        <f>+'Other Regional'!J46</f>
        <v>0</v>
      </c>
      <c r="M44" s="204">
        <f>SUM(B44:L44)</f>
        <v>3700</v>
      </c>
    </row>
    <row r="45" spans="1:13" x14ac:dyDescent="0.2">
      <c r="A45" s="268" t="s">
        <v>123</v>
      </c>
      <c r="B45" s="214">
        <f>[3]Pinnacle!$GS$71+[3]Pinnacle!$GS$74</f>
        <v>2002</v>
      </c>
      <c r="D45" s="215">
        <f>'[3]Sky West'!$GS$71+'[3]Sky West'!$GS$74</f>
        <v>9947</v>
      </c>
      <c r="E45" s="2"/>
      <c r="F45" s="2"/>
      <c r="G45" s="2"/>
      <c r="L45" s="215">
        <f>+'Other Regional'!J47</f>
        <v>0</v>
      </c>
      <c r="M45" s="204">
        <f>SUM(B45:L45)</f>
        <v>11949</v>
      </c>
    </row>
    <row r="46" spans="1:13" x14ac:dyDescent="0.2">
      <c r="A46" s="205" t="s">
        <v>124</v>
      </c>
      <c r="B46" s="206">
        <f>SUM(B44:B45)</f>
        <v>2478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April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0" customHeight="1" x14ac:dyDescent="0.2">
      <c r="A1" s="264"/>
    </row>
    <row r="2" spans="1:10" ht="55.5" customHeight="1" thickBot="1" x14ac:dyDescent="0.25">
      <c r="A2" s="259">
        <v>43922</v>
      </c>
      <c r="B2" s="353" t="s">
        <v>172</v>
      </c>
      <c r="C2" s="353" t="s">
        <v>171</v>
      </c>
      <c r="D2" s="433" t="s">
        <v>197</v>
      </c>
      <c r="E2" s="433" t="s">
        <v>222</v>
      </c>
      <c r="F2" s="433" t="s">
        <v>176</v>
      </c>
      <c r="G2" s="43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5" t="s">
        <v>3</v>
      </c>
      <c r="B3" s="280"/>
      <c r="C3" s="280"/>
      <c r="D3" s="280"/>
      <c r="E3" s="280"/>
      <c r="F3" s="281"/>
      <c r="G3" s="281"/>
      <c r="H3" s="281"/>
      <c r="I3" s="281"/>
      <c r="J3" s="394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5"/>
    </row>
    <row r="5" spans="1:10" x14ac:dyDescent="0.2">
      <c r="A5" s="38" t="s">
        <v>30</v>
      </c>
      <c r="B5" s="78">
        <f>'[3]Shuttle America'!$GS$22</f>
        <v>0</v>
      </c>
      <c r="C5" s="78">
        <f>'[3]Shuttle America_Delta'!$GS$22</f>
        <v>0</v>
      </c>
      <c r="D5" s="313">
        <f>[3]Horizon_AS!$GS$22</f>
        <v>14</v>
      </c>
      <c r="E5" s="313">
        <f>'[3]Air Wisconsin'!$GS$22</f>
        <v>0</v>
      </c>
      <c r="F5" s="78">
        <f>'[3]Atlantic Southeast'!$GS$22+'[3]Atlantic Southeast'!$GS$32</f>
        <v>0</v>
      </c>
      <c r="G5" s="78">
        <f>'[3]Continental Express'!$GS$22</f>
        <v>0</v>
      </c>
      <c r="H5" s="83">
        <f>'[3]Go Jet_UA'!$GS$22</f>
        <v>0</v>
      </c>
      <c r="I5" s="12">
        <f>'[3]Go Jet'!$GS$22+'[3]Go Jet'!$GS$32</f>
        <v>0</v>
      </c>
      <c r="J5" s="395">
        <f>SUM(B5:I5)</f>
        <v>14</v>
      </c>
    </row>
    <row r="6" spans="1:10" s="6" customFormat="1" x14ac:dyDescent="0.2">
      <c r="A6" s="38" t="s">
        <v>31</v>
      </c>
      <c r="B6" s="78">
        <f>'[3]Shuttle America'!$GS$23</f>
        <v>0</v>
      </c>
      <c r="C6" s="78">
        <f>'[3]Shuttle America_Delta'!$GS$23</f>
        <v>0</v>
      </c>
      <c r="D6" s="313">
        <f>[3]Horizon_AS!$GS$23</f>
        <v>32</v>
      </c>
      <c r="E6" s="313">
        <f>'[3]Air Wisconsin'!$GS$23</f>
        <v>0</v>
      </c>
      <c r="F6" s="78">
        <f>'[3]Atlantic Southeast'!$GS$23+'[3]Atlantic Southeast'!$GS$33</f>
        <v>0</v>
      </c>
      <c r="G6" s="78">
        <f>'[3]Continental Express'!$GS$23</f>
        <v>0</v>
      </c>
      <c r="H6" s="83">
        <f>'[3]Go Jet_UA'!$GS$23</f>
        <v>0</v>
      </c>
      <c r="I6" s="7">
        <f>'[3]Go Jet'!$GS$23+'[3]Go Jet'!$GS$33</f>
        <v>0</v>
      </c>
      <c r="J6" s="396">
        <f>SUM(B6:I6)</f>
        <v>32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46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7">
        <f>SUM(B7:I7)</f>
        <v>46</v>
      </c>
    </row>
    <row r="8" spans="1:10" ht="13.5" thickTop="1" x14ac:dyDescent="0.2">
      <c r="A8" s="38"/>
      <c r="B8" s="78"/>
      <c r="C8" s="78"/>
      <c r="D8" s="313"/>
      <c r="E8" s="313"/>
      <c r="F8" s="78"/>
      <c r="G8" s="78"/>
      <c r="H8" s="83"/>
      <c r="I8" s="231"/>
      <c r="J8" s="398"/>
    </row>
    <row r="9" spans="1:10" s="6" customFormat="1" x14ac:dyDescent="0.2">
      <c r="A9" s="38" t="s">
        <v>32</v>
      </c>
      <c r="B9" s="78"/>
      <c r="C9" s="78"/>
      <c r="D9" s="313"/>
      <c r="E9" s="313"/>
      <c r="F9" s="78"/>
      <c r="G9" s="78"/>
      <c r="H9" s="83"/>
      <c r="I9" s="12"/>
      <c r="J9" s="395"/>
    </row>
    <row r="10" spans="1:10" x14ac:dyDescent="0.2">
      <c r="A10" s="38" t="s">
        <v>30</v>
      </c>
      <c r="B10" s="78">
        <f>'[3]Shuttle America'!$GS$27</f>
        <v>0</v>
      </c>
      <c r="C10" s="78">
        <f>'[3]Shuttle America_Delta'!$GS$27</f>
        <v>0</v>
      </c>
      <c r="D10" s="313">
        <f>[3]Horizon_AS!$GS$27</f>
        <v>6</v>
      </c>
      <c r="E10" s="313">
        <f>'[3]Air Wisconsin'!$GS$27</f>
        <v>0</v>
      </c>
      <c r="F10" s="12">
        <f>'[3]Atlantic Southeast'!$GS$27+'[3]Atlantic Southeast'!$GS$37</f>
        <v>0</v>
      </c>
      <c r="G10" s="78">
        <f>'[3]Continental Express'!$GS$27</f>
        <v>0</v>
      </c>
      <c r="H10" s="83">
        <f>'[3]Go Jet_UA'!$GS$27</f>
        <v>0</v>
      </c>
      <c r="I10" s="12">
        <f>'[3]Go Jet'!$GS$27+'[3]Go Jet'!$GS$37</f>
        <v>0</v>
      </c>
      <c r="J10" s="395">
        <f>SUM(B10:I10)</f>
        <v>6</v>
      </c>
    </row>
    <row r="11" spans="1:10" x14ac:dyDescent="0.2">
      <c r="A11" s="38" t="s">
        <v>33</v>
      </c>
      <c r="B11" s="78">
        <f>'[3]Shuttle America'!$GS$28</f>
        <v>0</v>
      </c>
      <c r="C11" s="78">
        <f>'[3]Shuttle America_Delta'!$GS$28</f>
        <v>0</v>
      </c>
      <c r="D11" s="313">
        <f>[3]Horizon_AS!$GS$28</f>
        <v>0</v>
      </c>
      <c r="E11" s="313">
        <f>'[3]Air Wisconsin'!$GS$28</f>
        <v>0</v>
      </c>
      <c r="F11" s="7">
        <f>'[3]Atlantic Southeast'!$GS$28+'[3]Atlantic Southeast'!$GS$38</f>
        <v>0</v>
      </c>
      <c r="G11" s="78">
        <f>'[3]Continental Express'!$GS$28</f>
        <v>0</v>
      </c>
      <c r="H11" s="83">
        <f>'[3]Go Jet_UA'!$GS$28</f>
        <v>0</v>
      </c>
      <c r="I11" s="7">
        <f>'[3]Go Jet'!$GS$28+'[3]Go Jet'!$GS$38</f>
        <v>0</v>
      </c>
      <c r="J11" s="396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6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9">
        <f>SUM(B12:I12)</f>
        <v>6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1"/>
    </row>
    <row r="15" spans="1:10" x14ac:dyDescent="0.2">
      <c r="A15" s="38" t="s">
        <v>53</v>
      </c>
      <c r="B15" s="76">
        <f>'[3]Shuttle America'!$GS$4</f>
        <v>0</v>
      </c>
      <c r="C15" s="76">
        <f>'[3]Shuttle America_Delta'!$GS$4</f>
        <v>0</v>
      </c>
      <c r="D15" s="314">
        <f>[3]Horizon_AS!$GS$4</f>
        <v>2</v>
      </c>
      <c r="E15" s="314">
        <f>'[3]Air Wisconsin'!$GS$4</f>
        <v>0</v>
      </c>
      <c r="F15" s="77">
        <f>'[3]Atlantic Southeast'!$GS$4+'[3]Atlantic Southeast'!$GS$15</f>
        <v>0</v>
      </c>
      <c r="G15" s="77">
        <f>'[3]Continental Express'!$GS$4</f>
        <v>0</v>
      </c>
      <c r="H15" s="76">
        <f>'[3]Go Jet_UA'!$GS$4</f>
        <v>0</v>
      </c>
      <c r="I15" s="12">
        <f>'[3]Go Jet'!$GS$4+'[3]Go Jet'!$GS$15</f>
        <v>0</v>
      </c>
      <c r="J15" s="395">
        <f t="shared" ref="J15:J21" si="5">SUM(B15:I15)</f>
        <v>2</v>
      </c>
    </row>
    <row r="16" spans="1:10" x14ac:dyDescent="0.2">
      <c r="A16" s="38" t="s">
        <v>54</v>
      </c>
      <c r="B16" s="79">
        <f>'[3]Shuttle America'!$GS$5</f>
        <v>0</v>
      </c>
      <c r="C16" s="79">
        <f>'[3]Shuttle America_Delta'!$GS$5</f>
        <v>0</v>
      </c>
      <c r="D16" s="315">
        <f>[3]Horizon_AS!$GS$5</f>
        <v>2</v>
      </c>
      <c r="E16" s="315">
        <f>'[3]Air Wisconsin'!$GS$5</f>
        <v>0</v>
      </c>
      <c r="F16" s="80">
        <f>'[3]Atlantic Southeast'!$GS$5+'[3]Atlantic Southeast'!$GS$16</f>
        <v>0</v>
      </c>
      <c r="G16" s="80">
        <f>'[3]Continental Express'!$GS$5</f>
        <v>0</v>
      </c>
      <c r="H16" s="79">
        <f>'[3]Go Jet_UA'!$GS$5</f>
        <v>0</v>
      </c>
      <c r="I16" s="7">
        <f>'[3]Go Jet'!$GS$5+'[3]Go Jet'!$GS$16</f>
        <v>0</v>
      </c>
      <c r="J16" s="396">
        <f t="shared" si="5"/>
        <v>2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4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7">
        <f>SUM(I15:I16)</f>
        <v>0</v>
      </c>
      <c r="J17" s="402">
        <f t="shared" si="5"/>
        <v>4</v>
      </c>
    </row>
    <row r="18" spans="1:10" x14ac:dyDescent="0.2">
      <c r="A18" s="38" t="s">
        <v>56</v>
      </c>
      <c r="B18" s="83">
        <f>'[3]Shuttle America'!$GS$8</f>
        <v>0</v>
      </c>
      <c r="C18" s="83">
        <f>'[3]Shuttle America_Delta'!$GS$8</f>
        <v>0</v>
      </c>
      <c r="D18" s="83">
        <f>[3]Horizon_AS!$GS$8</f>
        <v>0</v>
      </c>
      <c r="E18" s="83">
        <f>'[3]Air Wisconsin'!$GS$8</f>
        <v>0</v>
      </c>
      <c r="F18" s="78">
        <f>'[3]Atlantic Southeast'!$GS$8</f>
        <v>0</v>
      </c>
      <c r="G18" s="78">
        <f>'[3]Continental Express'!$GS$8</f>
        <v>0</v>
      </c>
      <c r="H18" s="83">
        <f>'[3]Go Jet_UA'!$GS$8</f>
        <v>0</v>
      </c>
      <c r="I18" s="12">
        <f>'[3]Go Jet'!$GS$8</f>
        <v>0</v>
      </c>
      <c r="J18" s="395">
        <f t="shared" si="5"/>
        <v>0</v>
      </c>
    </row>
    <row r="19" spans="1:10" x14ac:dyDescent="0.2">
      <c r="A19" s="38" t="s">
        <v>57</v>
      </c>
      <c r="B19" s="84">
        <f>'[3]Shuttle America'!$GS$9</f>
        <v>0</v>
      </c>
      <c r="C19" s="84">
        <f>'[3]Shuttle America_Delta'!$GS$9</f>
        <v>0</v>
      </c>
      <c r="D19" s="84">
        <f>[3]Horizon_AS!$GS$9</f>
        <v>0</v>
      </c>
      <c r="E19" s="84">
        <f>'[3]Air Wisconsin'!$GS$9</f>
        <v>0</v>
      </c>
      <c r="F19" s="81">
        <f>'[3]Atlantic Southeast'!$GS$9</f>
        <v>0</v>
      </c>
      <c r="G19" s="81">
        <f>'[3]Continental Express'!$GS$9</f>
        <v>0</v>
      </c>
      <c r="H19" s="84">
        <f>'[3]Go Jet_UA'!$GS$9</f>
        <v>0</v>
      </c>
      <c r="I19" s="7">
        <f>'[3]Go Jet'!$GS$9</f>
        <v>0</v>
      </c>
      <c r="J19" s="396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2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4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3">
        <f t="shared" si="5"/>
        <v>4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4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5"/>
    </row>
    <row r="25" spans="1:10" x14ac:dyDescent="0.2">
      <c r="A25" s="38" t="s">
        <v>37</v>
      </c>
      <c r="B25" s="83">
        <f>'[3]Shuttle America'!$GS$47</f>
        <v>0</v>
      </c>
      <c r="C25" s="83">
        <f>'[3]Shuttle America_Delta'!$GS$47</f>
        <v>0</v>
      </c>
      <c r="D25" s="83">
        <f>[3]Horizon_AS!$GS$47</f>
        <v>0</v>
      </c>
      <c r="E25" s="83">
        <f>'[3]Air Wisconsin'!$GS$47</f>
        <v>0</v>
      </c>
      <c r="F25" s="78">
        <f>'[3]Atlantic Southeast'!$GS$47</f>
        <v>0</v>
      </c>
      <c r="G25" s="78">
        <f>'[3]Continental Express'!$GS$47</f>
        <v>0</v>
      </c>
      <c r="H25" s="83">
        <f>'[3]Go Jet_UA'!$GS$47</f>
        <v>0</v>
      </c>
      <c r="I25" s="83">
        <f>'[3]Go Jet'!$GS$47</f>
        <v>0</v>
      </c>
      <c r="J25" s="395">
        <f>SUM(B25:I25)</f>
        <v>0</v>
      </c>
    </row>
    <row r="26" spans="1:10" x14ac:dyDescent="0.2">
      <c r="A26" s="38" t="s">
        <v>38</v>
      </c>
      <c r="B26" s="83">
        <f>'[3]Shuttle America'!$GS$48</f>
        <v>0</v>
      </c>
      <c r="C26" s="83">
        <f>'[3]Shuttle America_Delta'!$GS$48</f>
        <v>0</v>
      </c>
      <c r="D26" s="83">
        <f>[3]Horizon_AS!$GS$48</f>
        <v>0</v>
      </c>
      <c r="E26" s="83">
        <f>'[3]Air Wisconsin'!$GS$48</f>
        <v>0</v>
      </c>
      <c r="F26" s="78">
        <f>'[3]Atlantic Southeast'!$GS$48</f>
        <v>0</v>
      </c>
      <c r="G26" s="78">
        <f>'[3]Continental Express'!$GS$48</f>
        <v>0</v>
      </c>
      <c r="H26" s="83">
        <f>'[3]Go Jet_UA'!$GS$48</f>
        <v>0</v>
      </c>
      <c r="I26" s="83">
        <f>'[3]Go Jet'!$GS$48</f>
        <v>0</v>
      </c>
      <c r="J26" s="395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7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5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5"/>
    </row>
    <row r="30" spans="1:10" x14ac:dyDescent="0.2">
      <c r="A30" s="38" t="s">
        <v>59</v>
      </c>
      <c r="B30" s="83">
        <f>'[3]Shuttle America'!$GS$52</f>
        <v>0</v>
      </c>
      <c r="C30" s="83">
        <f>'[3]Shuttle America_Delta'!$GS$52</f>
        <v>0</v>
      </c>
      <c r="D30" s="83">
        <f>[3]Horizon_AS!$GS$52</f>
        <v>0</v>
      </c>
      <c r="E30" s="83">
        <f>'[3]Air Wisconsin'!$GS$52</f>
        <v>0</v>
      </c>
      <c r="F30" s="78">
        <f>'[3]Atlantic Southeast'!$GS$52</f>
        <v>0</v>
      </c>
      <c r="G30" s="78">
        <f>'[3]Continental Express'!$GS$52</f>
        <v>0</v>
      </c>
      <c r="H30" s="83">
        <f>'[3]Go Jet_UA'!$GS$52</f>
        <v>0</v>
      </c>
      <c r="I30" s="83">
        <f>'[3]Go Jet'!$GS$52</f>
        <v>0</v>
      </c>
      <c r="J30" s="395">
        <f>SUM(B30:I30)</f>
        <v>0</v>
      </c>
    </row>
    <row r="31" spans="1:10" x14ac:dyDescent="0.2">
      <c r="A31" s="38" t="s">
        <v>60</v>
      </c>
      <c r="B31" s="83">
        <f>'[3]Shuttle America'!$GS$53</f>
        <v>0</v>
      </c>
      <c r="C31" s="83">
        <f>'[3]Shuttle America_Delta'!$GS$53</f>
        <v>0</v>
      </c>
      <c r="D31" s="83">
        <f>[3]Horizon_AS!$GS$53</f>
        <v>0</v>
      </c>
      <c r="E31" s="83">
        <f>'[3]Air Wisconsin'!$GS$53</f>
        <v>0</v>
      </c>
      <c r="F31" s="78">
        <f>'[3]Atlantic Southeast'!$GS$53</f>
        <v>0</v>
      </c>
      <c r="G31" s="78">
        <f>'[3]Continental Express'!$GS$53</f>
        <v>0</v>
      </c>
      <c r="H31" s="83">
        <f>'[3]Go Jet_UA'!$GS$53</f>
        <v>0</v>
      </c>
      <c r="I31" s="83">
        <f>'[3]Go Jet'!$GS$53</f>
        <v>0</v>
      </c>
      <c r="J31" s="395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7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5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5"/>
    </row>
    <row r="35" spans="1:10" ht="13.5" hidden="1" thickTop="1" x14ac:dyDescent="0.2">
      <c r="A35" s="38" t="s">
        <v>37</v>
      </c>
      <c r="B35" s="83">
        <f>'[3]Shuttle America'!$GS$57</f>
        <v>0</v>
      </c>
      <c r="C35" s="83">
        <f>'[3]Shuttle America_Delta'!$GS$57</f>
        <v>0</v>
      </c>
      <c r="D35" s="83">
        <f>[3]Horizon_AS!$GS$57</f>
        <v>0</v>
      </c>
      <c r="E35" s="83">
        <f>'[3]Air Wisconsin'!$GS$57</f>
        <v>0</v>
      </c>
      <c r="F35" s="78">
        <f>'[3]Atlantic Southeast'!$GS$57</f>
        <v>0</v>
      </c>
      <c r="G35" s="78">
        <f>'[3]Continental Express'!$GS$57</f>
        <v>0</v>
      </c>
      <c r="H35" s="83">
        <f>'[3]Go Jet_UA'!$AJ$57</f>
        <v>0</v>
      </c>
      <c r="I35" s="83">
        <f>'[3]Go Jet'!$GS$57</f>
        <v>0</v>
      </c>
      <c r="J35" s="395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5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5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5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5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5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5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9">
        <f>SUM(B42:I42)</f>
        <v>0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6" t="s">
        <v>122</v>
      </c>
      <c r="C46" s="215">
        <f>'[3]Shuttle America_Delta'!$GS$70+'[3]Shuttle America_Delta'!$GS$73</f>
        <v>0</v>
      </c>
      <c r="D46" s="2"/>
      <c r="F46" s="215">
        <f>'[3]Atlantic Southeast'!$GS$70+'[3]Atlantic Southeast'!$GS$73</f>
        <v>0</v>
      </c>
      <c r="I46" s="215">
        <f>'[3]Go Jet'!$GS$70+'[3]Go Jet'!$GS$73</f>
        <v>0</v>
      </c>
      <c r="J46" s="267">
        <f>SUM(B46:I46)</f>
        <v>0</v>
      </c>
    </row>
    <row r="47" spans="1:10" x14ac:dyDescent="0.2">
      <c r="A47" s="268" t="s">
        <v>123</v>
      </c>
      <c r="C47" s="215">
        <f>'[3]Shuttle America_Delta'!$GS$71+'[3]Shuttle America_Delta'!$GS$74</f>
        <v>0</v>
      </c>
      <c r="D47" s="2"/>
      <c r="F47" s="215">
        <f>'[3]Atlantic Southeast'!$GS$71+'[3]Atlantic Southeast'!$GS$74</f>
        <v>0</v>
      </c>
      <c r="I47" s="215">
        <f>'[3]Go Jet'!$GS$71+'[3]Go Jet'!$GS$74</f>
        <v>0</v>
      </c>
      <c r="J47" s="267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1" orientation="landscape" r:id="rId1"/>
  <headerFooter alignWithMargins="0">
    <oddHeader>&amp;L
Schedule 5
&amp;CMinneapolis-St. Paul International Airport
&amp;"Arial,Bold"Other Regional
April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0" zoomScale="115" zoomScaleNormal="115" workbookViewId="0">
      <selection activeCell="N23" sqref="N2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9">
        <v>43922</v>
      </c>
      <c r="B2" s="359" t="s">
        <v>117</v>
      </c>
      <c r="C2" s="359" t="s">
        <v>153</v>
      </c>
      <c r="D2" s="360" t="s">
        <v>78</v>
      </c>
      <c r="E2" s="360" t="s">
        <v>154</v>
      </c>
      <c r="F2" s="359" t="s">
        <v>131</v>
      </c>
      <c r="G2" s="305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6"/>
    </row>
    <row r="4" spans="1:17" x14ac:dyDescent="0.2">
      <c r="A4" s="38" t="s">
        <v>29</v>
      </c>
      <c r="B4" s="292"/>
      <c r="C4" s="119"/>
      <c r="D4" s="119"/>
      <c r="E4" s="119"/>
      <c r="F4" s="119"/>
      <c r="G4" s="407"/>
    </row>
    <row r="5" spans="1:17" x14ac:dyDescent="0.2">
      <c r="A5" s="38" t="s">
        <v>30</v>
      </c>
      <c r="B5" s="292">
        <f>'[3]Charter Misc'!$GS$22</f>
        <v>0</v>
      </c>
      <c r="C5" s="119">
        <f>[3]Ryan!$GS$22</f>
        <v>0</v>
      </c>
      <c r="D5" s="119">
        <f>'[3]Charter Misc'!$GS$32</f>
        <v>0</v>
      </c>
      <c r="E5" s="119">
        <f>[3]Omni!$GS$32</f>
        <v>0</v>
      </c>
      <c r="F5" s="119">
        <f>[3]Xtra!$GS$32+[3]Xtra!$GS$22</f>
        <v>0</v>
      </c>
      <c r="G5" s="408">
        <f>SUM(B5:F5)</f>
        <v>0</v>
      </c>
    </row>
    <row r="6" spans="1:17" x14ac:dyDescent="0.2">
      <c r="A6" s="38" t="s">
        <v>31</v>
      </c>
      <c r="B6" s="293">
        <f>'[3]Charter Misc'!$GS$23</f>
        <v>0</v>
      </c>
      <c r="C6" s="122">
        <f>[3]Ryan!$GS$23</f>
        <v>0</v>
      </c>
      <c r="D6" s="122">
        <f>'[3]Charter Misc'!$GS$33</f>
        <v>0</v>
      </c>
      <c r="E6" s="122">
        <f>[3]Omni!$GS$33+[3]Omni!$GS$23</f>
        <v>0</v>
      </c>
      <c r="F6" s="122">
        <f>[3]Xtra!$GS$33+[3]Xtra!$GS$23</f>
        <v>0</v>
      </c>
      <c r="G6" s="409">
        <f>SUM(B6:F6)</f>
        <v>0</v>
      </c>
    </row>
    <row r="7" spans="1:17" ht="15.75" thickBot="1" x14ac:dyDescent="0.3">
      <c r="A7" s="118" t="s">
        <v>7</v>
      </c>
      <c r="B7" s="294">
        <f>SUM(B5:B6)</f>
        <v>0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10">
        <f>SUM(B7:F7)</f>
        <v>0</v>
      </c>
    </row>
    <row r="8" spans="1:17" ht="13.5" thickBot="1" x14ac:dyDescent="0.25">
      <c r="G8" s="38"/>
    </row>
    <row r="9" spans="1:17" x14ac:dyDescent="0.2">
      <c r="A9" s="116" t="s">
        <v>9</v>
      </c>
      <c r="B9" s="295"/>
      <c r="C9" s="23"/>
      <c r="D9" s="23"/>
      <c r="E9" s="23"/>
      <c r="F9" s="23"/>
      <c r="G9" s="411"/>
    </row>
    <row r="10" spans="1:17" x14ac:dyDescent="0.2">
      <c r="A10" s="117" t="s">
        <v>80</v>
      </c>
      <c r="B10" s="292">
        <f>'[3]Charter Misc'!$GS$4</f>
        <v>0</v>
      </c>
      <c r="C10" s="119">
        <f>[3]Ryan!$GS$4</f>
        <v>0</v>
      </c>
      <c r="D10" s="119">
        <f>'[3]Charter Misc'!$GS$15</f>
        <v>0</v>
      </c>
      <c r="E10" s="119">
        <f>[3]Omni!$GS$15+[3]Omni!$GS$4+[3]Omni!$GS$8</f>
        <v>0</v>
      </c>
      <c r="F10" s="119">
        <f>[3]Xtra!$GS$15+[3]Xtra!$GS$4+[3]Omni!$GS$8</f>
        <v>0</v>
      </c>
      <c r="G10" s="409">
        <f>SUM(B10:F10)</f>
        <v>0</v>
      </c>
    </row>
    <row r="11" spans="1:17" x14ac:dyDescent="0.2">
      <c r="A11" s="117" t="s">
        <v>81</v>
      </c>
      <c r="B11" s="292">
        <f>'[3]Charter Misc'!$GS$5</f>
        <v>0</v>
      </c>
      <c r="C11" s="119">
        <f>[3]Ryan!$GS$5</f>
        <v>0</v>
      </c>
      <c r="D11" s="119">
        <f>'[3]Charter Misc'!$GS$16</f>
        <v>0</v>
      </c>
      <c r="E11" s="119">
        <f>[3]Omni!$GS$16+[3]Omni!$GS$5+[3]Omni!$GS$9</f>
        <v>0</v>
      </c>
      <c r="F11" s="119">
        <f>[3]Xtra!$GS$16+[3]Xtra!$GS$5+[3]Omni!$GS$9</f>
        <v>0</v>
      </c>
      <c r="G11" s="409">
        <f>SUM(B11:F11)</f>
        <v>0</v>
      </c>
    </row>
    <row r="12" spans="1:17" ht="15.75" thickBot="1" x14ac:dyDescent="0.3">
      <c r="A12" s="183" t="s">
        <v>28</v>
      </c>
      <c r="B12" s="296">
        <f>SUM(B10:B11)</f>
        <v>0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2">
        <f>SUM(B12:F12)</f>
        <v>0</v>
      </c>
      <c r="Q12" s="83"/>
    </row>
    <row r="17" spans="1:16" x14ac:dyDescent="0.2">
      <c r="B17" s="454" t="s">
        <v>151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6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2"/>
      <c r="B19" s="457" t="s">
        <v>119</v>
      </c>
      <c r="C19" s="458"/>
      <c r="D19" s="458"/>
      <c r="E19" s="459"/>
      <c r="G19" s="457" t="s">
        <v>120</v>
      </c>
      <c r="H19" s="460"/>
      <c r="I19" s="460"/>
      <c r="J19" s="461"/>
      <c r="L19" s="462" t="s">
        <v>121</v>
      </c>
      <c r="M19" s="463"/>
      <c r="N19" s="463"/>
      <c r="O19" s="464"/>
    </row>
    <row r="20" spans="1:16" ht="13.5" thickBot="1" x14ac:dyDescent="0.25">
      <c r="A20" s="147" t="s">
        <v>100</v>
      </c>
      <c r="B20" s="420" t="s">
        <v>101</v>
      </c>
      <c r="C20" s="428" t="s">
        <v>102</v>
      </c>
      <c r="D20" s="5" t="s">
        <v>215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215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421">
        <f>+[4]Charter!$B$21</f>
        <v>154018</v>
      </c>
      <c r="C21" s="422">
        <f>+[4]Charter!$C$21</f>
        <v>145053</v>
      </c>
      <c r="D21" s="357">
        <f t="shared" ref="D21:D32" si="0">SUM(B21:C21)</f>
        <v>299071</v>
      </c>
      <c r="E21" s="358">
        <f>[5]Charter!$D$21</f>
        <v>266711</v>
      </c>
      <c r="F21" s="230">
        <f t="shared" ref="F21:F32" si="1">(D21-E21)/E21</f>
        <v>0.12132982891594273</v>
      </c>
      <c r="G21" s="226">
        <f t="shared" ref="G21:H23" si="2">L21-B21</f>
        <v>1288852</v>
      </c>
      <c r="H21" s="227">
        <f t="shared" si="2"/>
        <v>1327520</v>
      </c>
      <c r="I21" s="227">
        <f>SUM(G21:H21)</f>
        <v>2616372</v>
      </c>
      <c r="J21" s="228">
        <f>[5]Charter!$I$21</f>
        <v>2470130</v>
      </c>
      <c r="K21" s="157">
        <f t="shared" ref="K21:K32" si="3">(I21-J21)/J21</f>
        <v>5.9204171440369532E-2</v>
      </c>
      <c r="L21" s="226">
        <f>+[4]Charter!$L$21</f>
        <v>1442870</v>
      </c>
      <c r="M21" s="227">
        <f>+[4]Charter!$M$21</f>
        <v>1472573</v>
      </c>
      <c r="N21" s="227">
        <f t="shared" ref="N21:N32" si="4">SUM(L21:M21)</f>
        <v>2915443</v>
      </c>
      <c r="O21" s="228">
        <f>[5]Charter!$N$21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423">
        <f>+[6]Charter!$B$22</f>
        <v>152114</v>
      </c>
      <c r="C22" s="424">
        <f>+[6]Charter!$C$22</f>
        <v>153672</v>
      </c>
      <c r="D22" s="425">
        <f t="shared" ref="D22" si="5">SUM(B22:C22)</f>
        <v>305786</v>
      </c>
      <c r="E22" s="354">
        <f>[7]Charter!$D22</f>
        <v>274882</v>
      </c>
      <c r="F22" s="225">
        <f t="shared" si="1"/>
        <v>0.11242642297422166</v>
      </c>
      <c r="G22" s="355">
        <f t="shared" si="2"/>
        <v>1270024</v>
      </c>
      <c r="H22" s="356">
        <f t="shared" si="2"/>
        <v>1284803</v>
      </c>
      <c r="I22" s="356">
        <f>SUM(G22:H22)</f>
        <v>2554827</v>
      </c>
      <c r="J22" s="229">
        <f>[7]Charter!$I22</f>
        <v>2350129</v>
      </c>
      <c r="K22" s="160">
        <f t="shared" si="3"/>
        <v>8.7100750639645744E-2</v>
      </c>
      <c r="L22" s="355">
        <f>+[6]Charter!$L$22</f>
        <v>1422138</v>
      </c>
      <c r="M22" s="356">
        <f>+[6]Charter!$M$22</f>
        <v>1438475</v>
      </c>
      <c r="N22" s="356">
        <f t="shared" ref="N22" si="6">SUM(L22:M22)</f>
        <v>2860613</v>
      </c>
      <c r="O22" s="229">
        <f>[7]Charter!$N22</f>
        <v>2625011</v>
      </c>
      <c r="P22" s="159">
        <f t="shared" ref="P22:P32" si="7">(N22-O22)/O22</f>
        <v>8.9752766750310756E-2</v>
      </c>
    </row>
    <row r="23" spans="1:16" ht="14.1" customHeight="1" x14ac:dyDescent="0.2">
      <c r="A23" s="158" t="s">
        <v>105</v>
      </c>
      <c r="B23" s="423">
        <f>+[2]Charter!$B$23</f>
        <v>102884</v>
      </c>
      <c r="C23" s="424">
        <f>+[2]Charter!$C$23</f>
        <v>82442</v>
      </c>
      <c r="D23" s="425">
        <f t="shared" ref="D23" si="8">SUM(B23:C23)</f>
        <v>185326</v>
      </c>
      <c r="E23" s="354">
        <f>[8]Charter!$D23</f>
        <v>366937</v>
      </c>
      <c r="F23" s="159">
        <f t="shared" si="1"/>
        <v>-0.49493782311404955</v>
      </c>
      <c r="G23" s="355">
        <f t="shared" si="2"/>
        <v>853906</v>
      </c>
      <c r="H23" s="356">
        <f t="shared" si="2"/>
        <v>748879</v>
      </c>
      <c r="I23" s="356">
        <f>SUM(G23:H23)</f>
        <v>1602785</v>
      </c>
      <c r="J23" s="229">
        <f>[8]Charter!$I23</f>
        <v>3170467</v>
      </c>
      <c r="K23" s="160">
        <f t="shared" si="3"/>
        <v>-0.49446406475765242</v>
      </c>
      <c r="L23" s="355">
        <f>+[2]Charter!$L$23</f>
        <v>956790</v>
      </c>
      <c r="M23" s="356">
        <f>+[2]Charter!$M$23</f>
        <v>831321</v>
      </c>
      <c r="N23" s="356">
        <f t="shared" ref="N23" si="9">SUM(L23:M23)</f>
        <v>1788111</v>
      </c>
      <c r="O23" s="229">
        <f>[8]Charter!$N23</f>
        <v>3537404</v>
      </c>
      <c r="P23" s="159">
        <f t="shared" si="7"/>
        <v>-0.49451320799094478</v>
      </c>
    </row>
    <row r="24" spans="1:16" ht="14.1" customHeight="1" x14ac:dyDescent="0.2">
      <c r="A24" s="158" t="s">
        <v>106</v>
      </c>
      <c r="B24" s="426">
        <f>'Intl Detail'!$P$4+'Intl Detail'!$P$9</f>
        <v>347</v>
      </c>
      <c r="C24" s="427">
        <f>'Intl Detail'!$P$5+'Intl Detail'!$P$10</f>
        <v>541</v>
      </c>
      <c r="D24" s="223">
        <f t="shared" ref="D24" si="10">SUM(B24:C24)</f>
        <v>888</v>
      </c>
      <c r="E24" s="354">
        <f>[1]Charter!$D24</f>
        <v>249952</v>
      </c>
      <c r="F24" s="159">
        <f t="shared" si="1"/>
        <v>-0.99644731788503393</v>
      </c>
      <c r="G24" s="355">
        <f t="shared" ref="G24" si="11">L24-B24</f>
        <v>80644</v>
      </c>
      <c r="H24" s="356">
        <f t="shared" ref="H24" si="12">M24-C24</f>
        <v>69951</v>
      </c>
      <c r="I24" s="356">
        <f>SUM(G24:H24)</f>
        <v>150595</v>
      </c>
      <c r="J24" s="229">
        <f>[1]Charter!$I24</f>
        <v>2886078</v>
      </c>
      <c r="K24" s="160">
        <f t="shared" si="3"/>
        <v>-0.94782019058389966</v>
      </c>
      <c r="L24" s="355">
        <f>'Monthly Summary'!$B$11</f>
        <v>80991</v>
      </c>
      <c r="M24" s="356">
        <f>'Monthly Summary'!$C$11</f>
        <v>70492</v>
      </c>
      <c r="N24" s="356">
        <f t="shared" ref="N24" si="13">SUM(L24:M24)</f>
        <v>151483</v>
      </c>
      <c r="O24" s="229">
        <f>[1]Charter!$N24</f>
        <v>3136030</v>
      </c>
      <c r="P24" s="159">
        <f t="shared" si="7"/>
        <v>-0.95169593403124331</v>
      </c>
    </row>
    <row r="25" spans="1:16" ht="14.1" customHeight="1" x14ac:dyDescent="0.2">
      <c r="A25" s="145" t="s">
        <v>76</v>
      </c>
      <c r="B25" s="222"/>
      <c r="C25" s="224"/>
      <c r="D25" s="223">
        <f t="shared" si="0"/>
        <v>0</v>
      </c>
      <c r="E25" s="229"/>
      <c r="F25" s="148" t="e">
        <f t="shared" si="1"/>
        <v>#DIV/0!</v>
      </c>
      <c r="G25" s="222"/>
      <c r="H25" s="224"/>
      <c r="I25" s="223">
        <f t="shared" ref="I25:I32" si="14">SUM(G25:H25)</f>
        <v>0</v>
      </c>
      <c r="J25" s="229"/>
      <c r="K25" s="154" t="e">
        <f t="shared" si="3"/>
        <v>#DIV/0!</v>
      </c>
      <c r="L25" s="222"/>
      <c r="M25" s="224"/>
      <c r="N25" s="223">
        <f t="shared" si="4"/>
        <v>0</v>
      </c>
      <c r="O25" s="229"/>
      <c r="P25" s="148" t="e">
        <f t="shared" si="7"/>
        <v>#DIV/0!</v>
      </c>
    </row>
    <row r="26" spans="1:16" ht="14.1" customHeight="1" x14ac:dyDescent="0.2">
      <c r="A26" s="158" t="s">
        <v>107</v>
      </c>
      <c r="B26" s="222"/>
      <c r="C26" s="224"/>
      <c r="D26" s="223">
        <f t="shared" si="0"/>
        <v>0</v>
      </c>
      <c r="E26" s="229"/>
      <c r="F26" s="159" t="e">
        <f t="shared" si="1"/>
        <v>#DIV/0!</v>
      </c>
      <c r="G26" s="222"/>
      <c r="H26" s="224"/>
      <c r="I26" s="223">
        <f t="shared" si="14"/>
        <v>0</v>
      </c>
      <c r="J26" s="229"/>
      <c r="K26" s="160" t="e">
        <f t="shared" si="3"/>
        <v>#DIV/0!</v>
      </c>
      <c r="L26" s="222"/>
      <c r="M26" s="224"/>
      <c r="N26" s="223">
        <f t="shared" si="4"/>
        <v>0</v>
      </c>
      <c r="O26" s="229"/>
      <c r="P26" s="159" t="e">
        <f t="shared" si="7"/>
        <v>#DIV/0!</v>
      </c>
    </row>
    <row r="27" spans="1:16" ht="14.1" customHeight="1" x14ac:dyDescent="0.2">
      <c r="A27" s="145" t="s">
        <v>108</v>
      </c>
      <c r="B27" s="222"/>
      <c r="C27" s="224"/>
      <c r="D27" s="223">
        <f t="shared" si="0"/>
        <v>0</v>
      </c>
      <c r="E27" s="229"/>
      <c r="F27" s="148" t="e">
        <f t="shared" si="1"/>
        <v>#DIV/0!</v>
      </c>
      <c r="G27" s="222"/>
      <c r="H27" s="224"/>
      <c r="I27" s="223">
        <f t="shared" si="14"/>
        <v>0</v>
      </c>
      <c r="J27" s="229"/>
      <c r="K27" s="154" t="e">
        <f t="shared" si="3"/>
        <v>#DIV/0!</v>
      </c>
      <c r="L27" s="222"/>
      <c r="M27" s="224"/>
      <c r="N27" s="223">
        <f t="shared" si="4"/>
        <v>0</v>
      </c>
      <c r="O27" s="229"/>
      <c r="P27" s="148" t="e">
        <f t="shared" si="7"/>
        <v>#DIV/0!</v>
      </c>
    </row>
    <row r="28" spans="1:16" ht="14.1" customHeight="1" x14ac:dyDescent="0.2">
      <c r="A28" s="158" t="s">
        <v>109</v>
      </c>
      <c r="B28" s="222"/>
      <c r="C28" s="224"/>
      <c r="D28" s="223">
        <f t="shared" si="0"/>
        <v>0</v>
      </c>
      <c r="E28" s="229"/>
      <c r="F28" s="159" t="e">
        <f t="shared" si="1"/>
        <v>#DIV/0!</v>
      </c>
      <c r="G28" s="222"/>
      <c r="H28" s="224"/>
      <c r="I28" s="223">
        <f t="shared" si="14"/>
        <v>0</v>
      </c>
      <c r="J28" s="229"/>
      <c r="K28" s="160" t="e">
        <f t="shared" si="3"/>
        <v>#DIV/0!</v>
      </c>
      <c r="L28" s="222"/>
      <c r="M28" s="224"/>
      <c r="N28" s="223">
        <f t="shared" si="4"/>
        <v>0</v>
      </c>
      <c r="O28" s="229"/>
      <c r="P28" s="159" t="e">
        <f t="shared" si="7"/>
        <v>#DIV/0!</v>
      </c>
    </row>
    <row r="29" spans="1:16" ht="14.1" customHeight="1" x14ac:dyDescent="0.2">
      <c r="A29" s="145" t="s">
        <v>110</v>
      </c>
      <c r="B29" s="222"/>
      <c r="C29" s="224"/>
      <c r="D29" s="223">
        <f t="shared" si="0"/>
        <v>0</v>
      </c>
      <c r="E29" s="229"/>
      <c r="F29" s="148" t="e">
        <f t="shared" si="1"/>
        <v>#DIV/0!</v>
      </c>
      <c r="G29" s="222"/>
      <c r="H29" s="224"/>
      <c r="I29" s="223">
        <f t="shared" si="14"/>
        <v>0</v>
      </c>
      <c r="J29" s="229"/>
      <c r="K29" s="154" t="e">
        <f t="shared" si="3"/>
        <v>#DIV/0!</v>
      </c>
      <c r="L29" s="222"/>
      <c r="M29" s="224"/>
      <c r="N29" s="223">
        <f t="shared" si="4"/>
        <v>0</v>
      </c>
      <c r="O29" s="229"/>
      <c r="P29" s="148" t="e">
        <f t="shared" si="7"/>
        <v>#DIV/0!</v>
      </c>
    </row>
    <row r="30" spans="1:16" ht="14.1" customHeight="1" x14ac:dyDescent="0.2">
      <c r="A30" s="158" t="s">
        <v>111</v>
      </c>
      <c r="B30" s="222"/>
      <c r="C30" s="224"/>
      <c r="D30" s="223">
        <f>SUM(B30:C30)</f>
        <v>0</v>
      </c>
      <c r="E30" s="229"/>
      <c r="F30" s="159" t="e">
        <f t="shared" si="1"/>
        <v>#DIV/0!</v>
      </c>
      <c r="G30" s="222"/>
      <c r="H30" s="224"/>
      <c r="I30" s="223">
        <f>SUM(G30:H30)</f>
        <v>0</v>
      </c>
      <c r="J30" s="229"/>
      <c r="K30" s="160" t="e">
        <f t="shared" si="3"/>
        <v>#DIV/0!</v>
      </c>
      <c r="L30" s="222"/>
      <c r="M30" s="224"/>
      <c r="N30" s="223">
        <f>SUM(L30:M30)</f>
        <v>0</v>
      </c>
      <c r="O30" s="229"/>
      <c r="P30" s="159" t="e">
        <f t="shared" si="7"/>
        <v>#DIV/0!</v>
      </c>
    </row>
    <row r="31" spans="1:16" ht="14.1" customHeight="1" x14ac:dyDescent="0.2">
      <c r="A31" s="145" t="s">
        <v>112</v>
      </c>
      <c r="B31" s="222"/>
      <c r="C31" s="224"/>
      <c r="D31" s="223">
        <f>SUM(B31:C31)</f>
        <v>0</v>
      </c>
      <c r="E31" s="229"/>
      <c r="F31" s="148" t="e">
        <f t="shared" si="1"/>
        <v>#DIV/0!</v>
      </c>
      <c r="G31" s="222"/>
      <c r="H31" s="224"/>
      <c r="I31" s="223">
        <f t="shared" si="14"/>
        <v>0</v>
      </c>
      <c r="J31" s="229"/>
      <c r="K31" s="154" t="e">
        <f t="shared" si="3"/>
        <v>#DIV/0!</v>
      </c>
      <c r="L31" s="222"/>
      <c r="M31" s="224"/>
      <c r="N31" s="223">
        <f>SUM(L31:M31)</f>
        <v>0</v>
      </c>
      <c r="O31" s="229"/>
      <c r="P31" s="148" t="e">
        <f t="shared" si="7"/>
        <v>#DIV/0!</v>
      </c>
    </row>
    <row r="32" spans="1:16" ht="14.1" customHeight="1" x14ac:dyDescent="0.2">
      <c r="A32" s="161" t="s">
        <v>113</v>
      </c>
      <c r="B32" s="222"/>
      <c r="C32" s="224"/>
      <c r="D32" s="104">
        <f t="shared" si="0"/>
        <v>0</v>
      </c>
      <c r="E32" s="229"/>
      <c r="F32" s="162" t="e">
        <f t="shared" si="1"/>
        <v>#DIV/0!</v>
      </c>
      <c r="G32" s="163"/>
      <c r="H32" s="104"/>
      <c r="I32" s="104">
        <f t="shared" si="14"/>
        <v>0</v>
      </c>
      <c r="J32" s="229"/>
      <c r="K32" s="162" t="e">
        <f t="shared" si="3"/>
        <v>#DIV/0!</v>
      </c>
      <c r="L32" s="222"/>
      <c r="M32" s="224"/>
      <c r="N32" s="104">
        <f t="shared" si="4"/>
        <v>0</v>
      </c>
      <c r="O32" s="229"/>
      <c r="P32" s="162" t="e">
        <f t="shared" si="7"/>
        <v>#DIV/0!</v>
      </c>
    </row>
    <row r="33" spans="1:16" ht="13.5" thickBot="1" x14ac:dyDescent="0.25">
      <c r="A33" s="155" t="s">
        <v>77</v>
      </c>
      <c r="B33" s="164">
        <f>SUM(B21:B32)</f>
        <v>409363</v>
      </c>
      <c r="C33" s="165">
        <f>SUM(C21:C32)</f>
        <v>381708</v>
      </c>
      <c r="D33" s="165">
        <f>SUM(D21:D32)</f>
        <v>791071</v>
      </c>
      <c r="E33" s="166">
        <f>SUM(E21:E32)</f>
        <v>1158482</v>
      </c>
      <c r="F33" s="150">
        <f>(D33-E33)/E33</f>
        <v>-0.31714864797208764</v>
      </c>
      <c r="G33" s="167">
        <f>SUM(G21:G32)</f>
        <v>3493426</v>
      </c>
      <c r="H33" s="165">
        <f>SUM(H21:H32)</f>
        <v>3431153</v>
      </c>
      <c r="I33" s="165">
        <f>SUM(I21:I32)</f>
        <v>6924579</v>
      </c>
      <c r="J33" s="168">
        <f>SUM(J21:J32)</f>
        <v>10876804</v>
      </c>
      <c r="K33" s="151">
        <f>(I33-J33)/J33</f>
        <v>-0.36336271206137394</v>
      </c>
      <c r="L33" s="167">
        <f>SUM(L21:L32)</f>
        <v>3902789</v>
      </c>
      <c r="M33" s="165">
        <f>SUM(M21:M32)</f>
        <v>3812861</v>
      </c>
      <c r="N33" s="165">
        <f>SUM(N21:N32)</f>
        <v>7715650</v>
      </c>
      <c r="O33" s="166">
        <f>SUM(O21:O32)</f>
        <v>12035286</v>
      </c>
      <c r="P33" s="149">
        <f>(N33-O33)/O33</f>
        <v>-0.35891427922859498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April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J17" sqref="J17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65" t="s">
        <v>233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7"/>
    </row>
    <row r="2" spans="1:20" s="21" customFormat="1" ht="38.25" customHeight="1" thickBot="1" x14ac:dyDescent="0.25">
      <c r="A2" s="440">
        <v>43922</v>
      </c>
      <c r="B2" s="305" t="s">
        <v>204</v>
      </c>
      <c r="C2" s="305" t="s">
        <v>177</v>
      </c>
      <c r="D2" s="360" t="s">
        <v>84</v>
      </c>
      <c r="E2" s="305" t="s">
        <v>234</v>
      </c>
      <c r="F2" s="359" t="s">
        <v>209</v>
      </c>
      <c r="G2" s="306" t="s">
        <v>82</v>
      </c>
      <c r="H2" s="359" t="s">
        <v>178</v>
      </c>
      <c r="I2" s="305" t="s">
        <v>235</v>
      </c>
      <c r="J2" s="359" t="s">
        <v>86</v>
      </c>
      <c r="K2" s="305" t="s">
        <v>236</v>
      </c>
      <c r="L2" s="305" t="s">
        <v>237</v>
      </c>
      <c r="M2" s="305" t="s">
        <v>238</v>
      </c>
      <c r="N2" s="306" t="s">
        <v>83</v>
      </c>
      <c r="O2" s="359" t="s">
        <v>128</v>
      </c>
      <c r="P2" s="359" t="s">
        <v>21</v>
      </c>
    </row>
    <row r="3" spans="1:20" ht="15" x14ac:dyDescent="0.25">
      <c r="A3" s="127" t="s">
        <v>9</v>
      </c>
      <c r="B3" s="441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3"/>
      <c r="R3" s="324"/>
      <c r="S3" s="324"/>
      <c r="T3" s="324"/>
    </row>
    <row r="4" spans="1:20" x14ac:dyDescent="0.2">
      <c r="A4" s="31" t="s">
        <v>53</v>
      </c>
      <c r="B4" s="163">
        <f>'[3]Atlas Air'!$GS$4</f>
        <v>30</v>
      </c>
      <c r="C4" s="104">
        <f>[3]DHL!$GS$4+[3]DHL_Atlas!$GS$4+[3]DHL_Atlas!$GS$8+[3]DHL_Atlas!$GS$15</f>
        <v>22</v>
      </c>
      <c r="D4" s="83">
        <f>[3]Bemidji!$GS$4</f>
        <v>195</v>
      </c>
      <c r="E4" s="104">
        <f>[3]DHL_Encore!$GS$4+[3]DHL_Encore!$GS$15</f>
        <v>41</v>
      </c>
      <c r="F4" s="104">
        <f>[3]Encore!$GS$4+[3]Encore!$GS$15</f>
        <v>0</v>
      </c>
      <c r="G4" s="104">
        <f>[3]FedEx!$GS$4+[3]FedEx!$GS$15</f>
        <v>122</v>
      </c>
      <c r="H4" s="104">
        <f>[3]IFL!$GS$4+[3]IFL!$GS$15</f>
        <v>14</v>
      </c>
      <c r="I4" s="104">
        <f>[3]DHL_Kalitta!$GS$4+[3]DHL_Kalitta!$GS$15</f>
        <v>0</v>
      </c>
      <c r="J4" s="83">
        <f>'[3]Mountain Cargo'!$GS$4</f>
        <v>25</v>
      </c>
      <c r="K4" s="104">
        <f>[3]DHL_Southair!$GS$4+[3]DHL_Southair!$GS$15</f>
        <v>0</v>
      </c>
      <c r="L4" s="104">
        <f>[3]DHL_Swift!$GS$4+[3]DHL_Swift!$GS$15</f>
        <v>0</v>
      </c>
      <c r="M4" s="104">
        <f>+'[3]Sun Country Cargo'!$GS$4+'[3]Sun Country Cargo'!$GS$8+'[3]Sun Country Cargo'!$GS$15</f>
        <v>0</v>
      </c>
      <c r="N4" s="104">
        <f>[3]UPS!$GS$4+[3]UPS!$GS$15</f>
        <v>148</v>
      </c>
      <c r="O4" s="83">
        <f>'[3]Misc Cargo'!$GS$4</f>
        <v>0</v>
      </c>
      <c r="P4" s="414">
        <f>SUM(B4:O4)</f>
        <v>597</v>
      </c>
      <c r="R4" s="324"/>
      <c r="S4" s="324"/>
      <c r="T4" s="192"/>
    </row>
    <row r="5" spans="1:20" x14ac:dyDescent="0.2">
      <c r="A5" s="31" t="s">
        <v>54</v>
      </c>
      <c r="B5" s="442">
        <f>'[3]Atlas Air'!$GS$5</f>
        <v>30</v>
      </c>
      <c r="C5" s="126">
        <f>[3]DHL!$GS$5+[3]DHL_Atlas!$GS$5+[3]DHL_Atlas!$GS$9+[3]DHL_Atlas!$GS$16</f>
        <v>22</v>
      </c>
      <c r="D5" s="84">
        <f>[3]Bemidji!$GS$5</f>
        <v>195</v>
      </c>
      <c r="E5" s="126">
        <f>[3]DHL_Encore!$GS$5</f>
        <v>41</v>
      </c>
      <c r="F5" s="126">
        <f>[3]Encore!$GS$5</f>
        <v>0</v>
      </c>
      <c r="G5" s="126">
        <f>[3]FedEx!$GS$5</f>
        <v>122</v>
      </c>
      <c r="H5" s="126">
        <f>[3]IFL!$GS$5</f>
        <v>14</v>
      </c>
      <c r="I5" s="126">
        <f>[3]DHL_Kalitta!$GS$5</f>
        <v>0</v>
      </c>
      <c r="J5" s="84">
        <f>'[3]Mountain Cargo'!$GS$5</f>
        <v>25</v>
      </c>
      <c r="K5" s="126">
        <f>[3]DHL_Southair!$GS$5</f>
        <v>0</v>
      </c>
      <c r="L5" s="126">
        <f>[3]DHL_Swift!$GS$5</f>
        <v>0</v>
      </c>
      <c r="M5" s="126">
        <f>+'[3]Sun Country Cargo'!$GS$5+'[3]Sun Country Cargo'!$GS$9+'[3]Sun Country Cargo'!$GS$16</f>
        <v>0</v>
      </c>
      <c r="N5" s="126">
        <f>[3]UPS!$GS$5+[3]UPS!$GS$16</f>
        <v>147</v>
      </c>
      <c r="O5" s="84">
        <f>'[3]Misc Cargo'!$GS$5</f>
        <v>0</v>
      </c>
      <c r="P5" s="414">
        <f t="shared" ref="P5:P10" si="0">SUM(B5:O5)</f>
        <v>596</v>
      </c>
      <c r="R5" s="324"/>
      <c r="S5" s="324"/>
      <c r="T5" s="192"/>
    </row>
    <row r="6" spans="1:20" s="123" customFormat="1" x14ac:dyDescent="0.2">
      <c r="A6" s="129" t="s">
        <v>55</v>
      </c>
      <c r="B6" s="443">
        <f t="shared" ref="B6:O6" si="1">SUM(B4:B5)</f>
        <v>60</v>
      </c>
      <c r="C6" s="130">
        <f t="shared" si="1"/>
        <v>44</v>
      </c>
      <c r="D6" s="82">
        <f t="shared" si="1"/>
        <v>390</v>
      </c>
      <c r="E6" s="130">
        <f t="shared" si="1"/>
        <v>82</v>
      </c>
      <c r="F6" s="130">
        <f t="shared" si="1"/>
        <v>0</v>
      </c>
      <c r="G6" s="130">
        <f t="shared" si="1"/>
        <v>244</v>
      </c>
      <c r="H6" s="130">
        <f t="shared" si="1"/>
        <v>28</v>
      </c>
      <c r="I6" s="130">
        <f t="shared" si="1"/>
        <v>0</v>
      </c>
      <c r="J6" s="82">
        <f t="shared" si="1"/>
        <v>50</v>
      </c>
      <c r="K6" s="130">
        <f t="shared" si="1"/>
        <v>0</v>
      </c>
      <c r="L6" s="130">
        <f t="shared" si="1"/>
        <v>0</v>
      </c>
      <c r="M6" s="130">
        <f t="shared" si="1"/>
        <v>0</v>
      </c>
      <c r="N6" s="130">
        <f t="shared" si="1"/>
        <v>295</v>
      </c>
      <c r="O6" s="82">
        <f t="shared" si="1"/>
        <v>0</v>
      </c>
      <c r="P6" s="414">
        <f t="shared" si="0"/>
        <v>1193</v>
      </c>
      <c r="T6" s="266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4"/>
      <c r="R7" s="302"/>
      <c r="S7" s="324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Cargo'!$GS$8</f>
        <v>0</v>
      </c>
      <c r="P8" s="414">
        <f t="shared" si="0"/>
        <v>0</v>
      </c>
      <c r="R8" s="324"/>
      <c r="S8" s="324"/>
      <c r="T8" s="192"/>
    </row>
    <row r="9" spans="1:20" ht="15" x14ac:dyDescent="0.25">
      <c r="A9" s="31" t="s">
        <v>57</v>
      </c>
      <c r="B9" s="442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Cargo'!$GS$9</f>
        <v>0</v>
      </c>
      <c r="P9" s="414">
        <f t="shared" si="0"/>
        <v>0</v>
      </c>
      <c r="R9" s="324"/>
      <c r="S9" s="8"/>
      <c r="T9" s="192"/>
    </row>
    <row r="10" spans="1:20" s="123" customFormat="1" x14ac:dyDescent="0.2">
      <c r="A10" s="129" t="s">
        <v>58</v>
      </c>
      <c r="B10" s="443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4">
        <f t="shared" si="0"/>
        <v>0</v>
      </c>
      <c r="T10" s="266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3"/>
      <c r="R11" s="324"/>
      <c r="S11" s="324"/>
      <c r="T11" s="192"/>
    </row>
    <row r="12" spans="1:20" ht="18" customHeight="1" thickBot="1" x14ac:dyDescent="0.25">
      <c r="A12" s="131" t="s">
        <v>28</v>
      </c>
      <c r="B12" s="444">
        <f t="shared" ref="B12:O12" si="3">B6+B10</f>
        <v>60</v>
      </c>
      <c r="C12" s="132">
        <f t="shared" si="3"/>
        <v>44</v>
      </c>
      <c r="D12" s="133">
        <f t="shared" si="3"/>
        <v>390</v>
      </c>
      <c r="E12" s="132">
        <f t="shared" si="3"/>
        <v>82</v>
      </c>
      <c r="F12" s="132">
        <f t="shared" si="3"/>
        <v>0</v>
      </c>
      <c r="G12" s="132">
        <f t="shared" si="3"/>
        <v>244</v>
      </c>
      <c r="H12" s="132">
        <f t="shared" si="3"/>
        <v>28</v>
      </c>
      <c r="I12" s="132">
        <f t="shared" si="3"/>
        <v>0</v>
      </c>
      <c r="J12" s="133">
        <f t="shared" si="3"/>
        <v>50</v>
      </c>
      <c r="K12" s="132">
        <f t="shared" si="3"/>
        <v>0</v>
      </c>
      <c r="L12" s="132">
        <f t="shared" si="3"/>
        <v>0</v>
      </c>
      <c r="M12" s="132">
        <f t="shared" si="3"/>
        <v>0</v>
      </c>
      <c r="N12" s="132">
        <f t="shared" si="3"/>
        <v>295</v>
      </c>
      <c r="O12" s="133">
        <f t="shared" si="3"/>
        <v>0</v>
      </c>
      <c r="P12" s="416">
        <f>SUM(B12:O12)</f>
        <v>1193</v>
      </c>
      <c r="R12" s="324"/>
      <c r="S12" s="324"/>
      <c r="T12" s="192"/>
    </row>
    <row r="13" spans="1:20" ht="18" customHeight="1" thickBot="1" x14ac:dyDescent="0.25">
      <c r="A13" s="114"/>
      <c r="B13" s="445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2"/>
    </row>
    <row r="14" spans="1:20" ht="15" x14ac:dyDescent="0.25">
      <c r="A14" s="134" t="s">
        <v>93</v>
      </c>
      <c r="B14" s="446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7"/>
      <c r="R14" s="324"/>
      <c r="S14" s="324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2"/>
    </row>
    <row r="16" spans="1:20" x14ac:dyDescent="0.2">
      <c r="A16" s="31" t="s">
        <v>37</v>
      </c>
      <c r="B16" s="163">
        <f>'[3]Atlas Air'!$GS$47</f>
        <v>2502691</v>
      </c>
      <c r="C16" s="104">
        <f>[3]DHL!$GS$47+[3]DHL_Atlas!$GS$47</f>
        <v>853141</v>
      </c>
      <c r="D16" s="468" t="s">
        <v>87</v>
      </c>
      <c r="E16" s="104">
        <f>[3]DHL_Encore!$GS$47</f>
        <v>48859</v>
      </c>
      <c r="F16" s="104">
        <f>[3]Encore!$GS$47</f>
        <v>0</v>
      </c>
      <c r="G16" s="104">
        <f>[3]FedEx!$GS$47</f>
        <v>8810201</v>
      </c>
      <c r="H16" s="104">
        <f>[3]IFL!$GS$47</f>
        <v>34335</v>
      </c>
      <c r="I16" s="104">
        <f>[3]DHL_Kalitta!$GS$47</f>
        <v>0</v>
      </c>
      <c r="J16" s="83">
        <f>'[3]Mountain Cargo'!$GS$47</f>
        <v>0</v>
      </c>
      <c r="K16" s="104">
        <f>[3]DHL_Southair!$GS$47</f>
        <v>0</v>
      </c>
      <c r="L16" s="104">
        <f>[3]DHL_Swift!$GS$47</f>
        <v>0</v>
      </c>
      <c r="M16" s="104">
        <f>+'[3]Sun Country Cargo'!$GS$47</f>
        <v>0</v>
      </c>
      <c r="N16" s="104">
        <f>[3]UPS!$GS$47</f>
        <v>5743386</v>
      </c>
      <c r="O16" s="83">
        <f>'[3]Misc Cargo'!$GS$47</f>
        <v>0</v>
      </c>
      <c r="P16" s="414">
        <f>SUM(B16:C16)+SUM(E16:O16)</f>
        <v>17992613</v>
      </c>
      <c r="R16" s="324"/>
      <c r="S16" s="324"/>
      <c r="T16" s="192"/>
    </row>
    <row r="17" spans="1:20" x14ac:dyDescent="0.2">
      <c r="A17" s="31" t="s">
        <v>38</v>
      </c>
      <c r="B17" s="163">
        <f>'[3]Atlas Air'!$GS$48</f>
        <v>0</v>
      </c>
      <c r="C17" s="104">
        <f>[3]DHL!$GS$48</f>
        <v>0</v>
      </c>
      <c r="D17" s="469"/>
      <c r="E17" s="104">
        <f>[3]DHL_Encore!$GS$48</f>
        <v>0</v>
      </c>
      <c r="F17" s="104">
        <f>[3]Encore!$GS$48</f>
        <v>0</v>
      </c>
      <c r="G17" s="104">
        <f>[3]FedEx!$GS$48</f>
        <v>0</v>
      </c>
      <c r="H17" s="104">
        <f>[3]IFL!$GS$48</f>
        <v>0</v>
      </c>
      <c r="I17" s="104">
        <f>[3]DHL_Kalitta!$GS$48</f>
        <v>0</v>
      </c>
      <c r="J17" s="83">
        <f>'[3]Mountain Cargo'!$GS$48</f>
        <v>7249</v>
      </c>
      <c r="K17" s="104">
        <f>[3]DHL_Southair!$GS$48</f>
        <v>0</v>
      </c>
      <c r="L17" s="104">
        <f>[3]DHL_Swift!$GS$48</f>
        <v>0</v>
      </c>
      <c r="M17" s="104">
        <f>+'[3]Sun Country Cargo'!$GS$48</f>
        <v>0</v>
      </c>
      <c r="N17" s="104">
        <f>[3]UPS!$GS$48</f>
        <v>0</v>
      </c>
      <c r="O17" s="83">
        <f>'[3]Misc Cargo'!$GS$48</f>
        <v>0</v>
      </c>
      <c r="P17" s="414">
        <f>SUM(B17:C17)+SUM(E17:O17)</f>
        <v>7249</v>
      </c>
      <c r="R17" s="324"/>
      <c r="S17" s="324"/>
      <c r="T17" s="192"/>
    </row>
    <row r="18" spans="1:20" ht="18" customHeight="1" x14ac:dyDescent="0.2">
      <c r="A18" s="137" t="s">
        <v>39</v>
      </c>
      <c r="B18" s="447">
        <f>SUM(B16:B17)</f>
        <v>2502691</v>
      </c>
      <c r="C18" s="196">
        <f>SUM(C16:C17)</f>
        <v>853141</v>
      </c>
      <c r="D18" s="469"/>
      <c r="E18" s="196">
        <f>SUM(E16:E17)</f>
        <v>48859</v>
      </c>
      <c r="F18" s="196">
        <f>SUM(F16:F17)</f>
        <v>0</v>
      </c>
      <c r="G18" s="196">
        <f>SUM(G16:G17)</f>
        <v>8810201</v>
      </c>
      <c r="H18" s="196">
        <f>SUM(H16:H17)</f>
        <v>34335</v>
      </c>
      <c r="I18" s="196">
        <f t="shared" ref="I18:O18" si="4">SUM(I16:I17)</f>
        <v>0</v>
      </c>
      <c r="J18" s="197">
        <f t="shared" si="4"/>
        <v>7249</v>
      </c>
      <c r="K18" s="196">
        <f t="shared" si="4"/>
        <v>0</v>
      </c>
      <c r="L18" s="196">
        <f t="shared" si="4"/>
        <v>0</v>
      </c>
      <c r="M18" s="196">
        <f t="shared" si="4"/>
        <v>0</v>
      </c>
      <c r="N18" s="196">
        <f t="shared" si="4"/>
        <v>5743386</v>
      </c>
      <c r="O18" s="197">
        <f t="shared" si="4"/>
        <v>0</v>
      </c>
      <c r="P18" s="418">
        <f>SUM(B18:C18)+SUM(E18:O18)</f>
        <v>17999862</v>
      </c>
      <c r="R18" s="324"/>
      <c r="S18" s="324"/>
      <c r="T18" s="192"/>
    </row>
    <row r="19" spans="1:20" x14ac:dyDescent="0.2">
      <c r="A19" s="31"/>
      <c r="B19" s="163"/>
      <c r="C19" s="104"/>
      <c r="D19" s="469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4"/>
      <c r="R19" s="302"/>
      <c r="S19" s="324"/>
      <c r="T19" s="192"/>
    </row>
    <row r="20" spans="1:20" x14ac:dyDescent="0.2">
      <c r="A20" s="136" t="s">
        <v>88</v>
      </c>
      <c r="B20" s="163"/>
      <c r="C20" s="104"/>
      <c r="D20" s="469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4"/>
      <c r="R20" s="302"/>
      <c r="S20" s="324"/>
      <c r="T20" s="192"/>
    </row>
    <row r="21" spans="1:20" x14ac:dyDescent="0.2">
      <c r="A21" s="31" t="s">
        <v>59</v>
      </c>
      <c r="B21" s="163">
        <f>'[3]Atlas Air'!$GS$52</f>
        <v>945131</v>
      </c>
      <c r="C21" s="104">
        <f>[3]DHL!$GS$52+[3]DHL_Atlas!$GS$52</f>
        <v>652987</v>
      </c>
      <c r="D21" s="469"/>
      <c r="E21" s="104">
        <f>[3]DHL_Encore!$GS$52</f>
        <v>85933</v>
      </c>
      <c r="F21" s="104">
        <f>[3]Encore!$GS$52</f>
        <v>0</v>
      </c>
      <c r="G21" s="104">
        <f>[3]FedEx!$GS$52</f>
        <v>7017416</v>
      </c>
      <c r="H21" s="104">
        <f>[3]IFL!$GS$52</f>
        <v>0</v>
      </c>
      <c r="I21" s="104">
        <f>[3]DHL_Kalitta!$GS$52</f>
        <v>0</v>
      </c>
      <c r="J21" s="83">
        <f>'[3]Mountain Cargo'!$GS$52</f>
        <v>0</v>
      </c>
      <c r="K21" s="104">
        <f>[3]DHL_Southair!$GS$52</f>
        <v>0</v>
      </c>
      <c r="L21" s="104">
        <f>[3]DHL_Swift!$GS$52</f>
        <v>0</v>
      </c>
      <c r="M21" s="104">
        <f>+'[3]Sun Country Cargo'!$GS$52</f>
        <v>0</v>
      </c>
      <c r="N21" s="104">
        <f>[3]UPS!$GS$52</f>
        <v>4661667</v>
      </c>
      <c r="O21" s="83">
        <f>'[3]Misc Cargo'!$GS$52</f>
        <v>0</v>
      </c>
      <c r="P21" s="414">
        <f t="shared" ref="P21:P23" si="5">SUM(B21:C21)+SUM(E21:O21)</f>
        <v>13363134</v>
      </c>
      <c r="R21" s="324"/>
      <c r="S21" s="324"/>
      <c r="T21" s="192"/>
    </row>
    <row r="22" spans="1:20" x14ac:dyDescent="0.2">
      <c r="A22" s="31" t="s">
        <v>60</v>
      </c>
      <c r="B22" s="163">
        <f>'[3]Atlas Air'!$GS$53</f>
        <v>0</v>
      </c>
      <c r="C22" s="104">
        <f>[3]DHL!$GS$53</f>
        <v>0</v>
      </c>
      <c r="D22" s="469"/>
      <c r="E22" s="104">
        <f>[3]DHL_Encore!$GS$53</f>
        <v>0</v>
      </c>
      <c r="F22" s="104">
        <f>[3]Encore!$GS$53</f>
        <v>0</v>
      </c>
      <c r="G22" s="104">
        <f>[3]FedEx!$GS$53</f>
        <v>0</v>
      </c>
      <c r="H22" s="104">
        <f>[3]IFL!$GS$53</f>
        <v>0</v>
      </c>
      <c r="I22" s="104">
        <f>[3]DHL_Kalitta!$GS$53</f>
        <v>0</v>
      </c>
      <c r="J22" s="83">
        <f>'[3]Mountain Cargo'!$GS$53</f>
        <v>123854</v>
      </c>
      <c r="K22" s="104">
        <f>[3]DHL_Southair!$GS$53</f>
        <v>0</v>
      </c>
      <c r="L22" s="104">
        <f>[3]DHL_Swift!$GS$53</f>
        <v>0</v>
      </c>
      <c r="M22" s="104">
        <f>+'[3]Sun Country Cargo'!$GS$53</f>
        <v>0</v>
      </c>
      <c r="N22" s="104">
        <f>[3]UPS!$GS$53</f>
        <v>611770</v>
      </c>
      <c r="O22" s="83">
        <f>'[3]Misc Cargo'!$GS$53</f>
        <v>0</v>
      </c>
      <c r="P22" s="414">
        <f t="shared" si="5"/>
        <v>735624</v>
      </c>
      <c r="R22" s="324"/>
      <c r="S22" s="324"/>
      <c r="T22" s="192"/>
    </row>
    <row r="23" spans="1:20" ht="18" customHeight="1" x14ac:dyDescent="0.2">
      <c r="A23" s="137" t="s">
        <v>41</v>
      </c>
      <c r="B23" s="447">
        <f>SUM(B21:B22)</f>
        <v>945131</v>
      </c>
      <c r="C23" s="196">
        <f>SUM(C21:C22)</f>
        <v>652987</v>
      </c>
      <c r="D23" s="469"/>
      <c r="E23" s="196">
        <f t="shared" ref="E23:O23" si="6">SUM(E21:E22)</f>
        <v>85933</v>
      </c>
      <c r="F23" s="196">
        <f t="shared" si="6"/>
        <v>0</v>
      </c>
      <c r="G23" s="196">
        <f t="shared" si="6"/>
        <v>7017416</v>
      </c>
      <c r="H23" s="196">
        <f t="shared" si="6"/>
        <v>0</v>
      </c>
      <c r="I23" s="196">
        <f t="shared" si="6"/>
        <v>0</v>
      </c>
      <c r="J23" s="197">
        <f t="shared" si="6"/>
        <v>123854</v>
      </c>
      <c r="K23" s="196">
        <f t="shared" si="6"/>
        <v>0</v>
      </c>
      <c r="L23" s="196">
        <f t="shared" si="6"/>
        <v>0</v>
      </c>
      <c r="M23" s="196">
        <f t="shared" si="6"/>
        <v>0</v>
      </c>
      <c r="N23" s="196">
        <f t="shared" si="6"/>
        <v>5273437</v>
      </c>
      <c r="O23" s="197">
        <f t="shared" si="6"/>
        <v>0</v>
      </c>
      <c r="P23" s="418">
        <f t="shared" si="5"/>
        <v>14098758</v>
      </c>
      <c r="R23" s="324"/>
      <c r="S23" s="324"/>
      <c r="T23" s="192"/>
    </row>
    <row r="24" spans="1:20" x14ac:dyDescent="0.2">
      <c r="A24" s="31"/>
      <c r="B24" s="163"/>
      <c r="C24" s="104"/>
      <c r="D24" s="469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4"/>
      <c r="R24" s="324"/>
      <c r="S24" s="324"/>
      <c r="T24" s="192"/>
    </row>
    <row r="25" spans="1:20" x14ac:dyDescent="0.2">
      <c r="A25" s="136" t="s">
        <v>95</v>
      </c>
      <c r="B25" s="163"/>
      <c r="C25" s="104"/>
      <c r="D25" s="469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4"/>
      <c r="R25" s="324"/>
      <c r="S25" s="324"/>
      <c r="T25" s="192"/>
    </row>
    <row r="26" spans="1:20" x14ac:dyDescent="0.2">
      <c r="A26" s="31" t="s">
        <v>59</v>
      </c>
      <c r="B26" s="163">
        <f>'[3]Atlas Air'!$GS$57</f>
        <v>0</v>
      </c>
      <c r="C26" s="104">
        <f>[3]DHL!$GS$57</f>
        <v>0</v>
      </c>
      <c r="D26" s="469"/>
      <c r="E26" s="104">
        <f>[3]DHL_Encore!$GS$57</f>
        <v>0</v>
      </c>
      <c r="F26" s="104">
        <f>[3]Encore!$GS$57</f>
        <v>0</v>
      </c>
      <c r="G26" s="104">
        <f>[3]FedEx!$GS$57</f>
        <v>0</v>
      </c>
      <c r="H26" s="104">
        <f>[3]IFL!$GS$57</f>
        <v>0</v>
      </c>
      <c r="I26" s="104">
        <f>[3]DHL_Kalitta!$GS$57</f>
        <v>0</v>
      </c>
      <c r="J26" s="83">
        <f>'[3]Mountain Cargo'!$GS$57</f>
        <v>0</v>
      </c>
      <c r="K26" s="104">
        <f>[3]DHL_Southair!$GS$57</f>
        <v>0</v>
      </c>
      <c r="L26" s="104">
        <f>[3]DHL_Swift!$GS$57</f>
        <v>0</v>
      </c>
      <c r="M26" s="104">
        <f>+'[3]Sun Country Cargo'!$GS$57</f>
        <v>0</v>
      </c>
      <c r="N26" s="104">
        <f>[3]UPS!$GS$57</f>
        <v>0</v>
      </c>
      <c r="O26" s="83">
        <f>'[3]Misc Cargo'!$GS$57</f>
        <v>0</v>
      </c>
      <c r="P26" s="414">
        <f t="shared" ref="P26:P28" si="7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3">
        <f>'[3]Atlas Air'!$GS$58</f>
        <v>0</v>
      </c>
      <c r="C27" s="104">
        <f>[3]DHL!$GS$58</f>
        <v>0</v>
      </c>
      <c r="D27" s="469"/>
      <c r="E27" s="104">
        <f>[3]DHL_Encore!$GS$58</f>
        <v>0</v>
      </c>
      <c r="F27" s="104">
        <f>[3]Encore!$GS$58</f>
        <v>0</v>
      </c>
      <c r="G27" s="104">
        <f>[3]FedEx!$GS$58</f>
        <v>0</v>
      </c>
      <c r="H27" s="104">
        <f>[3]IFL!$GS$58</f>
        <v>0</v>
      </c>
      <c r="I27" s="104">
        <f>[3]DHL_Kalitta!$GS$58</f>
        <v>0</v>
      </c>
      <c r="J27" s="83">
        <f>'[3]Mountain Cargo'!$GS$58</f>
        <v>0</v>
      </c>
      <c r="K27" s="104">
        <f>[3]DHL_Southair!$GS$58</f>
        <v>0</v>
      </c>
      <c r="L27" s="104">
        <f>[3]DHL_Swift!$GS$58</f>
        <v>0</v>
      </c>
      <c r="M27" s="104">
        <f>+'[3]Sun Country Cargo'!$GS$58</f>
        <v>0</v>
      </c>
      <c r="N27" s="104">
        <f>[3]UPS!$GS$58</f>
        <v>0</v>
      </c>
      <c r="O27" s="83">
        <f>'[3]Misc Cargo'!$GS$58</f>
        <v>0</v>
      </c>
      <c r="P27" s="414">
        <f t="shared" si="7"/>
        <v>0</v>
      </c>
      <c r="R27" s="324"/>
      <c r="S27" s="324"/>
      <c r="T27" s="192"/>
    </row>
    <row r="28" spans="1:20" ht="18" customHeight="1" x14ac:dyDescent="0.2">
      <c r="A28" s="137" t="s">
        <v>43</v>
      </c>
      <c r="B28" s="447">
        <f>SUM(B26:B27)</f>
        <v>0</v>
      </c>
      <c r="C28" s="196">
        <f>SUM(C26:C27)</f>
        <v>0</v>
      </c>
      <c r="D28" s="469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18">
        <f t="shared" si="7"/>
        <v>0</v>
      </c>
      <c r="R28" s="324"/>
      <c r="S28" s="324"/>
      <c r="T28" s="324"/>
    </row>
    <row r="29" spans="1:20" x14ac:dyDescent="0.2">
      <c r="A29" s="31"/>
      <c r="B29" s="163"/>
      <c r="C29" s="104"/>
      <c r="D29" s="469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4"/>
      <c r="R29" s="324"/>
      <c r="S29" s="324"/>
      <c r="T29" s="324"/>
    </row>
    <row r="30" spans="1:20" x14ac:dyDescent="0.2">
      <c r="A30" s="138" t="s">
        <v>44</v>
      </c>
      <c r="B30" s="163"/>
      <c r="C30" s="104"/>
      <c r="D30" s="469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4"/>
      <c r="R30" s="324"/>
      <c r="S30" s="324"/>
      <c r="T30" s="324"/>
    </row>
    <row r="31" spans="1:20" x14ac:dyDescent="0.2">
      <c r="A31" s="31" t="s">
        <v>89</v>
      </c>
      <c r="B31" s="163">
        <f>B26+B21+B16</f>
        <v>3447822</v>
      </c>
      <c r="C31" s="104">
        <f t="shared" ref="C31:O33" si="9">C26+C21+C16</f>
        <v>1506128</v>
      </c>
      <c r="D31" s="469"/>
      <c r="E31" s="104">
        <f t="shared" ref="E31:M33" si="10">E26+E21+E16</f>
        <v>134792</v>
      </c>
      <c r="F31" s="104">
        <f t="shared" si="10"/>
        <v>0</v>
      </c>
      <c r="G31" s="104">
        <f t="shared" si="10"/>
        <v>15827617</v>
      </c>
      <c r="H31" s="104">
        <f t="shared" si="10"/>
        <v>34335</v>
      </c>
      <c r="I31" s="104">
        <f t="shared" si="10"/>
        <v>0</v>
      </c>
      <c r="J31" s="83">
        <f>J26+J21+J16</f>
        <v>0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9"/>
        <v>10405053</v>
      </c>
      <c r="O31" s="83">
        <f>O26+O21+O16</f>
        <v>0</v>
      </c>
      <c r="P31" s="414">
        <f t="shared" ref="P31:P32" si="11">SUM(B31:C31)+SUM(E31:O31)</f>
        <v>31355747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70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131103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611770</v>
      </c>
      <c r="O32" s="83">
        <f>O27+O22+O17</f>
        <v>0</v>
      </c>
      <c r="P32" s="415">
        <f t="shared" si="11"/>
        <v>742873</v>
      </c>
    </row>
    <row r="33" spans="1:16" ht="18" customHeight="1" thickBot="1" x14ac:dyDescent="0.25">
      <c r="A33" s="131" t="s">
        <v>46</v>
      </c>
      <c r="B33" s="444">
        <f>B28+B23+B18</f>
        <v>3447822</v>
      </c>
      <c r="C33" s="132">
        <f>C28+C23+C18</f>
        <v>1506128</v>
      </c>
      <c r="D33" s="198">
        <f>D28+D23+D18</f>
        <v>0</v>
      </c>
      <c r="E33" s="132">
        <f>E28+E23+E18</f>
        <v>134792</v>
      </c>
      <c r="F33" s="132">
        <f>F28+F23+F18</f>
        <v>0</v>
      </c>
      <c r="G33" s="132">
        <f t="shared" si="10"/>
        <v>15827617</v>
      </c>
      <c r="H33" s="132">
        <f t="shared" si="10"/>
        <v>34335</v>
      </c>
      <c r="I33" s="132">
        <f t="shared" si="10"/>
        <v>0</v>
      </c>
      <c r="J33" s="133">
        <f>J28+J23+J18</f>
        <v>131103</v>
      </c>
      <c r="K33" s="132">
        <f t="shared" si="10"/>
        <v>0</v>
      </c>
      <c r="L33" s="132">
        <f t="shared" si="10"/>
        <v>0</v>
      </c>
      <c r="M33" s="132">
        <f t="shared" si="9"/>
        <v>0</v>
      </c>
      <c r="N33" s="132">
        <f t="shared" si="9"/>
        <v>11016823</v>
      </c>
      <c r="O33" s="133">
        <f t="shared" si="9"/>
        <v>0</v>
      </c>
      <c r="P33" s="416">
        <f>SUM(B33:C33)+SUM(E33:O33)</f>
        <v>32098620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2" orientation="landscape" r:id="rId1"/>
  <headerFooter alignWithMargins="0">
    <oddHeader>&amp;L
Schedule 7
&amp;CMinneapolis-St. Paul International Airport
&amp;"Arial,Bold"Cargo
April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20" sqref="I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9">
        <v>43922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734695</v>
      </c>
      <c r="C5" s="83">
        <f>'Regional Major'!M25</f>
        <v>226</v>
      </c>
      <c r="D5" s="83">
        <f>Cargo!P16</f>
        <v>17992613</v>
      </c>
      <c r="E5" s="83">
        <f>SUM(B5:D5)</f>
        <v>18727534</v>
      </c>
      <c r="F5" s="83">
        <f>E5*0.00045359237</f>
        <v>8494.666531315579</v>
      </c>
      <c r="G5" s="83">
        <f>'[8]Cargo Summary'!F5</f>
        <v>10327.57569225459</v>
      </c>
      <c r="H5" s="70">
        <f>(F5-G5)/G5</f>
        <v>-0.17747719460566572</v>
      </c>
      <c r="I5" s="83">
        <f>+F5+'[2]Cargo Summary'!I5</f>
        <v>34022.34570971621</v>
      </c>
      <c r="J5" s="83">
        <f>'[8]Cargo Summary'!I5</f>
        <v>28754.726260968404</v>
      </c>
      <c r="K5" s="58">
        <f>(I5-J5)/J5</f>
        <v>0.18319143089524242</v>
      </c>
      <c r="M5" s="19"/>
    </row>
    <row r="6" spans="1:18" x14ac:dyDescent="0.2">
      <c r="A6" s="38" t="s">
        <v>16</v>
      </c>
      <c r="B6" s="108">
        <f>'Major Airline Stats'!K29</f>
        <v>577851</v>
      </c>
      <c r="C6" s="83">
        <f>'Regional Major'!M26</f>
        <v>0</v>
      </c>
      <c r="D6" s="83">
        <f>Cargo!P17</f>
        <v>7249</v>
      </c>
      <c r="E6" s="83">
        <f>SUM(B6:D6)</f>
        <v>585100</v>
      </c>
      <c r="F6" s="83">
        <f>E6*0.00045359237</f>
        <v>265.39689568699998</v>
      </c>
      <c r="G6" s="83">
        <f>'[8]Cargo Summary'!F6</f>
        <v>804.76086129978</v>
      </c>
      <c r="H6" s="3">
        <f>(F6-G6)/G6</f>
        <v>-0.67021644758126786</v>
      </c>
      <c r="I6" s="83">
        <f>+F6+'[2]Cargo Summary'!I6</f>
        <v>2384.0792287581498</v>
      </c>
      <c r="J6" s="83">
        <f>'[8]Cargo Summary'!I6</f>
        <v>2529.07638012183</v>
      </c>
      <c r="K6" s="58">
        <f>(I6-J6)/J6</f>
        <v>-5.7332057071639478E-2</v>
      </c>
      <c r="M6" s="19"/>
    </row>
    <row r="7" spans="1:18" ht="18" customHeight="1" thickBot="1" x14ac:dyDescent="0.25">
      <c r="A7" s="47" t="s">
        <v>72</v>
      </c>
      <c r="B7" s="110">
        <f>SUM(B5:B6)</f>
        <v>1312546</v>
      </c>
      <c r="C7" s="91">
        <f t="shared" ref="C7:J7" si="0">SUM(C5:C6)</f>
        <v>226</v>
      </c>
      <c r="D7" s="91">
        <f t="shared" si="0"/>
        <v>17999862</v>
      </c>
      <c r="E7" s="91">
        <f t="shared" si="0"/>
        <v>19312634</v>
      </c>
      <c r="F7" s="91">
        <f t="shared" si="0"/>
        <v>8760.0634270025785</v>
      </c>
      <c r="G7" s="91">
        <f t="shared" si="0"/>
        <v>11132.336553554369</v>
      </c>
      <c r="H7" s="22">
        <f>(F7-G7)/G7</f>
        <v>-0.21309750339827477</v>
      </c>
      <c r="I7" s="91">
        <f t="shared" si="0"/>
        <v>36406.42493847436</v>
      </c>
      <c r="J7" s="91">
        <f t="shared" si="0"/>
        <v>31283.802641090235</v>
      </c>
      <c r="K7" s="211">
        <f>(I7-J7)/J7</f>
        <v>0.16374679114794474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347851</v>
      </c>
      <c r="C10" s="83">
        <f>'Regional Major'!M30</f>
        <v>129</v>
      </c>
      <c r="D10" s="83">
        <f>Cargo!P21</f>
        <v>13363134</v>
      </c>
      <c r="E10" s="83">
        <f>SUM(B10:D10)</f>
        <v>13711114</v>
      </c>
      <c r="F10" s="83">
        <f>E10*0.00045359237</f>
        <v>6219.2566946001798</v>
      </c>
      <c r="G10" s="83">
        <f>'[8]Cargo Summary'!F10</f>
        <v>8044.7283014483</v>
      </c>
      <c r="H10" s="3">
        <f>(F10-G10)/G10</f>
        <v>-0.22691525909202911</v>
      </c>
      <c r="I10" s="83">
        <f>+F10+'[2]Cargo Summary'!I10</f>
        <v>28117.903892329789</v>
      </c>
      <c r="J10" s="83">
        <f>'[8]Cargo Summary'!I10</f>
        <v>22557.676541618679</v>
      </c>
      <c r="K10" s="58">
        <f>(I10-J10)/J10</f>
        <v>0.24648936429479107</v>
      </c>
      <c r="M10" s="19"/>
    </row>
    <row r="11" spans="1:18" x14ac:dyDescent="0.2">
      <c r="A11" s="38" t="s">
        <v>16</v>
      </c>
      <c r="B11" s="108">
        <f>'Major Airline Stats'!K34</f>
        <v>497052</v>
      </c>
      <c r="C11" s="83">
        <f>'Regional Major'!M31</f>
        <v>0</v>
      </c>
      <c r="D11" s="83">
        <f>Cargo!P22</f>
        <v>735624</v>
      </c>
      <c r="E11" s="83">
        <f>SUM(B11:D11)</f>
        <v>1232676</v>
      </c>
      <c r="F11" s="83">
        <f>E11*0.00045359237</f>
        <v>559.13242828212003</v>
      </c>
      <c r="G11" s="83">
        <f>'[8]Cargo Summary'!F11</f>
        <v>1239.0651229502701</v>
      </c>
      <c r="H11" s="19">
        <f>(F11-G11)/G11</f>
        <v>-0.54874653646064986</v>
      </c>
      <c r="I11" s="83">
        <f>+F11+'[2]Cargo Summary'!I11</f>
        <v>3675.0752349649806</v>
      </c>
      <c r="J11" s="83">
        <f>'[8]Cargo Summary'!I11</f>
        <v>3726.7507457172296</v>
      </c>
      <c r="K11" s="58">
        <f>(I11-J11)/J11</f>
        <v>-1.3866103283573324E-2</v>
      </c>
      <c r="M11" s="19"/>
    </row>
    <row r="12" spans="1:18" ht="18" customHeight="1" thickBot="1" x14ac:dyDescent="0.25">
      <c r="A12" s="47" t="s">
        <v>73</v>
      </c>
      <c r="B12" s="110">
        <f>SUM(B10:B11)</f>
        <v>844903</v>
      </c>
      <c r="C12" s="91">
        <f t="shared" ref="C12:J12" si="1">SUM(C10:C11)</f>
        <v>129</v>
      </c>
      <c r="D12" s="91">
        <f t="shared" si="1"/>
        <v>14098758</v>
      </c>
      <c r="E12" s="91">
        <f t="shared" si="1"/>
        <v>14943790</v>
      </c>
      <c r="F12" s="91">
        <f t="shared" si="1"/>
        <v>6778.3891228822995</v>
      </c>
      <c r="G12" s="91">
        <f t="shared" si="1"/>
        <v>9283.7934243985692</v>
      </c>
      <c r="H12" s="22">
        <f>(F12-G12)/G12</f>
        <v>-0.26986859648684791</v>
      </c>
      <c r="I12" s="91">
        <f t="shared" si="1"/>
        <v>31792.97912729477</v>
      </c>
      <c r="J12" s="91">
        <f t="shared" si="1"/>
        <v>26284.427287335908</v>
      </c>
      <c r="K12" s="211">
        <f>(I12-J12)/J12</f>
        <v>0.20957473334840115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'[8]Cargo Summary'!F15</f>
        <v>0</v>
      </c>
      <c r="H15" t="e">
        <f>(F15-G15)/G15</f>
        <v>#DIV/0!</v>
      </c>
      <c r="I15" s="83">
        <f>+F15+'[2]Cargo Summary'!I15</f>
        <v>0</v>
      </c>
      <c r="J15" s="83">
        <f>'[8]Cargo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'[8]Cargo Summary'!F16</f>
        <v>0</v>
      </c>
      <c r="H16" s="3" t="e">
        <f>(F16-G16)/G16</f>
        <v>#DIV/0!</v>
      </c>
      <c r="I16" s="83">
        <f>+F16+'[2]Cargo Summary'!I16</f>
        <v>0</v>
      </c>
      <c r="J16" s="83">
        <f>'[8]Cargo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1082546</v>
      </c>
      <c r="C20" s="83">
        <f t="shared" si="3"/>
        <v>355</v>
      </c>
      <c r="D20" s="83">
        <f t="shared" si="3"/>
        <v>31355747</v>
      </c>
      <c r="E20" s="83">
        <f>SUM(B20:D20)</f>
        <v>32438648</v>
      </c>
      <c r="F20" s="83">
        <f>E20*0.00045359237</f>
        <v>14713.92322591576</v>
      </c>
      <c r="G20" s="83">
        <f>'[8]Cargo Summary'!F20</f>
        <v>18372.303993702888</v>
      </c>
      <c r="H20" s="3">
        <f>(F20-G20)/G20</f>
        <v>-0.19912476785932995</v>
      </c>
      <c r="I20" s="83">
        <f>+I5+I10+I15</f>
        <v>62140.249602045995</v>
      </c>
      <c r="J20" s="83">
        <f>+J5+J10+J15</f>
        <v>51312.402802587079</v>
      </c>
      <c r="K20" s="58">
        <f>(I20-J20)/J20</f>
        <v>0.21101812053348232</v>
      </c>
      <c r="M20" s="19"/>
    </row>
    <row r="21" spans="1:13" x14ac:dyDescent="0.2">
      <c r="A21" s="38" t="s">
        <v>16</v>
      </c>
      <c r="B21" s="108">
        <f t="shared" si="3"/>
        <v>1074903</v>
      </c>
      <c r="C21" s="84">
        <f t="shared" si="3"/>
        <v>0</v>
      </c>
      <c r="D21" s="84">
        <f t="shared" si="3"/>
        <v>742873</v>
      </c>
      <c r="E21" s="83">
        <f>SUM(B21:D21)</f>
        <v>1817776</v>
      </c>
      <c r="F21" s="83">
        <f>E21*0.00045359237</f>
        <v>824.52932396912001</v>
      </c>
      <c r="G21" s="83">
        <f>'[8]Cargo Summary'!F21</f>
        <v>2043.8259842500499</v>
      </c>
      <c r="H21" s="3">
        <f>(F21-G21)/G21</f>
        <v>-0.59657557427930041</v>
      </c>
      <c r="I21" s="83">
        <f>+I6+I11+I16</f>
        <v>6059.1544637231309</v>
      </c>
      <c r="J21" s="83">
        <f>+J6+J11+J16</f>
        <v>6255.8271258390596</v>
      </c>
      <c r="K21" s="58">
        <f>(I21-J21)/J21</f>
        <v>-3.1438314735967081E-2</v>
      </c>
      <c r="M21" s="19"/>
    </row>
    <row r="22" spans="1:13" ht="18" customHeight="1" thickBot="1" x14ac:dyDescent="0.25">
      <c r="A22" s="60" t="s">
        <v>62</v>
      </c>
      <c r="B22" s="111">
        <f>SUM(B20:B21)</f>
        <v>2157449</v>
      </c>
      <c r="C22" s="112">
        <f t="shared" ref="C22:J22" si="4">SUM(C20:C21)</f>
        <v>355</v>
      </c>
      <c r="D22" s="112">
        <f t="shared" si="4"/>
        <v>32098620</v>
      </c>
      <c r="E22" s="112">
        <f t="shared" si="4"/>
        <v>34256424</v>
      </c>
      <c r="F22" s="112">
        <f t="shared" si="4"/>
        <v>15538.45254988488</v>
      </c>
      <c r="G22" s="112">
        <f t="shared" si="4"/>
        <v>20416.129977952936</v>
      </c>
      <c r="H22" s="217">
        <f>(F22-G22)/G22</f>
        <v>-0.23891292979303055</v>
      </c>
      <c r="I22" s="112">
        <f t="shared" si="4"/>
        <v>68199.404065769122</v>
      </c>
      <c r="J22" s="112">
        <f t="shared" si="4"/>
        <v>57568.229928426139</v>
      </c>
      <c r="K22" s="218">
        <f>(I22-J22)/J22</f>
        <v>0.18467085318691559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April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K36" sqref="K36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2"/>
      <c r="K1"/>
    </row>
    <row r="2" spans="1:18" s="9" customFormat="1" ht="26.25" thickBot="1" x14ac:dyDescent="0.25">
      <c r="A2" s="477" t="s">
        <v>187</v>
      </c>
      <c r="B2" s="478"/>
      <c r="C2" s="316" t="s">
        <v>217</v>
      </c>
      <c r="D2" s="318" t="s">
        <v>205</v>
      </c>
      <c r="E2" s="319" t="s">
        <v>96</v>
      </c>
      <c r="F2" s="320" t="s">
        <v>218</v>
      </c>
      <c r="G2" s="318" t="s">
        <v>206</v>
      </c>
      <c r="H2" s="317" t="s">
        <v>97</v>
      </c>
      <c r="I2" s="319" t="s">
        <v>138</v>
      </c>
      <c r="J2" s="477" t="s">
        <v>183</v>
      </c>
      <c r="K2" s="478"/>
      <c r="L2" s="316" t="s">
        <v>219</v>
      </c>
      <c r="M2" s="318" t="s">
        <v>207</v>
      </c>
      <c r="N2" s="321" t="s">
        <v>97</v>
      </c>
      <c r="O2" s="322" t="s">
        <v>220</v>
      </c>
      <c r="P2" s="322" t="s">
        <v>208</v>
      </c>
      <c r="Q2" s="347" t="s">
        <v>97</v>
      </c>
      <c r="R2" s="319" t="s">
        <v>138</v>
      </c>
    </row>
    <row r="3" spans="1:18" s="9" customFormat="1" ht="13.5" customHeight="1" thickBot="1" x14ac:dyDescent="0.25">
      <c r="A3" s="479">
        <v>43922</v>
      </c>
      <c r="B3" s="480"/>
      <c r="C3" s="481" t="s">
        <v>9</v>
      </c>
      <c r="D3" s="482"/>
      <c r="E3" s="482"/>
      <c r="F3" s="482"/>
      <c r="G3" s="482"/>
      <c r="H3" s="483"/>
      <c r="I3" s="434"/>
      <c r="J3" s="479">
        <f>+A3</f>
        <v>43922</v>
      </c>
      <c r="K3" s="480"/>
      <c r="L3" s="474" t="s">
        <v>184</v>
      </c>
      <c r="M3" s="475"/>
      <c r="N3" s="475"/>
      <c r="O3" s="475"/>
      <c r="P3" s="475"/>
      <c r="Q3" s="475"/>
      <c r="R3" s="476"/>
    </row>
    <row r="4" spans="1:18" x14ac:dyDescent="0.2">
      <c r="A4" s="233"/>
      <c r="B4" s="234"/>
      <c r="C4" s="235"/>
      <c r="D4" s="236"/>
      <c r="E4" s="237"/>
      <c r="F4" s="323"/>
      <c r="G4" s="236"/>
      <c r="H4" s="336"/>
      <c r="I4" s="237"/>
      <c r="J4" s="238"/>
      <c r="K4" s="234"/>
      <c r="L4" s="244"/>
      <c r="N4" s="58"/>
      <c r="O4" s="31"/>
      <c r="R4" s="33"/>
    </row>
    <row r="5" spans="1:18" x14ac:dyDescent="0.2">
      <c r="A5" s="240" t="s">
        <v>224</v>
      </c>
      <c r="B5" s="33"/>
      <c r="C5" s="435">
        <f>SUM(C6:C7)</f>
        <v>60</v>
      </c>
      <c r="D5" s="435">
        <f>SUM(D6:D7)</f>
        <v>58</v>
      </c>
      <c r="E5" s="436">
        <f>(C5-D5)/D5</f>
        <v>3.4482758620689655E-2</v>
      </c>
      <c r="F5" s="435">
        <f>SUM(F6:F7)</f>
        <v>236</v>
      </c>
      <c r="G5" s="435">
        <f>SUM(G6:G7)</f>
        <v>232</v>
      </c>
      <c r="H5" s="437">
        <f>(F5-G5)/G5</f>
        <v>1.7241379310344827E-2</v>
      </c>
      <c r="I5" s="436">
        <f>+F5/$F$33</f>
        <v>5.1148677936714348E-2</v>
      </c>
      <c r="J5" s="240" t="s">
        <v>224</v>
      </c>
      <c r="K5" s="33"/>
      <c r="L5" s="435">
        <f>SUM(L6:L7)</f>
        <v>3447822</v>
      </c>
      <c r="M5" s="435">
        <f>SUM(M6:M7)</f>
        <v>2129573</v>
      </c>
      <c r="N5" s="436">
        <f>(L5-M5)/M5</f>
        <v>0.61902033881909657</v>
      </c>
      <c r="O5" s="435">
        <f>SUM(O6:O7)</f>
        <v>10124254</v>
      </c>
      <c r="P5" s="435">
        <f>SUM(P6:P7)</f>
        <v>8809104</v>
      </c>
      <c r="Q5" s="437">
        <f>(O5-P5)/P5</f>
        <v>0.14929441178126629</v>
      </c>
      <c r="R5" s="436">
        <f>O5/$O$33</f>
        <v>8.1223275924182201E-2</v>
      </c>
    </row>
    <row r="6" spans="1:18" x14ac:dyDescent="0.2">
      <c r="A6" s="31"/>
      <c r="B6" s="297" t="s">
        <v>225</v>
      </c>
      <c r="C6" s="301">
        <f>+'[3]Atlas Air'!$GS$19</f>
        <v>60</v>
      </c>
      <c r="D6" s="192">
        <f>+'[3]Atlas Air'!$GE$19</f>
        <v>58</v>
      </c>
      <c r="E6" s="303">
        <f>(C6-D6)/D6</f>
        <v>3.4482758620689655E-2</v>
      </c>
      <c r="F6" s="301">
        <f>+SUM('[3]Atlas Air'!$GP$19:$GS$19)</f>
        <v>236</v>
      </c>
      <c r="G6" s="192">
        <f>+SUM('[3]Atlas Air'!$GB$19:$GE$19)</f>
        <v>232</v>
      </c>
      <c r="H6" s="302">
        <f>(F6-G6)/G6</f>
        <v>1.7241379310344827E-2</v>
      </c>
      <c r="I6" s="303">
        <f>+F6/$F$33</f>
        <v>5.1148677936714348E-2</v>
      </c>
      <c r="J6" s="31"/>
      <c r="K6" s="297" t="s">
        <v>225</v>
      </c>
      <c r="L6" s="301">
        <f>+'[3]Atlas Air'!$GS$64</f>
        <v>3447822</v>
      </c>
      <c r="M6" s="192">
        <f>+'[3]Atlas Air'!$GE$64</f>
        <v>2129573</v>
      </c>
      <c r="N6" s="303">
        <f>(L6-M6)/M6</f>
        <v>0.61902033881909657</v>
      </c>
      <c r="O6" s="192">
        <f>+SUM('[3]Atlas Air'!$GP$64:$GS$64)</f>
        <v>10124254</v>
      </c>
      <c r="P6" s="192">
        <f>+SUM('[3]Atlas Air'!$GB$64:$GE$64)</f>
        <v>8809104</v>
      </c>
      <c r="Q6" s="302">
        <f>(O6-P6)/P6</f>
        <v>0.14929441178126629</v>
      </c>
      <c r="R6" s="303">
        <f>O6/$O$33</f>
        <v>8.1223275924182201E-2</v>
      </c>
    </row>
    <row r="7" spans="1:18" x14ac:dyDescent="0.2">
      <c r="A7" s="31"/>
      <c r="B7" s="297" t="s">
        <v>49</v>
      </c>
      <c r="C7" s="301">
        <f>+'[3]Sun Country Cargo'!$GS$19</f>
        <v>0</v>
      </c>
      <c r="D7" s="192">
        <f>+'[3]Sun Country Cargo'!$GE$19</f>
        <v>0</v>
      </c>
      <c r="E7" s="303" t="e">
        <f>(C7-D7)/D7</f>
        <v>#DIV/0!</v>
      </c>
      <c r="F7" s="301">
        <f>+SUM('[3]Sun Country Cargo'!$GP$19:$GS$19)</f>
        <v>0</v>
      </c>
      <c r="G7" s="192">
        <f>+SUM('[3]Sun Country Cargo'!$GB$19:$GE$19)</f>
        <v>0</v>
      </c>
      <c r="H7" s="302" t="e">
        <f>(F7-G7)/G7</f>
        <v>#DIV/0!</v>
      </c>
      <c r="I7" s="303">
        <f>+F7/$F$33</f>
        <v>0</v>
      </c>
      <c r="J7" s="31"/>
      <c r="K7" s="297" t="s">
        <v>49</v>
      </c>
      <c r="L7" s="301">
        <f>+'[3]Sun Country Cargo'!$GS$64</f>
        <v>0</v>
      </c>
      <c r="M7" s="192">
        <f>+'[3]Sun Country Cargo'!$GE$64</f>
        <v>0</v>
      </c>
      <c r="N7" s="303" t="e">
        <f>(L7-M7)/M7</f>
        <v>#DIV/0!</v>
      </c>
      <c r="O7" s="192">
        <f>+SUM('[3]Sun Country Cargo'!$GP$64:$GS$64)</f>
        <v>0</v>
      </c>
      <c r="P7" s="192">
        <f>+SUM('[3]Sun Country Cargo'!$GB$64:$GE$64)</f>
        <v>0</v>
      </c>
      <c r="Q7" s="302" t="e">
        <f>(O7-P7)/P7</f>
        <v>#DIV/0!</v>
      </c>
      <c r="R7" s="303">
        <f>O7/$O$33</f>
        <v>0</v>
      </c>
    </row>
    <row r="8" spans="1:18" x14ac:dyDescent="0.2">
      <c r="A8" s="31"/>
      <c r="B8" s="33"/>
      <c r="F8" s="438"/>
      <c r="I8" s="58"/>
      <c r="J8" s="369"/>
      <c r="K8" s="33"/>
      <c r="N8" s="58"/>
      <c r="R8" s="33"/>
    </row>
    <row r="9" spans="1:18" ht="14.1" customHeight="1" x14ac:dyDescent="0.2">
      <c r="A9" s="240" t="s">
        <v>226</v>
      </c>
      <c r="B9" s="33"/>
      <c r="C9" s="435">
        <f>SUM(C10:C16)</f>
        <v>126</v>
      </c>
      <c r="D9" s="435">
        <f>SUM(D10:D16)</f>
        <v>126</v>
      </c>
      <c r="E9" s="436">
        <f>(C9-D9)/D9</f>
        <v>0</v>
      </c>
      <c r="F9" s="435">
        <f>SUM(F10:F16)</f>
        <v>505</v>
      </c>
      <c r="G9" s="435">
        <f>SUM(G10:G16)</f>
        <v>504</v>
      </c>
      <c r="H9" s="437">
        <f>(F9-G9)/G9</f>
        <v>1.984126984126984E-3</v>
      </c>
      <c r="I9" s="436">
        <f>+F9/$F$33</f>
        <v>0.10944950151712181</v>
      </c>
      <c r="J9" s="240" t="s">
        <v>226</v>
      </c>
      <c r="K9" s="33"/>
      <c r="L9" s="435">
        <f>SUM(L10:L16)</f>
        <v>1640920</v>
      </c>
      <c r="M9" s="435">
        <f>SUM(M10:M16)</f>
        <v>1545510</v>
      </c>
      <c r="N9" s="436">
        <f t="shared" ref="N9:N16" si="0">(L9-M9)/M9</f>
        <v>6.1733667203706218E-2</v>
      </c>
      <c r="O9" s="435">
        <f>SUM(O10:O16)</f>
        <v>5856993</v>
      </c>
      <c r="P9" s="435">
        <f>SUM(P10:P16)</f>
        <v>5470378</v>
      </c>
      <c r="Q9" s="437">
        <f t="shared" ref="Q9:Q16" si="1">(O9-P9)/P9</f>
        <v>7.0674275159778727E-2</v>
      </c>
      <c r="R9" s="436">
        <f t="shared" ref="R9:R16" si="2">O9/$O$33</f>
        <v>4.698856414754151E-2</v>
      </c>
    </row>
    <row r="10" spans="1:18" ht="14.1" customHeight="1" x14ac:dyDescent="0.2">
      <c r="A10" s="240"/>
      <c r="B10" s="297" t="s">
        <v>227</v>
      </c>
      <c r="C10" s="301">
        <f>+[3]Airborne!$GS$19</f>
        <v>0</v>
      </c>
      <c r="D10" s="192">
        <f>+[3]Airborne!$GE$19</f>
        <v>0</v>
      </c>
      <c r="E10" s="303" t="e">
        <f>(C10-D10)/D10</f>
        <v>#DIV/0!</v>
      </c>
      <c r="F10" s="301">
        <f>+SUM([3]Airborne!$GP$19:$GS$19)</f>
        <v>0</v>
      </c>
      <c r="G10" s="192">
        <f>+SUM([3]Airborne!$GB$19:$GE$19)</f>
        <v>1</v>
      </c>
      <c r="H10" s="302">
        <f>(F10-G10)/G10</f>
        <v>-1</v>
      </c>
      <c r="I10" s="303">
        <f t="shared" ref="I10" si="3">+F10/$F$33</f>
        <v>0</v>
      </c>
      <c r="J10" s="240"/>
      <c r="K10" s="297" t="s">
        <v>227</v>
      </c>
      <c r="L10" s="301">
        <f>+[3]Airborne!$GS$64</f>
        <v>0</v>
      </c>
      <c r="M10" s="192">
        <f>+[3]Airborne!$GE$64</f>
        <v>0</v>
      </c>
      <c r="N10" s="303" t="e">
        <f t="shared" si="0"/>
        <v>#DIV/0!</v>
      </c>
      <c r="O10" s="301">
        <f>+SUM([3]Airborne!$GP$64:$GS$64)</f>
        <v>0</v>
      </c>
      <c r="P10" s="192">
        <f>+SUM([3]Airborne!$GB$64:$GE$64)</f>
        <v>0</v>
      </c>
      <c r="Q10" s="302" t="e">
        <f t="shared" si="1"/>
        <v>#DIV/0!</v>
      </c>
      <c r="R10" s="303">
        <f t="shared" si="2"/>
        <v>0</v>
      </c>
    </row>
    <row r="11" spans="1:18" ht="14.1" customHeight="1" x14ac:dyDescent="0.2">
      <c r="A11" s="240"/>
      <c r="B11" s="33" t="s">
        <v>225</v>
      </c>
      <c r="C11" s="301">
        <f>+[3]DHL_Atlas!$GS$19</f>
        <v>0</v>
      </c>
      <c r="D11" s="192">
        <f>+[3]DHL_Atlas!$GE$19</f>
        <v>0</v>
      </c>
      <c r="E11" s="303" t="e">
        <f t="shared" ref="E11:E16" si="4">(C11-D11)/D11</f>
        <v>#DIV/0!</v>
      </c>
      <c r="F11" s="301">
        <f>+SUM([3]DHL_Atlas!$GP$19:$GS$19)</f>
        <v>0</v>
      </c>
      <c r="G11" s="192">
        <f>+SUM([3]DHL_Atlas!$GB$19:$GE$19)</f>
        <v>2</v>
      </c>
      <c r="H11" s="302">
        <f t="shared" ref="H11:H16" si="5">(F11-G11)/G11</f>
        <v>-1</v>
      </c>
      <c r="I11" s="303">
        <f>+F11/$F$33</f>
        <v>0</v>
      </c>
      <c r="J11" s="240"/>
      <c r="K11" s="33" t="s">
        <v>225</v>
      </c>
      <c r="L11" s="301">
        <f>+[3]DHL_Atlas!$GS$64</f>
        <v>0</v>
      </c>
      <c r="M11" s="192">
        <f>+[3]DHL_Atlas!$GE$64</f>
        <v>0</v>
      </c>
      <c r="N11" s="303" t="e">
        <f t="shared" si="0"/>
        <v>#DIV/0!</v>
      </c>
      <c r="O11" s="301">
        <f>+SUM([3]DHL_Atlas!$GP$64:$GS$64)</f>
        <v>0</v>
      </c>
      <c r="P11" s="192">
        <f>+SUM([3]DHL_Atlas!$GB$64:$GE$64)</f>
        <v>18552</v>
      </c>
      <c r="Q11" s="302">
        <f t="shared" si="1"/>
        <v>-1</v>
      </c>
      <c r="R11" s="303">
        <f t="shared" si="2"/>
        <v>0</v>
      </c>
    </row>
    <row r="12" spans="1:18" ht="14.1" customHeight="1" x14ac:dyDescent="0.2">
      <c r="A12" s="240"/>
      <c r="B12" s="33" t="s">
        <v>228</v>
      </c>
      <c r="C12" s="301">
        <f>+[3]DHL!$GS$19</f>
        <v>44</v>
      </c>
      <c r="D12" s="192">
        <f>+[3]DHL!$GE$19</f>
        <v>0</v>
      </c>
      <c r="E12" s="303" t="e">
        <f t="shared" si="4"/>
        <v>#DIV/0!</v>
      </c>
      <c r="F12" s="301">
        <f>+SUM([3]DHL!$GP$19:$GS$19)</f>
        <v>161</v>
      </c>
      <c r="G12" s="192">
        <f>+SUM([3]DHL!$GB$19:$GE$19)</f>
        <v>0</v>
      </c>
      <c r="H12" s="302" t="e">
        <f t="shared" si="5"/>
        <v>#DIV/0!</v>
      </c>
      <c r="I12" s="303">
        <f>+F12/$F$33</f>
        <v>3.4893801473775465E-2</v>
      </c>
      <c r="J12" s="240"/>
      <c r="K12" s="33" t="s">
        <v>228</v>
      </c>
      <c r="L12" s="301">
        <f>+[3]DHL!$GS$64</f>
        <v>1506128</v>
      </c>
      <c r="M12" s="192">
        <f>+[3]DHL!$GE$64</f>
        <v>0</v>
      </c>
      <c r="N12" s="303" t="e">
        <f t="shared" si="0"/>
        <v>#DIV/0!</v>
      </c>
      <c r="O12" s="301">
        <f>+SUM([3]DHL!$GP$64:$GS$64)</f>
        <v>5194036</v>
      </c>
      <c r="P12" s="192">
        <f>+SUM([3]DHL!$GB$64:$GE$64)</f>
        <v>0</v>
      </c>
      <c r="Q12" s="302" t="e">
        <f t="shared" si="1"/>
        <v>#DIV/0!</v>
      </c>
      <c r="R12" s="303">
        <f t="shared" si="2"/>
        <v>4.1669896783322072E-2</v>
      </c>
    </row>
    <row r="13" spans="1:18" ht="14.1" customHeight="1" x14ac:dyDescent="0.2">
      <c r="A13" s="240"/>
      <c r="B13" s="33" t="s">
        <v>210</v>
      </c>
      <c r="C13" s="301">
        <f>+[3]Encore!$GS$19+[3]DHL_Encore!$GS$12</f>
        <v>82</v>
      </c>
      <c r="D13" s="192">
        <f>+[3]Encore!$GE$19+[3]DHL_Encore!$GE$19</f>
        <v>82</v>
      </c>
      <c r="E13" s="303">
        <f t="shared" si="4"/>
        <v>0</v>
      </c>
      <c r="F13" s="301">
        <f>+SUM([3]Encore!$GP$19:$GS$19)+SUM([3]DHL_Encore!$GP$19:$GS$19)</f>
        <v>336</v>
      </c>
      <c r="G13" s="192">
        <f>+SUM([3]Encore!$GB$19:$GE$19)+SUM([3]DHL_Encore!$GB$19:$GE$19)</f>
        <v>335</v>
      </c>
      <c r="H13" s="302">
        <f t="shared" si="5"/>
        <v>2.9850746268656717E-3</v>
      </c>
      <c r="I13" s="303">
        <f t="shared" ref="I13:I16" si="6">+F13/$F$33</f>
        <v>7.2821846553966188E-2</v>
      </c>
      <c r="J13" s="240"/>
      <c r="K13" s="33" t="s">
        <v>210</v>
      </c>
      <c r="L13" s="301">
        <f>+[3]Encore!$GS$64+[3]DHL_Encore!$GS$64</f>
        <v>134792</v>
      </c>
      <c r="M13" s="192">
        <f>+[3]Encore!$GE$64+[3]DHL_Encore!$GE$64</f>
        <v>105049</v>
      </c>
      <c r="N13" s="303">
        <f t="shared" si="0"/>
        <v>0.28313453721596588</v>
      </c>
      <c r="O13" s="301">
        <f>+SUM([3]Encore!$GP$64:$GS$64)+SUM([3]DHL_Encore!$GP$64:$GS$64)</f>
        <v>472444</v>
      </c>
      <c r="P13" s="192">
        <f>+SUM([3]Encore!$GB$64:$GE$64)+SUM([3]DHL_Encore!$GB$64:$GE$64)</f>
        <v>418172</v>
      </c>
      <c r="Q13" s="302">
        <f t="shared" si="1"/>
        <v>0.12978391666586955</v>
      </c>
      <c r="R13" s="303">
        <f t="shared" si="2"/>
        <v>3.7902495700645536E-3</v>
      </c>
    </row>
    <row r="14" spans="1:18" ht="14.1" customHeight="1" x14ac:dyDescent="0.2">
      <c r="A14" s="240"/>
      <c r="B14" s="33" t="s">
        <v>229</v>
      </c>
      <c r="C14" s="301">
        <f>+[3]DHL_Kalitta!$GS$19</f>
        <v>0</v>
      </c>
      <c r="D14" s="192">
        <f>+[3]DHL_Kalitta!$GE$19</f>
        <v>44</v>
      </c>
      <c r="E14" s="303">
        <f t="shared" si="4"/>
        <v>-1</v>
      </c>
      <c r="F14" s="301">
        <f>+SUM([3]DHL_Kalitta!$GP$19:$GS$19)</f>
        <v>8</v>
      </c>
      <c r="G14" s="192">
        <f>+SUM([3]DHL_Kalitta!$GB$19:$GE$19)</f>
        <v>166</v>
      </c>
      <c r="H14" s="302">
        <f t="shared" si="5"/>
        <v>-0.95180722891566261</v>
      </c>
      <c r="I14" s="303">
        <f>+F14/$F$33</f>
        <v>1.7338534893801473E-3</v>
      </c>
      <c r="J14" s="240"/>
      <c r="K14" s="33" t="s">
        <v>229</v>
      </c>
      <c r="L14" s="301">
        <f>+[3]DHL_Kalitta!$GS$64</f>
        <v>0</v>
      </c>
      <c r="M14" s="192">
        <f>+[3]DHL_Kalitta!$GE$64</f>
        <v>1440461</v>
      </c>
      <c r="N14" s="303">
        <f t="shared" si="0"/>
        <v>-1</v>
      </c>
      <c r="O14" s="301">
        <f>+SUM([3]DHL_Kalitta!$GP$64:$GS$64)</f>
        <v>190513</v>
      </c>
      <c r="P14" s="192">
        <f>+SUM([3]DHL_Kalitta!$GB$64:$GE$64)</f>
        <v>5033654</v>
      </c>
      <c r="Q14" s="302">
        <f t="shared" si="1"/>
        <v>-0.9621521463334588</v>
      </c>
      <c r="R14" s="303">
        <f t="shared" si="2"/>
        <v>1.5284177941548803E-3</v>
      </c>
    </row>
    <row r="15" spans="1:18" ht="14.1" customHeight="1" x14ac:dyDescent="0.2">
      <c r="A15" s="240"/>
      <c r="B15" s="33" t="s">
        <v>230</v>
      </c>
      <c r="C15" s="301">
        <f>+[3]DHL_Southair!$GS$19</f>
        <v>0</v>
      </c>
      <c r="D15" s="192">
        <f>+[3]DHL_Southair!$GE$19</f>
        <v>0</v>
      </c>
      <c r="E15" s="303" t="e">
        <f t="shared" si="4"/>
        <v>#DIV/0!</v>
      </c>
      <c r="F15" s="301">
        <f>+SUM([3]DHL_Southair!$GP$19:$GS$19)</f>
        <v>0</v>
      </c>
      <c r="G15" s="192">
        <f>+SUM([3]DHL_Southair!$GB$19:$GE$19)</f>
        <v>0</v>
      </c>
      <c r="H15" s="302" t="e">
        <f t="shared" si="5"/>
        <v>#DIV/0!</v>
      </c>
      <c r="I15" s="303">
        <f>+F15/$F$33</f>
        <v>0</v>
      </c>
      <c r="J15" s="240"/>
      <c r="K15" s="33" t="s">
        <v>230</v>
      </c>
      <c r="L15" s="301">
        <f>+[3]DHL_Southair!$GS$64</f>
        <v>0</v>
      </c>
      <c r="M15" s="192">
        <f>+[3]DHL_Southair!$GE$64</f>
        <v>0</v>
      </c>
      <c r="N15" s="303" t="e">
        <f t="shared" si="0"/>
        <v>#DIV/0!</v>
      </c>
      <c r="O15" s="301">
        <f>+SUM([3]DHL_Southair!$GP$64:$GS$64)</f>
        <v>0</v>
      </c>
      <c r="P15" s="192">
        <f>+SUM([3]DHL_Southair!$GB$64:$GE$64)</f>
        <v>0</v>
      </c>
      <c r="Q15" s="302" t="e">
        <f t="shared" si="1"/>
        <v>#DIV/0!</v>
      </c>
      <c r="R15" s="303">
        <f t="shared" si="2"/>
        <v>0</v>
      </c>
    </row>
    <row r="16" spans="1:18" ht="14.1" customHeight="1" x14ac:dyDescent="0.2">
      <c r="A16" s="240"/>
      <c r="B16" s="33" t="s">
        <v>231</v>
      </c>
      <c r="C16" s="301">
        <f>+[3]DHL_Swift!$GS$19</f>
        <v>0</v>
      </c>
      <c r="D16" s="192">
        <f>+[3]DHL_Swift!$GE$19</f>
        <v>0</v>
      </c>
      <c r="E16" s="303" t="e">
        <f t="shared" si="4"/>
        <v>#DIV/0!</v>
      </c>
      <c r="F16" s="301">
        <f>+SUM([3]DHL_Swift!$GP$19:$GS$19)</f>
        <v>0</v>
      </c>
      <c r="G16" s="192">
        <f>+SUM([3]DHL_Swift!$GB$19:$GE$19)</f>
        <v>0</v>
      </c>
      <c r="H16" s="302" t="e">
        <f t="shared" si="5"/>
        <v>#DIV/0!</v>
      </c>
      <c r="I16" s="303">
        <f t="shared" si="6"/>
        <v>0</v>
      </c>
      <c r="J16" s="240"/>
      <c r="K16" s="33" t="s">
        <v>231</v>
      </c>
      <c r="L16" s="301">
        <f>+[3]DHL_Swift!$GS$64</f>
        <v>0</v>
      </c>
      <c r="M16" s="192">
        <f>+[3]DHL_Swift!$GE$64</f>
        <v>0</v>
      </c>
      <c r="N16" s="303" t="e">
        <f t="shared" si="0"/>
        <v>#DIV/0!</v>
      </c>
      <c r="O16" s="301">
        <f>+SUM([3]DHL_Swift!$GP$64:$GS$64)</f>
        <v>0</v>
      </c>
      <c r="P16" s="192">
        <f>+SUM([3]DHL_Swift!$GB$64:$GE$64)</f>
        <v>0</v>
      </c>
      <c r="Q16" s="302" t="e">
        <f t="shared" si="1"/>
        <v>#DIV/0!</v>
      </c>
      <c r="R16" s="303">
        <f t="shared" si="2"/>
        <v>0</v>
      </c>
    </row>
    <row r="17" spans="1:19" ht="14.1" customHeight="1" x14ac:dyDescent="0.2">
      <c r="A17" s="240"/>
      <c r="B17" s="33"/>
      <c r="C17" s="241"/>
      <c r="D17" s="115"/>
      <c r="E17" s="243"/>
      <c r="F17" s="241"/>
      <c r="G17" s="115"/>
      <c r="H17" s="242"/>
      <c r="I17" s="243"/>
      <c r="J17" s="240"/>
      <c r="K17" s="33"/>
      <c r="L17" s="244"/>
      <c r="N17" s="58"/>
      <c r="O17" s="244"/>
      <c r="P17" s="115"/>
      <c r="Q17" s="3"/>
      <c r="R17" s="58"/>
    </row>
    <row r="18" spans="1:19" ht="14.1" customHeight="1" x14ac:dyDescent="0.2">
      <c r="A18" s="240" t="s">
        <v>185</v>
      </c>
      <c r="B18" s="33"/>
      <c r="C18" s="439">
        <f>SUM(C19:C22)</f>
        <v>322</v>
      </c>
      <c r="D18" s="435">
        <f>SUM(D19:D22)</f>
        <v>326</v>
      </c>
      <c r="E18" s="436">
        <f>(C18-D18)/D18</f>
        <v>-1.2269938650306749E-2</v>
      </c>
      <c r="F18" s="439">
        <f>SUM(F19:F22)</f>
        <v>1225</v>
      </c>
      <c r="G18" s="435">
        <f>SUM(G19:G22)</f>
        <v>1262</v>
      </c>
      <c r="H18" s="437">
        <f t="shared" ref="H18:H19" si="7">(F18-G18)/G18</f>
        <v>-2.9318541996830427E-2</v>
      </c>
      <c r="I18" s="436">
        <f>+F18/$F$33</f>
        <v>0.26549631556133507</v>
      </c>
      <c r="J18" s="240" t="s">
        <v>185</v>
      </c>
      <c r="K18" s="33"/>
      <c r="L18" s="439">
        <f>SUM(L19:L22)</f>
        <v>15993055</v>
      </c>
      <c r="M18" s="435">
        <f>SUM(M19:M22)</f>
        <v>10354257</v>
      </c>
      <c r="N18" s="436">
        <f>(L18-M18)/M18</f>
        <v>0.54458740979676279</v>
      </c>
      <c r="O18" s="439">
        <f>SUM(O19:O22)</f>
        <v>63349939</v>
      </c>
      <c r="P18" s="435">
        <f>SUM(P19:P22)</f>
        <v>60122870</v>
      </c>
      <c r="Q18" s="437">
        <f t="shared" ref="Q18:Q20" si="8">(O18-P18)/P18</f>
        <v>5.3674566766356964E-2</v>
      </c>
      <c r="R18" s="436">
        <f>O18/$O$33</f>
        <v>0.5082339474273474</v>
      </c>
    </row>
    <row r="19" spans="1:19" x14ac:dyDescent="0.2">
      <c r="A19" s="31"/>
      <c r="B19" s="297" t="s">
        <v>185</v>
      </c>
      <c r="C19" s="301">
        <f>+[3]FedEx!$GS$19</f>
        <v>244</v>
      </c>
      <c r="D19" s="192">
        <f>+[3]FedEx!$GE$19</f>
        <v>254</v>
      </c>
      <c r="E19" s="303">
        <f>(C19-D19)/D19</f>
        <v>-3.937007874015748E-2</v>
      </c>
      <c r="F19" s="301">
        <f>+SUM([3]FedEx!$GP$19:$GS$19)</f>
        <v>922</v>
      </c>
      <c r="G19" s="192">
        <f>+SUM([3]FedEx!$GB$19:$GE$19)</f>
        <v>1012</v>
      </c>
      <c r="H19" s="302">
        <f t="shared" si="7"/>
        <v>-8.8932806324110672E-2</v>
      </c>
      <c r="I19" s="303">
        <f>+F19/$F$33</f>
        <v>0.199826614651062</v>
      </c>
      <c r="J19" s="240"/>
      <c r="K19" s="297" t="s">
        <v>185</v>
      </c>
      <c r="L19" s="301">
        <f>+[3]FedEx!$GS$64</f>
        <v>15827617</v>
      </c>
      <c r="M19" s="192">
        <f>+[3]FedEx!$GE$64</f>
        <v>10319988</v>
      </c>
      <c r="N19" s="303">
        <f>(L19-M19)/M19</f>
        <v>0.53368560118480757</v>
      </c>
      <c r="O19" s="301">
        <f>+SUM([3]FedEx!$GP$64:$GS$64)</f>
        <v>61985353</v>
      </c>
      <c r="P19" s="192">
        <f>+SUM([3]FedEx!$GB$64:$GE$64)</f>
        <v>59691281</v>
      </c>
      <c r="Q19" s="302">
        <f t="shared" si="8"/>
        <v>3.8432279582004618E-2</v>
      </c>
      <c r="R19" s="303">
        <f>O19/$O$33</f>
        <v>0.49728636104712853</v>
      </c>
    </row>
    <row r="20" spans="1:19" x14ac:dyDescent="0.2">
      <c r="A20" s="31"/>
      <c r="B20" s="297" t="s">
        <v>232</v>
      </c>
      <c r="C20" s="301">
        <f>+'[3]Mountain Cargo'!$GS$19</f>
        <v>50</v>
      </c>
      <c r="D20" s="192">
        <f>+'[3]Mountain Cargo'!$GE$19</f>
        <v>38</v>
      </c>
      <c r="E20" s="303">
        <f>(C20-D20)/D20</f>
        <v>0.31578947368421051</v>
      </c>
      <c r="F20" s="301">
        <f>+SUM('[3]Mountain Cargo'!$GP$19:$GS$19)</f>
        <v>174</v>
      </c>
      <c r="G20" s="192">
        <f>+SUM('[3]Mountain Cargo'!$GB$19:$GE$19)</f>
        <v>118</v>
      </c>
      <c r="H20" s="302">
        <f>(F20-G20)/G20</f>
        <v>0.47457627118644069</v>
      </c>
      <c r="I20" s="303">
        <f>+F20/$F$33</f>
        <v>3.7711313394018203E-2</v>
      </c>
      <c r="J20" s="369"/>
      <c r="K20" s="297" t="s">
        <v>232</v>
      </c>
      <c r="L20" s="301">
        <f>+'[3]Mountain Cargo'!$GS$64</f>
        <v>131103</v>
      </c>
      <c r="M20" s="192">
        <f>+'[3]Mountain Cargo'!$GE$64</f>
        <v>15355</v>
      </c>
      <c r="N20" s="303">
        <f>(L20-M20)/M20</f>
        <v>7.5381309019863236</v>
      </c>
      <c r="O20" s="301">
        <f>+SUM('[3]Mountain Cargo'!$GP$64:$GS$64)</f>
        <v>1202705</v>
      </c>
      <c r="P20" s="192">
        <f>+SUM('[3]Mountain Cargo'!$GB$64:$GE$64)</f>
        <v>362257</v>
      </c>
      <c r="Q20" s="302">
        <f t="shared" si="8"/>
        <v>2.3200324631408087</v>
      </c>
      <c r="R20" s="303">
        <f>O20/$O$33</f>
        <v>9.6488729016867367E-3</v>
      </c>
    </row>
    <row r="21" spans="1:19" x14ac:dyDescent="0.2">
      <c r="A21" s="31"/>
      <c r="B21" s="297" t="s">
        <v>178</v>
      </c>
      <c r="C21" s="301">
        <f>+[3]IFL!$GS$19</f>
        <v>28</v>
      </c>
      <c r="D21" s="192">
        <f>+[3]IFL!$GE$19</f>
        <v>34</v>
      </c>
      <c r="E21" s="303">
        <f>(C21-D21)/D21</f>
        <v>-0.17647058823529413</v>
      </c>
      <c r="F21" s="301">
        <f>+SUM([3]IFL!$GP$19:$GS$19)</f>
        <v>129</v>
      </c>
      <c r="G21" s="192">
        <f>+SUM([3]IFL!$GB$19:$GE$19)</f>
        <v>129</v>
      </c>
      <c r="H21" s="302">
        <f>(F21-G21)/G21</f>
        <v>0</v>
      </c>
      <c r="I21" s="303">
        <f>+F21/$F$33</f>
        <v>2.7958387516254877E-2</v>
      </c>
      <c r="J21" s="369"/>
      <c r="K21" s="297" t="s">
        <v>178</v>
      </c>
      <c r="L21" s="301">
        <f>+[3]IFL!$GS$64</f>
        <v>34335</v>
      </c>
      <c r="M21" s="192">
        <f>+[3]IFL!$GE$64</f>
        <v>18914</v>
      </c>
      <c r="N21" s="303">
        <f>(L21-M21)/M21</f>
        <v>0.81532198371576614</v>
      </c>
      <c r="O21" s="301">
        <f>+SUM([3]IFL!$GP$64:$GS$64)</f>
        <v>161881</v>
      </c>
      <c r="P21" s="192">
        <f>+SUM([3]IFL!$GB$64:$GE$64)</f>
        <v>64497</v>
      </c>
      <c r="Q21" s="302">
        <f>(O21-P21)/P21</f>
        <v>1.5098996852566786</v>
      </c>
      <c r="R21" s="303">
        <f>O21/$O$33</f>
        <v>1.2987134785321013E-3</v>
      </c>
    </row>
    <row r="22" spans="1:19" ht="14.1" customHeight="1" x14ac:dyDescent="0.2">
      <c r="A22" s="240"/>
      <c r="B22" s="297" t="s">
        <v>85</v>
      </c>
      <c r="C22" s="301">
        <f>+'[3]CSA Air'!$GS$19</f>
        <v>0</v>
      </c>
      <c r="D22" s="192">
        <f>+'[3]CSA Air'!$GE$19</f>
        <v>0</v>
      </c>
      <c r="E22" s="303" t="e">
        <f>(C22-D22)/D22</f>
        <v>#DIV/0!</v>
      </c>
      <c r="F22" s="301">
        <f>+SUM('[3]CSA Air'!$GP$19:$GS$19)</f>
        <v>0</v>
      </c>
      <c r="G22" s="192">
        <f>+SUM('[3]CSA Air'!$GB$19:$GE$19)</f>
        <v>3</v>
      </c>
      <c r="H22" s="302">
        <f t="shared" ref="H22" si="9">(F22-G22)/G22</f>
        <v>-1</v>
      </c>
      <c r="I22" s="303">
        <f>+F22/$F$33</f>
        <v>0</v>
      </c>
      <c r="J22" s="240"/>
      <c r="K22" s="297" t="s">
        <v>85</v>
      </c>
      <c r="L22" s="301">
        <f>+'[3]CSA Air'!$GS$64</f>
        <v>0</v>
      </c>
      <c r="M22" s="192">
        <f>+'[3]CSA Air'!$GE$64</f>
        <v>0</v>
      </c>
      <c r="N22" s="303" t="e">
        <f>(L22-M22)/M22</f>
        <v>#DIV/0!</v>
      </c>
      <c r="O22" s="301">
        <f>+SUM('[3]CSA Air'!$GP$64:$GS$64)</f>
        <v>0</v>
      </c>
      <c r="P22" s="192">
        <f>+SUM('[3]CSA Air'!$GB$64:$GE$64)</f>
        <v>4835</v>
      </c>
      <c r="Q22" s="302">
        <f t="shared" ref="Q22" si="10">(O22-P22)/P22</f>
        <v>-1</v>
      </c>
      <c r="R22" s="303">
        <f>O22/$O$33</f>
        <v>0</v>
      </c>
    </row>
    <row r="23" spans="1:19" ht="14.1" customHeight="1" x14ac:dyDescent="0.2">
      <c r="A23" s="240"/>
      <c r="B23" s="33"/>
      <c r="C23" s="241"/>
      <c r="D23" s="115"/>
      <c r="E23" s="243"/>
      <c r="F23" s="241"/>
      <c r="G23" s="115"/>
      <c r="H23" s="242"/>
      <c r="I23" s="243"/>
      <c r="J23" s="240"/>
      <c r="K23" s="33"/>
      <c r="L23" s="244"/>
      <c r="N23" s="58"/>
      <c r="O23" s="244"/>
      <c r="P23" s="115"/>
      <c r="Q23" s="3"/>
      <c r="R23" s="58"/>
    </row>
    <row r="24" spans="1:19" ht="14.1" customHeight="1" x14ac:dyDescent="0.2">
      <c r="A24" s="240"/>
      <c r="B24" s="33"/>
      <c r="C24" s="241"/>
      <c r="D24" s="115"/>
      <c r="E24" s="243"/>
      <c r="F24" s="241"/>
      <c r="G24" s="115"/>
      <c r="H24" s="242"/>
      <c r="I24" s="243"/>
      <c r="J24" s="240"/>
      <c r="K24" s="33"/>
      <c r="L24" s="244"/>
      <c r="N24" s="58"/>
      <c r="O24" s="244"/>
      <c r="P24" s="2"/>
      <c r="Q24" s="3"/>
      <c r="R24" s="58"/>
    </row>
    <row r="25" spans="1:19" ht="14.1" customHeight="1" x14ac:dyDescent="0.2">
      <c r="A25" s="240" t="s">
        <v>83</v>
      </c>
      <c r="B25" s="33"/>
      <c r="C25" s="435">
        <f>SUM(C26:C27)</f>
        <v>685</v>
      </c>
      <c r="D25" s="435">
        <f>SUM(D26:D27)</f>
        <v>640</v>
      </c>
      <c r="E25" s="436">
        <f>(C25-D25)/D25</f>
        <v>7.03125E-2</v>
      </c>
      <c r="F25" s="435">
        <f>SUM(F26:F27)</f>
        <v>2639</v>
      </c>
      <c r="G25" s="435">
        <f>SUM(G26:G27)</f>
        <v>2572</v>
      </c>
      <c r="H25" s="437">
        <f>(F25-G25)/G25</f>
        <v>2.6049766718506999E-2</v>
      </c>
      <c r="I25" s="436">
        <f>+F25/$F$33</f>
        <v>0.57195491980927615</v>
      </c>
      <c r="J25" s="240" t="s">
        <v>83</v>
      </c>
      <c r="K25" s="33"/>
      <c r="L25" s="435">
        <f>SUM(L26:L27)</f>
        <v>11016823</v>
      </c>
      <c r="M25" s="435">
        <f>SUM(M26:M27)</f>
        <v>11144190</v>
      </c>
      <c r="N25" s="436">
        <f>(L25-M25)/M25</f>
        <v>-1.1429004710077628E-2</v>
      </c>
      <c r="O25" s="435">
        <f>SUM(O26:O27)</f>
        <v>45051320</v>
      </c>
      <c r="P25" s="435">
        <f>SUM(P26:P27)</f>
        <v>43244883</v>
      </c>
      <c r="Q25" s="437">
        <f>(O25-P25)/P25</f>
        <v>4.1772271646566835E-2</v>
      </c>
      <c r="R25" s="436">
        <f>O25/$O$33</f>
        <v>0.3614306590005178</v>
      </c>
    </row>
    <row r="26" spans="1:19" ht="14.1" customHeight="1" x14ac:dyDescent="0.2">
      <c r="A26" s="240"/>
      <c r="B26" s="297" t="s">
        <v>83</v>
      </c>
      <c r="C26" s="301">
        <f>+[3]UPS!$GS$19</f>
        <v>295</v>
      </c>
      <c r="D26" s="192">
        <f>+[3]UPS!$GE$19</f>
        <v>264</v>
      </c>
      <c r="E26" s="303">
        <f>(C26-D26)/D26</f>
        <v>0.11742424242424243</v>
      </c>
      <c r="F26" s="301">
        <f>+SUM([3]UPS!$GP$19:$GS$19)</f>
        <v>1065</v>
      </c>
      <c r="G26" s="192">
        <f>+SUM([3]UPS!$GB$19:$GE$19)</f>
        <v>1070</v>
      </c>
      <c r="H26" s="302">
        <f>(F26-G26)/G26</f>
        <v>-4.6728971962616819E-3</v>
      </c>
      <c r="I26" s="303">
        <f>+F26/$F$33</f>
        <v>0.23081924577373211</v>
      </c>
      <c r="J26" s="240"/>
      <c r="K26" s="297" t="s">
        <v>83</v>
      </c>
      <c r="L26" s="301">
        <f>+[3]UPS!$GS$64</f>
        <v>11016823</v>
      </c>
      <c r="M26" s="192">
        <f>+[3]UPS!$GE$64</f>
        <v>11144190</v>
      </c>
      <c r="N26" s="303">
        <f>(L26-M26)/M26</f>
        <v>-1.1429004710077628E-2</v>
      </c>
      <c r="O26" s="301">
        <f>+SUM([3]UPS!$GP$64:$GS$64)</f>
        <v>45051320</v>
      </c>
      <c r="P26" s="192">
        <f>+SUM([3]UPS!$GB$64:$GE$64)</f>
        <v>43244883</v>
      </c>
      <c r="Q26" s="302">
        <f>(O26-P26)/P26</f>
        <v>4.1772271646566835E-2</v>
      </c>
      <c r="R26" s="303">
        <f>O26/$O$33</f>
        <v>0.3614306590005178</v>
      </c>
    </row>
    <row r="27" spans="1:19" ht="14.1" customHeight="1" x14ac:dyDescent="0.2">
      <c r="A27" s="240"/>
      <c r="B27" s="297" t="s">
        <v>84</v>
      </c>
      <c r="C27" s="301">
        <f>+[3]Bemidji!$GS$19</f>
        <v>390</v>
      </c>
      <c r="D27" s="192">
        <f>+[3]Bemidji!$GE$19</f>
        <v>376</v>
      </c>
      <c r="E27" s="303">
        <f>(C27-D27)/D27</f>
        <v>3.7234042553191488E-2</v>
      </c>
      <c r="F27" s="301">
        <f>+SUM([3]Bemidji!$GP$19:$GS$19)</f>
        <v>1574</v>
      </c>
      <c r="G27" s="192">
        <f>+SUM([3]Bemidji!$GB$19:$GE$19)</f>
        <v>1502</v>
      </c>
      <c r="H27" s="302">
        <f t="shared" ref="H27" si="11">(F27-G27)/G27</f>
        <v>4.7936085219707054E-2</v>
      </c>
      <c r="I27" s="303">
        <f>+F27/$F$33</f>
        <v>0.34113567403554401</v>
      </c>
      <c r="J27" s="240"/>
      <c r="K27" s="297" t="s">
        <v>84</v>
      </c>
      <c r="L27" s="471" t="s">
        <v>188</v>
      </c>
      <c r="M27" s="472"/>
      <c r="N27" s="472"/>
      <c r="O27" s="472"/>
      <c r="P27" s="472"/>
      <c r="Q27" s="472"/>
      <c r="R27" s="473"/>
    </row>
    <row r="28" spans="1:19" ht="14.1" customHeight="1" x14ac:dyDescent="0.2">
      <c r="A28" s="31"/>
      <c r="B28" s="33"/>
      <c r="C28" s="241"/>
      <c r="E28" s="58"/>
      <c r="F28" s="244"/>
      <c r="I28" s="58"/>
      <c r="J28" s="31"/>
      <c r="K28" s="33"/>
      <c r="L28" s="244"/>
      <c r="N28" s="58"/>
      <c r="O28" s="244"/>
      <c r="P28" s="2"/>
      <c r="Q28" s="3"/>
      <c r="R28" s="58"/>
    </row>
    <row r="29" spans="1:19" ht="14.1" customHeight="1" x14ac:dyDescent="0.2">
      <c r="A29" s="240" t="s">
        <v>128</v>
      </c>
      <c r="B29" s="33"/>
      <c r="C29" s="439">
        <f>+'[3]Misc Cargo'!$GS$19</f>
        <v>0</v>
      </c>
      <c r="D29" s="435">
        <f>+'[3]Misc Cargo'!$GE$19</f>
        <v>0</v>
      </c>
      <c r="E29" s="436" t="e">
        <f>(C29-D29)/D29</f>
        <v>#DIV/0!</v>
      </c>
      <c r="F29" s="439">
        <f>+SUM('[3]Misc Cargo'!$GP$19:$GS$19)</f>
        <v>9</v>
      </c>
      <c r="G29" s="435">
        <f>+SUM('[3]Misc Cargo'!$GB$19:$GE$19)</f>
        <v>0</v>
      </c>
      <c r="H29" s="437" t="e">
        <f>(F29-G29)/G29</f>
        <v>#DIV/0!</v>
      </c>
      <c r="I29" s="436">
        <f>+F29/$F$33</f>
        <v>1.9505851755526658E-3</v>
      </c>
      <c r="J29" s="240" t="s">
        <v>128</v>
      </c>
      <c r="K29" s="33"/>
      <c r="L29" s="439">
        <f>+'[3]Misc Cargo'!$GS$64</f>
        <v>0</v>
      </c>
      <c r="M29" s="435">
        <f>+'[3]Misc Cargo'!$GE$64</f>
        <v>0</v>
      </c>
      <c r="N29" s="436" t="e">
        <f>(L29-M29)/M29</f>
        <v>#DIV/0!</v>
      </c>
      <c r="O29" s="439">
        <f>+SUM('[3]Misc Cargo'!$GP$64:$GS$64)</f>
        <v>264695</v>
      </c>
      <c r="P29" s="435">
        <f>+SUM('[3]Misc Cargo'!$GB$64:$GE$64)</f>
        <v>0</v>
      </c>
      <c r="Q29" s="437" t="e">
        <f>(O29-P29)/P29</f>
        <v>#DIV/0!</v>
      </c>
      <c r="R29" s="436">
        <f>O29/$O$33</f>
        <v>2.1235535004111325E-3</v>
      </c>
      <c r="S29" s="324"/>
    </row>
    <row r="30" spans="1:19" ht="14.1" customHeight="1" x14ac:dyDescent="0.2">
      <c r="A30" s="31"/>
      <c r="B30" s="33"/>
      <c r="C30" s="241"/>
      <c r="E30" s="58"/>
      <c r="F30" s="244"/>
      <c r="I30" s="58"/>
      <c r="J30" s="31"/>
      <c r="K30" s="33"/>
      <c r="L30" s="244"/>
      <c r="N30" s="58"/>
      <c r="O30" s="244"/>
      <c r="P30" s="2"/>
      <c r="Q30" s="3"/>
      <c r="R30" s="58"/>
    </row>
    <row r="31" spans="1:19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40"/>
      <c r="K31" s="33"/>
      <c r="L31" s="247"/>
      <c r="M31" s="249"/>
      <c r="N31" s="250"/>
      <c r="O31" s="247"/>
      <c r="P31" s="249"/>
      <c r="Q31" s="248"/>
      <c r="R31" s="326"/>
      <c r="S31" s="324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1193</v>
      </c>
      <c r="D33" s="332">
        <f>+D29+D25+D18+D9+D5</f>
        <v>1150</v>
      </c>
      <c r="E33" s="333">
        <f>(C33-D33)/D33</f>
        <v>3.7391304347826088E-2</v>
      </c>
      <c r="F33" s="332">
        <f>+F29+F25+F18+F9+F5</f>
        <v>4614</v>
      </c>
      <c r="G33" s="332">
        <f>+G29+G25+G18+G9+G5</f>
        <v>4570</v>
      </c>
      <c r="H33" s="334">
        <f>(F33-G33)/G33</f>
        <v>9.6280087527352304E-3</v>
      </c>
      <c r="I33" s="346"/>
      <c r="J33"/>
      <c r="K33" s="331" t="s">
        <v>186</v>
      </c>
      <c r="L33" s="332">
        <f>+L29+L25+L18+L9+L5</f>
        <v>32098620</v>
      </c>
      <c r="M33" s="332">
        <f>+M29+M25+M18+M9+M5</f>
        <v>25173530</v>
      </c>
      <c r="N33" s="335">
        <f>(L33-M33)/M33</f>
        <v>0.27509411671704365</v>
      </c>
      <c r="O33" s="332">
        <f>+O29+O25+O18+O9+O5</f>
        <v>124647201</v>
      </c>
      <c r="P33" s="332">
        <f>+P29+P25+P18+P9+P5</f>
        <v>117647235</v>
      </c>
      <c r="Q33" s="334">
        <f t="shared" ref="Q33" si="12">(O33-P33)/P33</f>
        <v>5.9499621899316207E-2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April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2020-04-09T16:45:55Z</cp:lastPrinted>
  <dcterms:created xsi:type="dcterms:W3CDTF">2007-09-24T12:26:24Z</dcterms:created>
  <dcterms:modified xsi:type="dcterms:W3CDTF">2021-02-24T18:11:05Z</dcterms:modified>
</cp:coreProperties>
</file>