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75A588C6-DFDF-4551-A664-96A5733CA7AC}" xr6:coauthVersionLast="47" xr6:coauthVersionMax="47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Stats'!$A$2:$K$49</definedName>
    <definedName name="_xlnm.Print_Area" localSheetId="4">'Other Regional'!$A$1:$K$47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D11" i="15"/>
  <c r="D10" i="15" l="1"/>
  <c r="D6" i="15"/>
  <c r="D5" i="15"/>
  <c r="Y65" i="9" l="1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G27" i="17"/>
  <c r="D27" i="17"/>
  <c r="P26" i="17"/>
  <c r="M26" i="17"/>
  <c r="G26" i="17"/>
  <c r="D26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9" i="17"/>
  <c r="M19" i="17"/>
  <c r="G19" i="17"/>
  <c r="D19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29" i="17"/>
  <c r="L29" i="17"/>
  <c r="F29" i="17"/>
  <c r="C29" i="17"/>
  <c r="F27" i="17"/>
  <c r="C27" i="17"/>
  <c r="O26" i="17"/>
  <c r="L26" i="17"/>
  <c r="F26" i="17"/>
  <c r="C26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9" i="17"/>
  <c r="L19" i="17"/>
  <c r="F19" i="17"/>
  <c r="C19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16" i="5" l="1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J24" i="7"/>
  <c r="O24" i="7"/>
  <c r="O23" i="7"/>
  <c r="E24" i="7"/>
  <c r="E23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C47" i="15"/>
  <c r="J46" i="15"/>
  <c r="G46" i="15"/>
  <c r="C46" i="15"/>
  <c r="J35" i="15"/>
  <c r="H35" i="15"/>
  <c r="G35" i="15"/>
  <c r="F35" i="15"/>
  <c r="E35" i="15"/>
  <c r="D35" i="15"/>
  <c r="C35" i="15"/>
  <c r="B35" i="15"/>
  <c r="J31" i="15"/>
  <c r="I31" i="15"/>
  <c r="H31" i="15"/>
  <c r="G31" i="15"/>
  <c r="F31" i="15"/>
  <c r="E31" i="15"/>
  <c r="D31" i="15"/>
  <c r="C31" i="15"/>
  <c r="B31" i="15"/>
  <c r="J30" i="15"/>
  <c r="I30" i="15"/>
  <c r="H30" i="15"/>
  <c r="G30" i="15"/>
  <c r="F30" i="15"/>
  <c r="E30" i="15"/>
  <c r="D30" i="15"/>
  <c r="C30" i="15"/>
  <c r="B30" i="15"/>
  <c r="J26" i="15"/>
  <c r="I26" i="15"/>
  <c r="H26" i="15"/>
  <c r="G26" i="15"/>
  <c r="F26" i="15"/>
  <c r="E26" i="15"/>
  <c r="D26" i="15"/>
  <c r="C26" i="15"/>
  <c r="B26" i="15"/>
  <c r="J25" i="15"/>
  <c r="I25" i="15"/>
  <c r="H25" i="15"/>
  <c r="G25" i="15"/>
  <c r="F25" i="15"/>
  <c r="E25" i="15"/>
  <c r="D25" i="15"/>
  <c r="C25" i="15"/>
  <c r="B25" i="15"/>
  <c r="J19" i="15"/>
  <c r="I19" i="15"/>
  <c r="H19" i="15"/>
  <c r="G19" i="15"/>
  <c r="F19" i="15"/>
  <c r="E19" i="15"/>
  <c r="D19" i="15"/>
  <c r="C19" i="15"/>
  <c r="B19" i="15"/>
  <c r="J18" i="15"/>
  <c r="I18" i="15"/>
  <c r="H18" i="15"/>
  <c r="G18" i="15"/>
  <c r="F18" i="15"/>
  <c r="E18" i="15"/>
  <c r="D18" i="15"/>
  <c r="C18" i="15"/>
  <c r="B18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1" i="15"/>
  <c r="I11" i="15"/>
  <c r="H11" i="15"/>
  <c r="G11" i="15"/>
  <c r="F11" i="15"/>
  <c r="E11" i="15"/>
  <c r="C11" i="15"/>
  <c r="B11" i="15"/>
  <c r="J10" i="15"/>
  <c r="I10" i="15"/>
  <c r="H10" i="15"/>
  <c r="G10" i="15"/>
  <c r="F10" i="15"/>
  <c r="E10" i="15"/>
  <c r="C10" i="15"/>
  <c r="B10" i="15"/>
  <c r="J6" i="15"/>
  <c r="I6" i="15"/>
  <c r="H6" i="15"/>
  <c r="G6" i="15"/>
  <c r="F6" i="15"/>
  <c r="E6" i="15"/>
  <c r="C6" i="15"/>
  <c r="B6" i="15"/>
  <c r="J5" i="15"/>
  <c r="I5" i="15"/>
  <c r="H5" i="15"/>
  <c r="G5" i="15"/>
  <c r="F5" i="15"/>
  <c r="E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J23" i="7" l="1"/>
  <c r="E22" i="7"/>
  <c r="T1048576" i="17"/>
  <c r="O22" i="7" l="1"/>
  <c r="J22" i="7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41" i="15"/>
  <c r="E17" i="15"/>
  <c r="E7" i="15" l="1"/>
  <c r="E27" i="15"/>
  <c r="E32" i="15"/>
  <c r="E12" i="15"/>
  <c r="E40" i="15"/>
  <c r="E42" i="15" s="1"/>
  <c r="E20" i="15"/>
  <c r="E21" i="15" s="1"/>
  <c r="W33" i="9" l="1"/>
  <c r="Z33" i="9"/>
  <c r="E33" i="9"/>
  <c r="N33" i="9"/>
  <c r="H33" i="9"/>
  <c r="Q33" i="9"/>
  <c r="O21" i="7" l="1"/>
  <c r="J21" i="7"/>
  <c r="E21" i="7"/>
  <c r="D69" i="9" l="1"/>
  <c r="C69" i="9"/>
  <c r="F69" i="9"/>
  <c r="K5" i="3"/>
  <c r="Y69" i="9"/>
  <c r="P69" i="9"/>
  <c r="V69" i="9"/>
  <c r="M69" i="9"/>
  <c r="O69" i="9"/>
  <c r="X69" i="9"/>
  <c r="U69" i="9"/>
  <c r="L69" i="9"/>
  <c r="G69" i="9"/>
  <c r="Z64" i="9"/>
  <c r="W64" i="9"/>
  <c r="W63" i="9"/>
  <c r="W61" i="9"/>
  <c r="Z60" i="9"/>
  <c r="Z59" i="9"/>
  <c r="V58" i="9"/>
  <c r="Z52" i="9"/>
  <c r="W52" i="9"/>
  <c r="Z50" i="9"/>
  <c r="W46" i="9"/>
  <c r="Z44" i="9"/>
  <c r="Z42" i="9"/>
  <c r="W40" i="9"/>
  <c r="Z39" i="9"/>
  <c r="W39" i="9"/>
  <c r="W38" i="9"/>
  <c r="W37" i="9"/>
  <c r="V35" i="9"/>
  <c r="W36" i="9"/>
  <c r="W29" i="9"/>
  <c r="Z27" i="9"/>
  <c r="W27" i="9"/>
  <c r="W26" i="9"/>
  <c r="W25" i="9"/>
  <c r="W24" i="9"/>
  <c r="W23" i="9"/>
  <c r="Z22" i="9"/>
  <c r="W22" i="9"/>
  <c r="W21" i="9"/>
  <c r="Z18" i="9"/>
  <c r="W18" i="9"/>
  <c r="W17" i="9"/>
  <c r="W16" i="9"/>
  <c r="Z13" i="9"/>
  <c r="Z11" i="9"/>
  <c r="Z8" i="9"/>
  <c r="Z7" i="9"/>
  <c r="Y6" i="9"/>
  <c r="V6" i="9"/>
  <c r="W7" i="9"/>
  <c r="W8" i="9" l="1"/>
  <c r="W11" i="9"/>
  <c r="Z17" i="9"/>
  <c r="V20" i="9"/>
  <c r="Z26" i="9"/>
  <c r="W44" i="9"/>
  <c r="W48" i="9"/>
  <c r="Z54" i="9"/>
  <c r="V15" i="9"/>
  <c r="Y20" i="9"/>
  <c r="Z23" i="9"/>
  <c r="Z29" i="9"/>
  <c r="Y35" i="9"/>
  <c r="Z38" i="9"/>
  <c r="W42" i="9"/>
  <c r="W56" i="9"/>
  <c r="W65" i="9"/>
  <c r="X15" i="9"/>
  <c r="Y58" i="9"/>
  <c r="W4" i="9"/>
  <c r="U6" i="9"/>
  <c r="W6" i="9" s="1"/>
  <c r="Y15" i="9"/>
  <c r="W31" i="9"/>
  <c r="Z40" i="9"/>
  <c r="W50" i="9"/>
  <c r="Z56" i="9"/>
  <c r="W60" i="9"/>
  <c r="W62" i="9"/>
  <c r="W13" i="9"/>
  <c r="U35" i="9"/>
  <c r="W35" i="9" s="1"/>
  <c r="W41" i="9"/>
  <c r="W54" i="9"/>
  <c r="W59" i="9"/>
  <c r="X20" i="9"/>
  <c r="Z9" i="9"/>
  <c r="U15" i="9"/>
  <c r="Z21" i="9"/>
  <c r="Z31" i="9"/>
  <c r="Z41" i="9"/>
  <c r="X6" i="9"/>
  <c r="Z65" i="9"/>
  <c r="U58" i="9"/>
  <c r="Z63" i="9"/>
  <c r="Z4" i="9"/>
  <c r="Z16" i="9"/>
  <c r="U20" i="9"/>
  <c r="Z25" i="9"/>
  <c r="X35" i="9"/>
  <c r="Z37" i="9"/>
  <c r="Z48" i="9"/>
  <c r="Z62" i="9"/>
  <c r="W9" i="9"/>
  <c r="Z24" i="9"/>
  <c r="Z36" i="9"/>
  <c r="Z46" i="9"/>
  <c r="Z61" i="9"/>
  <c r="X58" i="9"/>
  <c r="V70" i="9" l="1"/>
  <c r="V68" i="9" s="1"/>
  <c r="X70" i="9"/>
  <c r="X68" i="9" s="1"/>
  <c r="Y70" i="9"/>
  <c r="Y68" i="9" s="1"/>
  <c r="U70" i="9"/>
  <c r="U68" i="9" s="1"/>
  <c r="W20" i="9"/>
  <c r="Z69" i="9"/>
  <c r="W69" i="9"/>
  <c r="Z15" i="9"/>
  <c r="W15" i="9"/>
  <c r="Z58" i="9"/>
  <c r="W58" i="9"/>
  <c r="Z6" i="9"/>
  <c r="Z20" i="9"/>
  <c r="Z35" i="9"/>
  <c r="AA4" i="9" l="1"/>
  <c r="AA6" i="9"/>
  <c r="AA20" i="9"/>
  <c r="AA70" i="9"/>
  <c r="AA60" i="9"/>
  <c r="AA44" i="9"/>
  <c r="Z70" i="9"/>
  <c r="AA33" i="9"/>
  <c r="AA18" i="9"/>
  <c r="AA65" i="9"/>
  <c r="AA54" i="9"/>
  <c r="AA40" i="9"/>
  <c r="AA7" i="9"/>
  <c r="AA8" i="9"/>
  <c r="AA29" i="9"/>
  <c r="AA64" i="9"/>
  <c r="AA55" i="9"/>
  <c r="AA52" i="9"/>
  <c r="AA39" i="9"/>
  <c r="AA27" i="9"/>
  <c r="AA56" i="9"/>
  <c r="AA13" i="9"/>
  <c r="AA59" i="9"/>
  <c r="AA23" i="9"/>
  <c r="AA36" i="9"/>
  <c r="AA17" i="9"/>
  <c r="AA63" i="9"/>
  <c r="AA69" i="9"/>
  <c r="AA46" i="9"/>
  <c r="AA50" i="9"/>
  <c r="AA9" i="9"/>
  <c r="AA24" i="9"/>
  <c r="AA41" i="9"/>
  <c r="AA22" i="9"/>
  <c r="AA11" i="9"/>
  <c r="AA31" i="9"/>
  <c r="AA26" i="9"/>
  <c r="AA15" i="9"/>
  <c r="AA37" i="9"/>
  <c r="AA25" i="9"/>
  <c r="AA62" i="9"/>
  <c r="AA21" i="9"/>
  <c r="AA48" i="9"/>
  <c r="AA42" i="9"/>
  <c r="AA38" i="9"/>
  <c r="AA61" i="9"/>
  <c r="AA16" i="9"/>
  <c r="W70" i="9"/>
  <c r="W68" i="9"/>
  <c r="AA35" i="9"/>
  <c r="AA58" i="9"/>
  <c r="AA68" i="9" l="1"/>
  <c r="Z68" i="9"/>
  <c r="G5" i="17" l="1"/>
  <c r="H19" i="17"/>
  <c r="P25" i="17"/>
  <c r="M25" i="17"/>
  <c r="H14" i="17"/>
  <c r="E29" i="17"/>
  <c r="L25" i="17"/>
  <c r="N22" i="17"/>
  <c r="N16" i="17"/>
  <c r="Q14" i="17"/>
  <c r="N14" i="17"/>
  <c r="N12" i="17"/>
  <c r="Q10" i="17"/>
  <c r="J3" i="17"/>
  <c r="H23" i="8"/>
  <c r="C18" i="8"/>
  <c r="P9" i="8"/>
  <c r="P8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22" i="17" l="1"/>
  <c r="N10" i="17"/>
  <c r="P5" i="17"/>
  <c r="G6" i="8"/>
  <c r="G12" i="8" s="1"/>
  <c r="O6" i="8"/>
  <c r="J23" i="8"/>
  <c r="H28" i="8"/>
  <c r="I6" i="8"/>
  <c r="I12" i="8" s="1"/>
  <c r="L18" i="8"/>
  <c r="M30" i="16"/>
  <c r="B6" i="8"/>
  <c r="J6" i="8"/>
  <c r="J12" i="8" s="1"/>
  <c r="P5" i="8"/>
  <c r="C19" i="1" s="1"/>
  <c r="E18" i="8"/>
  <c r="M31" i="8"/>
  <c r="B23" i="8"/>
  <c r="K23" i="8"/>
  <c r="I28" i="8"/>
  <c r="L32" i="8"/>
  <c r="H10" i="17"/>
  <c r="C6" i="8"/>
  <c r="C12" i="8" s="1"/>
  <c r="K6" i="8"/>
  <c r="K12" i="8" s="1"/>
  <c r="F18" i="8"/>
  <c r="C23" i="8"/>
  <c r="O23" i="8"/>
  <c r="M32" i="8"/>
  <c r="P9" i="17"/>
  <c r="M18" i="17"/>
  <c r="M9" i="17"/>
  <c r="J18" i="8"/>
  <c r="F28" i="8"/>
  <c r="E6" i="17"/>
  <c r="E12" i="17"/>
  <c r="E14" i="17"/>
  <c r="E16" i="17"/>
  <c r="E22" i="17"/>
  <c r="E27" i="17"/>
  <c r="F9" i="17"/>
  <c r="G25" i="17"/>
  <c r="N13" i="17"/>
  <c r="C9" i="17"/>
  <c r="H6" i="8"/>
  <c r="H12" i="8" s="1"/>
  <c r="C18" i="17"/>
  <c r="H22" i="17"/>
  <c r="D6" i="8"/>
  <c r="D12" i="8" s="1"/>
  <c r="G18" i="8"/>
  <c r="O18" i="8"/>
  <c r="E23" i="8"/>
  <c r="M23" i="8"/>
  <c r="K28" i="8"/>
  <c r="N28" i="8"/>
  <c r="F18" i="17"/>
  <c r="E6" i="8"/>
  <c r="E12" i="8" s="1"/>
  <c r="M6" i="8"/>
  <c r="M12" i="8" s="1"/>
  <c r="H18" i="8"/>
  <c r="P17" i="8"/>
  <c r="D6" i="5" s="1"/>
  <c r="F23" i="8"/>
  <c r="N23" i="8"/>
  <c r="I32" i="8"/>
  <c r="C31" i="8"/>
  <c r="L31" i="8"/>
  <c r="G32" i="8"/>
  <c r="O28" i="8"/>
  <c r="L5" i="17"/>
  <c r="D5" i="17"/>
  <c r="D9" i="17"/>
  <c r="D18" i="17"/>
  <c r="E18" i="17" s="1"/>
  <c r="D25" i="17"/>
  <c r="M6" i="16"/>
  <c r="G9" i="17"/>
  <c r="G18" i="17"/>
  <c r="Q19" i="17"/>
  <c r="I23" i="8"/>
  <c r="B32" i="8"/>
  <c r="L6" i="8"/>
  <c r="L12" i="8" s="1"/>
  <c r="H32" i="8"/>
  <c r="B31" i="8"/>
  <c r="N6" i="17"/>
  <c r="E7" i="17"/>
  <c r="E13" i="17"/>
  <c r="E15" i="17"/>
  <c r="E21" i="17"/>
  <c r="E26" i="17"/>
  <c r="N29" i="17"/>
  <c r="N7" i="17"/>
  <c r="N15" i="17"/>
  <c r="N21" i="17"/>
  <c r="M18" i="8"/>
  <c r="F6" i="8"/>
  <c r="F12" i="8" s="1"/>
  <c r="N6" i="8"/>
  <c r="N12" i="8" s="1"/>
  <c r="I18" i="8"/>
  <c r="G23" i="8"/>
  <c r="E31" i="8"/>
  <c r="M28" i="8"/>
  <c r="O5" i="17"/>
  <c r="Q5" i="17" s="1"/>
  <c r="G28" i="8"/>
  <c r="O32" i="8"/>
  <c r="P16" i="8"/>
  <c r="K18" i="8"/>
  <c r="N18" i="8"/>
  <c r="P22" i="8"/>
  <c r="L23" i="8"/>
  <c r="J32" i="8"/>
  <c r="M11" i="16"/>
  <c r="M37" i="16"/>
  <c r="J31" i="8"/>
  <c r="E32" i="8"/>
  <c r="K32" i="8"/>
  <c r="M5" i="17"/>
  <c r="P18" i="17"/>
  <c r="P33" i="17" s="1"/>
  <c r="Q13" i="17"/>
  <c r="N11" i="17"/>
  <c r="N19" i="17"/>
  <c r="N25" i="17"/>
  <c r="E19" i="17"/>
  <c r="H13" i="17"/>
  <c r="N20" i="17"/>
  <c r="N26" i="17"/>
  <c r="Q29" i="17"/>
  <c r="C5" i="17"/>
  <c r="Q7" i="17"/>
  <c r="E11" i="17"/>
  <c r="Q12" i="17"/>
  <c r="Q16" i="17"/>
  <c r="E20" i="17"/>
  <c r="Q21" i="17"/>
  <c r="C25" i="17"/>
  <c r="H29" i="17"/>
  <c r="H7" i="17"/>
  <c r="L9" i="17"/>
  <c r="H12" i="17"/>
  <c r="H16" i="17"/>
  <c r="L18" i="17"/>
  <c r="H21" i="17"/>
  <c r="H27" i="17"/>
  <c r="Q6" i="17"/>
  <c r="E10" i="17"/>
  <c r="Q11" i="17"/>
  <c r="Q15" i="17"/>
  <c r="Q20" i="17"/>
  <c r="O25" i="17"/>
  <c r="Q26" i="17"/>
  <c r="F5" i="17"/>
  <c r="H6" i="17"/>
  <c r="H11" i="17"/>
  <c r="H15" i="17"/>
  <c r="H20" i="17"/>
  <c r="F25" i="17"/>
  <c r="H26" i="17"/>
  <c r="O9" i="17"/>
  <c r="O18" i="17"/>
  <c r="C32" i="8"/>
  <c r="B28" i="8"/>
  <c r="J28" i="8"/>
  <c r="N32" i="8"/>
  <c r="F32" i="8"/>
  <c r="C28" i="8"/>
  <c r="O10" i="8"/>
  <c r="P10" i="8" s="1"/>
  <c r="P21" i="8"/>
  <c r="E28" i="8"/>
  <c r="K31" i="8"/>
  <c r="L28" i="8"/>
  <c r="P4" i="8"/>
  <c r="B19" i="1" s="1"/>
  <c r="P27" i="8"/>
  <c r="D16" i="5" s="1"/>
  <c r="B12" i="8"/>
  <c r="P26" i="8"/>
  <c r="D15" i="5" s="1"/>
  <c r="F31" i="8"/>
  <c r="N31" i="8"/>
  <c r="G31" i="8"/>
  <c r="O31" i="8"/>
  <c r="H31" i="8"/>
  <c r="B18" i="8"/>
  <c r="I31" i="8"/>
  <c r="M18" i="16"/>
  <c r="M23" i="16"/>
  <c r="N18" i="17" l="1"/>
  <c r="H9" i="17"/>
  <c r="O33" i="8"/>
  <c r="F33" i="8"/>
  <c r="H33" i="8"/>
  <c r="N9" i="17"/>
  <c r="K33" i="8"/>
  <c r="I33" i="8"/>
  <c r="N33" i="8"/>
  <c r="C33" i="8"/>
  <c r="L33" i="8"/>
  <c r="J33" i="8"/>
  <c r="E33" i="8"/>
  <c r="D33" i="17"/>
  <c r="P6" i="8"/>
  <c r="G33" i="8"/>
  <c r="P23" i="8"/>
  <c r="E9" i="17"/>
  <c r="G33" i="17"/>
  <c r="H18" i="17"/>
  <c r="E5" i="17"/>
  <c r="P32" i="8"/>
  <c r="N5" i="17"/>
  <c r="D10" i="5"/>
  <c r="M33" i="8"/>
  <c r="P18" i="8"/>
  <c r="D11" i="5"/>
  <c r="D5" i="5"/>
  <c r="M33" i="17"/>
  <c r="O33" i="17"/>
  <c r="R22" i="17" s="1"/>
  <c r="Q18" i="17"/>
  <c r="H25" i="17"/>
  <c r="E25" i="17"/>
  <c r="C33" i="17"/>
  <c r="L33" i="17"/>
  <c r="Q9" i="17"/>
  <c r="F33" i="17"/>
  <c r="I25" i="17" s="1"/>
  <c r="H5" i="17"/>
  <c r="Q25" i="17"/>
  <c r="O12" i="8"/>
  <c r="P12" i="8" s="1"/>
  <c r="P28" i="8"/>
  <c r="P31" i="8"/>
  <c r="B33" i="8"/>
  <c r="Q52" i="9"/>
  <c r="E52" i="9"/>
  <c r="N52" i="9"/>
  <c r="H52" i="9"/>
  <c r="E33" i="17" l="1"/>
  <c r="R9" i="17"/>
  <c r="R11" i="17"/>
  <c r="R20" i="17"/>
  <c r="P33" i="8"/>
  <c r="Q33" i="17"/>
  <c r="N33" i="17"/>
  <c r="R21" i="17"/>
  <c r="R26" i="17"/>
  <c r="R16" i="17"/>
  <c r="R10" i="17"/>
  <c r="R25" i="17"/>
  <c r="R15" i="17"/>
  <c r="R14" i="17"/>
  <c r="R6" i="17"/>
  <c r="R5" i="17"/>
  <c r="R19" i="17"/>
  <c r="R18" i="17"/>
  <c r="R12" i="17"/>
  <c r="R13" i="17"/>
  <c r="R7" i="17"/>
  <c r="R29" i="17"/>
  <c r="I5" i="17"/>
  <c r="I14" i="17"/>
  <c r="I19" i="17"/>
  <c r="H33" i="17"/>
  <c r="I10" i="17"/>
  <c r="I15" i="17"/>
  <c r="I22" i="17"/>
  <c r="I7" i="17"/>
  <c r="I18" i="17"/>
  <c r="I16" i="17"/>
  <c r="I26" i="17"/>
  <c r="I11" i="17"/>
  <c r="I6" i="17"/>
  <c r="I20" i="17"/>
  <c r="I12" i="17"/>
  <c r="I13" i="17"/>
  <c r="I27" i="17"/>
  <c r="I21" i="17"/>
  <c r="I9" i="17"/>
  <c r="I29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58" i="9" l="1"/>
  <c r="E65" i="9" l="1"/>
  <c r="Q65" i="9"/>
  <c r="N65" i="9"/>
  <c r="E48" i="9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C68" i="9" s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N9" i="9"/>
  <c r="L35" i="9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H59" i="9"/>
  <c r="H61" i="9"/>
  <c r="H63" i="9"/>
  <c r="P70" i="9" l="1"/>
  <c r="P68" i="9" s="1"/>
  <c r="L70" i="9"/>
  <c r="L68" i="9" s="1"/>
  <c r="G70" i="9"/>
  <c r="G68" i="9" s="1"/>
  <c r="D70" i="9"/>
  <c r="D68" i="9" s="1"/>
  <c r="F70" i="9"/>
  <c r="F68" i="9" s="1"/>
  <c r="O70" i="9"/>
  <c r="O68" i="9" s="1"/>
  <c r="N35" i="9"/>
  <c r="Q35" i="9"/>
  <c r="E20" i="9"/>
  <c r="E69" i="9"/>
  <c r="N69" i="9"/>
  <c r="H58" i="9"/>
  <c r="H35" i="9"/>
  <c r="H6" i="9"/>
  <c r="Q69" i="9"/>
  <c r="N58" i="9"/>
  <c r="E15" i="9"/>
  <c r="H69" i="9"/>
  <c r="E58" i="9"/>
  <c r="R33" i="9" l="1"/>
  <c r="I52" i="9"/>
  <c r="I33" i="9"/>
  <c r="R4" i="9"/>
  <c r="R52" i="9"/>
  <c r="I4" i="9"/>
  <c r="R48" i="9"/>
  <c r="R16" i="9"/>
  <c r="I48" i="9"/>
  <c r="I6" i="9"/>
  <c r="I65" i="9"/>
  <c r="R61" i="9"/>
  <c r="R65" i="9"/>
  <c r="R59" i="9"/>
  <c r="R39" i="9"/>
  <c r="R24" i="9"/>
  <c r="R50" i="9"/>
  <c r="R35" i="9"/>
  <c r="R69" i="9"/>
  <c r="R25" i="9"/>
  <c r="R37" i="9"/>
  <c r="R26" i="9"/>
  <c r="R21" i="9"/>
  <c r="R4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Q70" i="9"/>
  <c r="R20" i="9"/>
  <c r="R31" i="9"/>
  <c r="R55" i="9"/>
  <c r="R17" i="9"/>
  <c r="R6" i="9"/>
  <c r="R41" i="9"/>
  <c r="R40" i="9"/>
  <c r="R23" i="9"/>
  <c r="R13" i="9"/>
  <c r="R42" i="9"/>
  <c r="R70" i="9"/>
  <c r="I69" i="9"/>
  <c r="I35" i="9"/>
  <c r="I58" i="9"/>
  <c r="H70" i="9"/>
  <c r="I70" i="9" s="1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E70" i="9"/>
  <c r="N70" i="9"/>
  <c r="R68" i="9" l="1"/>
  <c r="Q68" i="9"/>
  <c r="N68" i="9"/>
  <c r="E68" i="9"/>
  <c r="H68" i="9"/>
  <c r="I68" i="9"/>
  <c r="J2" i="9" l="1"/>
  <c r="S2" i="9" s="1"/>
  <c r="J45" i="15" l="1"/>
  <c r="J44" i="15"/>
  <c r="J36" i="15"/>
  <c r="J37" i="15" l="1"/>
  <c r="F11" i="16"/>
  <c r="F37" i="16"/>
  <c r="J12" i="15"/>
  <c r="J20" i="15"/>
  <c r="J32" i="15"/>
  <c r="F30" i="16"/>
  <c r="J7" i="15"/>
  <c r="J27" i="15"/>
  <c r="F23" i="16"/>
  <c r="J17" i="15"/>
  <c r="J41" i="15"/>
  <c r="F6" i="16"/>
  <c r="F18" i="16"/>
  <c r="J40" i="15"/>
  <c r="J21" i="15" l="1"/>
  <c r="J42" i="15"/>
  <c r="F36" i="15"/>
  <c r="F17" i="15" l="1"/>
  <c r="C18" i="3"/>
  <c r="F27" i="15"/>
  <c r="J7" i="4"/>
  <c r="C30" i="3"/>
  <c r="F22" i="3"/>
  <c r="I17" i="4"/>
  <c r="I37" i="4"/>
  <c r="J40" i="4"/>
  <c r="F44" i="3"/>
  <c r="C44" i="3"/>
  <c r="F7" i="15"/>
  <c r="J20" i="4"/>
  <c r="F12" i="15"/>
  <c r="F20" i="15"/>
  <c r="F32" i="15"/>
  <c r="C22" i="3"/>
  <c r="C7" i="3"/>
  <c r="C40" i="3"/>
  <c r="F7" i="3"/>
  <c r="F18" i="3"/>
  <c r="F30" i="3"/>
  <c r="J17" i="4"/>
  <c r="J27" i="4"/>
  <c r="J41" i="4"/>
  <c r="F41" i="15"/>
  <c r="F12" i="3"/>
  <c r="F35" i="3"/>
  <c r="I20" i="4"/>
  <c r="J37" i="4"/>
  <c r="J12" i="4"/>
  <c r="C12" i="3"/>
  <c r="C35" i="3"/>
  <c r="I7" i="4"/>
  <c r="I27" i="4"/>
  <c r="F40" i="15"/>
  <c r="F37" i="15"/>
  <c r="J32" i="4"/>
  <c r="I12" i="4"/>
  <c r="I32" i="4"/>
  <c r="I41" i="4"/>
  <c r="I40" i="4"/>
  <c r="F40" i="3"/>
  <c r="F43" i="3"/>
  <c r="C43" i="3"/>
  <c r="F21" i="15" l="1"/>
  <c r="F23" i="3"/>
  <c r="C23" i="3"/>
  <c r="C45" i="3"/>
  <c r="J21" i="4"/>
  <c r="I42" i="4"/>
  <c r="F45" i="3"/>
  <c r="I21" i="4"/>
  <c r="F42" i="15"/>
  <c r="J42" i="4"/>
  <c r="K10" i="15" l="1"/>
  <c r="K18" i="15"/>
  <c r="P4" i="16"/>
  <c r="K5" i="15"/>
  <c r="K15" i="15"/>
  <c r="K6" i="15"/>
  <c r="K16" i="15"/>
  <c r="K11" i="15"/>
  <c r="K19" i="15"/>
  <c r="F41" i="4" l="1"/>
  <c r="F20" i="4"/>
  <c r="F17" i="4"/>
  <c r="F40" i="4"/>
  <c r="F7" i="4"/>
  <c r="F27" i="4"/>
  <c r="F12" i="4"/>
  <c r="F32" i="4"/>
  <c r="F37" i="4"/>
  <c r="F21" i="4" l="1"/>
  <c r="F42" i="4"/>
  <c r="I36" i="15"/>
  <c r="H36" i="15"/>
  <c r="G36" i="15"/>
  <c r="C36" i="15"/>
  <c r="B36" i="15"/>
  <c r="I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I32" i="15"/>
  <c r="D17" i="4"/>
  <c r="G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5" i="7"/>
  <c r="P25" i="7" s="1"/>
  <c r="D25" i="7"/>
  <c r="F25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K45" i="15"/>
  <c r="K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H18" i="3"/>
  <c r="I20" i="15"/>
  <c r="H17" i="4"/>
  <c r="I37" i="15"/>
  <c r="E40" i="2"/>
  <c r="B40" i="2"/>
  <c r="H40" i="15"/>
  <c r="O18" i="16"/>
  <c r="B27" i="15"/>
  <c r="B30" i="16"/>
  <c r="E30" i="16"/>
  <c r="N30" i="16"/>
  <c r="J18" i="16"/>
  <c r="E6" i="2"/>
  <c r="G12" i="15"/>
  <c r="J22" i="3"/>
  <c r="J23" i="3" s="1"/>
  <c r="B17" i="15"/>
  <c r="F12" i="7"/>
  <c r="B12" i="7"/>
  <c r="D20" i="1"/>
  <c r="G41" i="15"/>
  <c r="B41" i="15"/>
  <c r="D41" i="4"/>
  <c r="K40" i="4"/>
  <c r="H18" i="16"/>
  <c r="E43" i="2"/>
  <c r="B43" i="2"/>
  <c r="H32" i="15"/>
  <c r="C32" i="15"/>
  <c r="H44" i="3"/>
  <c r="B23" i="16"/>
  <c r="G11" i="16"/>
  <c r="E6" i="16"/>
  <c r="B6" i="16"/>
  <c r="J11" i="16"/>
  <c r="H6" i="16"/>
  <c r="I12" i="15"/>
  <c r="H12" i="4"/>
  <c r="H12" i="3"/>
  <c r="C21" i="2"/>
  <c r="C23" i="2" s="1"/>
  <c r="H20" i="4"/>
  <c r="I17" i="15"/>
  <c r="D32" i="4"/>
  <c r="J35" i="3"/>
  <c r="G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H41" i="15"/>
  <c r="K36" i="15"/>
  <c r="L36" i="4" s="1"/>
  <c r="M36" i="4" s="1"/>
  <c r="C16" i="5" s="1"/>
  <c r="B37" i="4"/>
  <c r="D40" i="4"/>
  <c r="I40" i="3"/>
  <c r="B40" i="3"/>
  <c r="D40" i="2"/>
  <c r="G44" i="3"/>
  <c r="I7" i="15"/>
  <c r="D12" i="4"/>
  <c r="H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K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H7" i="15"/>
  <c r="E7" i="4"/>
  <c r="K16" i="3"/>
  <c r="J15" i="2" s="1"/>
  <c r="K15" i="2" s="1"/>
  <c r="I40" i="15"/>
  <c r="C44" i="2"/>
  <c r="G23" i="16"/>
  <c r="J4" i="2"/>
  <c r="C7" i="15"/>
  <c r="L5" i="4"/>
  <c r="M5" i="4" s="1"/>
  <c r="L16" i="4"/>
  <c r="M16" i="4" s="1"/>
  <c r="G20" i="15"/>
  <c r="G21" i="15" s="1"/>
  <c r="J30" i="3"/>
  <c r="J43" i="3"/>
  <c r="K34" i="3"/>
  <c r="J34" i="2" s="1"/>
  <c r="K34" i="2" s="1"/>
  <c r="K29" i="3"/>
  <c r="J29" i="2" s="1"/>
  <c r="G12" i="3"/>
  <c r="H35" i="3"/>
  <c r="K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H37" i="15"/>
  <c r="L18" i="4"/>
  <c r="M18" i="4" s="1"/>
  <c r="P10" i="16"/>
  <c r="B11" i="16"/>
  <c r="K51" i="2"/>
  <c r="K21" i="3"/>
  <c r="J20" i="2" s="1"/>
  <c r="K20" i="2" s="1"/>
  <c r="H22" i="3"/>
  <c r="H41" i="4"/>
  <c r="C37" i="15"/>
  <c r="H30" i="3"/>
  <c r="K46" i="15"/>
  <c r="L44" i="4" s="1"/>
  <c r="M44" i="4" s="1"/>
  <c r="N37" i="16"/>
  <c r="E11" i="16"/>
  <c r="K47" i="15"/>
  <c r="L45" i="4" s="1"/>
  <c r="M45" i="4" s="1"/>
  <c r="G22" i="3"/>
  <c r="G23" i="3" s="1"/>
  <c r="B21" i="2"/>
  <c r="E37" i="4"/>
  <c r="K30" i="15"/>
  <c r="L30" i="4" s="1"/>
  <c r="M30" i="4" s="1"/>
  <c r="C10" i="5" s="1"/>
  <c r="I27" i="15"/>
  <c r="H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G7" i="15"/>
  <c r="H7" i="4"/>
  <c r="D7" i="7"/>
  <c r="J12" i="3"/>
  <c r="D17" i="2"/>
  <c r="D23" i="2" s="1"/>
  <c r="C17" i="15"/>
  <c r="E17" i="4"/>
  <c r="D12" i="7"/>
  <c r="E12" i="7"/>
  <c r="I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K17" i="3"/>
  <c r="J16" i="2" s="1"/>
  <c r="C41" i="4"/>
  <c r="C40" i="15"/>
  <c r="K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4" i="7" s="1"/>
  <c r="B12" i="15"/>
  <c r="L10" i="4"/>
  <c r="M10" i="4" s="1"/>
  <c r="G40" i="15"/>
  <c r="K35" i="15"/>
  <c r="L35" i="4" s="1"/>
  <c r="G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24" i="7" l="1"/>
  <c r="B21" i="4"/>
  <c r="F20" i="1"/>
  <c r="K7" i="3"/>
  <c r="F21" i="1"/>
  <c r="K12" i="3"/>
  <c r="J6" i="2"/>
  <c r="B5" i="5"/>
  <c r="B11" i="5"/>
  <c r="K4" i="2"/>
  <c r="B5" i="1" s="1"/>
  <c r="K5" i="2"/>
  <c r="C5" i="1" s="1"/>
  <c r="K20" i="15"/>
  <c r="K7" i="15"/>
  <c r="B21" i="15"/>
  <c r="K17" i="15"/>
  <c r="K12" i="15"/>
  <c r="C6" i="1"/>
  <c r="B6" i="1"/>
  <c r="H21" i="4"/>
  <c r="H21" i="15"/>
  <c r="B23" i="3"/>
  <c r="B42" i="15"/>
  <c r="K42" i="4"/>
  <c r="L7" i="4"/>
  <c r="M7" i="4" s="1"/>
  <c r="K21" i="4"/>
  <c r="J45" i="3"/>
  <c r="C21" i="4"/>
  <c r="B23" i="2"/>
  <c r="B33" i="1"/>
  <c r="I45" i="3"/>
  <c r="H45" i="3"/>
  <c r="D45" i="2"/>
  <c r="H23" i="3"/>
  <c r="H42" i="15"/>
  <c r="I21" i="15"/>
  <c r="B42" i="4"/>
  <c r="D7" i="1"/>
  <c r="J17" i="2"/>
  <c r="K17" i="2" s="1"/>
  <c r="K44" i="3"/>
  <c r="E45" i="2"/>
  <c r="E21" i="4"/>
  <c r="D17" i="5"/>
  <c r="G45" i="3"/>
  <c r="G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K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I42" i="15"/>
  <c r="K22" i="3"/>
  <c r="E23" i="2"/>
  <c r="K27" i="15"/>
  <c r="B16" i="1"/>
  <c r="C17" i="1"/>
  <c r="P37" i="16"/>
  <c r="L41" i="4"/>
  <c r="M41" i="4" s="1"/>
  <c r="P18" i="16"/>
  <c r="D19" i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K37" i="15"/>
  <c r="K18" i="3"/>
  <c r="L17" i="4"/>
  <c r="M17" i="4" s="1"/>
  <c r="E42" i="4"/>
  <c r="C42" i="15"/>
  <c r="K40" i="15"/>
  <c r="K41" i="15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K43" i="3"/>
  <c r="D24" i="7" l="1"/>
  <c r="F24" i="7" s="1"/>
  <c r="F18" i="1"/>
  <c r="B6" i="5"/>
  <c r="B7" i="5" s="1"/>
  <c r="B28" i="1"/>
  <c r="B10" i="5"/>
  <c r="B12" i="5" s="1"/>
  <c r="C27" i="1"/>
  <c r="B27" i="1"/>
  <c r="K6" i="2"/>
  <c r="D5" i="1" s="1"/>
  <c r="B8" i="1"/>
  <c r="K21" i="15"/>
  <c r="D6" i="1"/>
  <c r="C8" i="1"/>
  <c r="C33" i="1" s="1"/>
  <c r="B10" i="1"/>
  <c r="F19" i="1"/>
  <c r="J45" i="2"/>
  <c r="K45" i="2" s="1"/>
  <c r="K45" i="3"/>
  <c r="F7" i="1"/>
  <c r="J23" i="2"/>
  <c r="K23" i="2" s="1"/>
  <c r="L42" i="4"/>
  <c r="M42" i="4" s="1"/>
  <c r="K42" i="15"/>
  <c r="K23" i="3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B20" i="5" l="1"/>
  <c r="E20" i="5" s="1"/>
  <c r="D10" i="1"/>
  <c r="E6" i="5"/>
  <c r="F6" i="5" s="1"/>
  <c r="E10" i="5"/>
  <c r="F10" i="5" s="1"/>
  <c r="B21" i="5"/>
  <c r="F5" i="1"/>
  <c r="D8" i="1"/>
  <c r="F8" i="1" s="1"/>
  <c r="F6" i="1"/>
  <c r="C11" i="1"/>
  <c r="M24" i="7" s="1"/>
  <c r="B32" i="1"/>
  <c r="B11" i="1"/>
  <c r="L24" i="7" s="1"/>
  <c r="D28" i="1"/>
  <c r="B22" i="1"/>
  <c r="B29" i="1"/>
  <c r="C12" i="5"/>
  <c r="C21" i="5"/>
  <c r="E11" i="5"/>
  <c r="F11" i="5" s="1"/>
  <c r="C29" i="1"/>
  <c r="F5" i="5"/>
  <c r="F16" i="1"/>
  <c r="D22" i="1"/>
  <c r="F22" i="1" s="1"/>
  <c r="D22" i="5"/>
  <c r="F15" i="5"/>
  <c r="E17" i="5"/>
  <c r="D27" i="1" s="1"/>
  <c r="F17" i="1"/>
  <c r="H24" i="7" l="1"/>
  <c r="N24" i="7"/>
  <c r="P24" i="7" s="1"/>
  <c r="G24" i="7"/>
  <c r="B22" i="5"/>
  <c r="C32" i="1"/>
  <c r="H6" i="5"/>
  <c r="F28" i="1"/>
  <c r="F10" i="1"/>
  <c r="E7" i="5"/>
  <c r="E21" i="5"/>
  <c r="F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I24" i="7" l="1"/>
  <c r="K24" i="7" s="1"/>
  <c r="H21" i="5"/>
  <c r="E22" i="5"/>
  <c r="F22" i="5"/>
  <c r="H22" i="5" s="1"/>
  <c r="H20" i="5"/>
  <c r="B23" i="7" l="1"/>
  <c r="C23" i="7" l="1"/>
  <c r="D23" i="7" s="1"/>
  <c r="F23" i="7" s="1"/>
  <c r="L23" i="7" l="1"/>
  <c r="G23" i="7" s="1"/>
  <c r="M23" i="7"/>
  <c r="H23" i="7" s="1"/>
  <c r="I23" i="7" l="1"/>
  <c r="K23" i="7" s="1"/>
  <c r="N23" i="7"/>
  <c r="P23" i="7" s="1"/>
  <c r="B22" i="7" l="1"/>
  <c r="C22" i="7" l="1"/>
  <c r="D22" i="7"/>
  <c r="F22" i="7" s="1"/>
  <c r="L22" i="7" l="1"/>
  <c r="M22" i="7"/>
  <c r="H22" i="7" s="1"/>
  <c r="N22" i="7"/>
  <c r="P22" i="7" s="1"/>
  <c r="G22" i="7"/>
  <c r="I22" i="7" s="1"/>
  <c r="K22" i="7" s="1"/>
  <c r="C21" i="7" l="1"/>
  <c r="C33" i="7" s="1"/>
  <c r="B21" i="7"/>
  <c r="B33" i="7" s="1"/>
  <c r="D33" i="1"/>
  <c r="I16" i="5"/>
  <c r="D21" i="7" l="1"/>
  <c r="F21" i="7" s="1"/>
  <c r="G21" i="1"/>
  <c r="G5" i="1"/>
  <c r="G16" i="1"/>
  <c r="D33" i="7" l="1"/>
  <c r="F33" i="7" s="1"/>
  <c r="M21" i="7"/>
  <c r="I21" i="1"/>
  <c r="I20" i="1"/>
  <c r="L21" i="7"/>
  <c r="G21" i="7" s="1"/>
  <c r="H21" i="7"/>
  <c r="H33" i="7" s="1"/>
  <c r="M33" i="7"/>
  <c r="N21" i="7"/>
  <c r="I5" i="1"/>
  <c r="G18" i="1"/>
  <c r="G7" i="1"/>
  <c r="I16" i="1"/>
  <c r="D32" i="1"/>
  <c r="G27" i="1"/>
  <c r="I5" i="5"/>
  <c r="I15" i="5"/>
  <c r="I10" i="5"/>
  <c r="L33" i="7" l="1"/>
  <c r="I18" i="1"/>
  <c r="I7" i="1"/>
  <c r="K10" i="5"/>
  <c r="G19" i="1"/>
  <c r="G17" i="1"/>
  <c r="I27" i="1"/>
  <c r="I21" i="7"/>
  <c r="G33" i="7"/>
  <c r="K15" i="5"/>
  <c r="I17" i="5"/>
  <c r="K17" i="5" s="1"/>
  <c r="P21" i="7"/>
  <c r="N33" i="7"/>
  <c r="P33" i="7" s="1"/>
  <c r="D34" i="1"/>
  <c r="E33" i="1" s="1"/>
  <c r="K5" i="5"/>
  <c r="G6" i="1"/>
  <c r="I20" i="5"/>
  <c r="I19" i="1" l="1"/>
  <c r="K20" i="5"/>
  <c r="I17" i="1"/>
  <c r="G22" i="1"/>
  <c r="I22" i="1" s="1"/>
  <c r="I6" i="1"/>
  <c r="G8" i="1"/>
  <c r="I11" i="5"/>
  <c r="G28" i="1"/>
  <c r="K21" i="7"/>
  <c r="I33" i="7"/>
  <c r="K33" i="7" s="1"/>
  <c r="G10" i="1"/>
  <c r="E32" i="1"/>
  <c r="I6" i="5"/>
  <c r="I10" i="1" l="1"/>
  <c r="I21" i="5"/>
  <c r="I8" i="1"/>
  <c r="G11" i="1"/>
  <c r="I11" i="1" s="1"/>
  <c r="I28" i="1"/>
  <c r="G29" i="1"/>
  <c r="I29" i="1" s="1"/>
  <c r="K6" i="5"/>
  <c r="I7" i="5"/>
  <c r="K7" i="5" s="1"/>
  <c r="K11" i="5"/>
  <c r="I12" i="5"/>
  <c r="K12" i="5" s="1"/>
  <c r="K21" i="5" l="1"/>
  <c r="I22" i="5"/>
  <c r="K22" i="5" s="1"/>
</calcChain>
</file>

<file path=xl/sharedStrings.xml><?xml version="1.0" encoding="utf-8"?>
<sst xmlns="http://schemas.openxmlformats.org/spreadsheetml/2006/main" count="683" uniqueCount="243">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</sst>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0" fontId="4" fillId="10" borderId="53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 vertical="center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41" fontId="4" fillId="0" borderId="76" xfId="0" applyNumberFormat="1" applyFont="1" applyBorder="1"/>
    <xf numFmtId="1" fontId="0" fillId="0" borderId="0" xfId="0" applyNumberFormat="1"/>
    <xf numFmtId="10" fontId="4" fillId="10" borderId="53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0" fontId="13" fillId="0" borderId="24" xfId="0" applyNumberFormat="1" applyFont="1" applyBorder="1"/>
    <xf numFmtId="0" fontId="4" fillId="0" borderId="21" xfId="0" applyFont="1" applyBorder="1" applyAlignment="1">
      <alignment horizontal="center" vertic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87707</v>
          </cell>
          <cell r="G5">
            <v>5895327</v>
          </cell>
        </row>
        <row r="6">
          <cell r="D6">
            <v>37837</v>
          </cell>
          <cell r="G6">
            <v>1543451</v>
          </cell>
        </row>
        <row r="7">
          <cell r="D7">
            <v>0</v>
          </cell>
          <cell r="G7">
            <v>893</v>
          </cell>
        </row>
        <row r="10">
          <cell r="D10">
            <v>25939</v>
          </cell>
          <cell r="G10">
            <v>275979</v>
          </cell>
        </row>
        <row r="16">
          <cell r="D16">
            <v>4479</v>
          </cell>
          <cell r="G16">
            <v>53944</v>
          </cell>
        </row>
        <row r="17">
          <cell r="D17">
            <v>4398</v>
          </cell>
          <cell r="G17">
            <v>38880</v>
          </cell>
        </row>
        <row r="18">
          <cell r="D18">
            <v>0</v>
          </cell>
          <cell r="G18">
            <v>8</v>
          </cell>
        </row>
        <row r="19">
          <cell r="D19">
            <v>1193</v>
          </cell>
          <cell r="G19">
            <v>4614</v>
          </cell>
        </row>
        <row r="20">
          <cell r="D20">
            <v>455</v>
          </cell>
          <cell r="G20">
            <v>3557</v>
          </cell>
        </row>
        <row r="21">
          <cell r="D21">
            <v>79</v>
          </cell>
          <cell r="G21">
            <v>245</v>
          </cell>
        </row>
        <row r="27">
          <cell r="D27">
            <v>14713.923225915758</v>
          </cell>
          <cell r="G27">
            <v>62140.249602045995</v>
          </cell>
        </row>
        <row r="28">
          <cell r="D28">
            <v>824.52932396912001</v>
          </cell>
          <cell r="G28">
            <v>6059.15446372313</v>
          </cell>
        </row>
        <row r="32">
          <cell r="B32">
            <v>30941</v>
          </cell>
          <cell r="D32">
            <v>2434025</v>
          </cell>
        </row>
        <row r="33">
          <cell r="B33">
            <v>26873</v>
          </cell>
          <cell r="D33">
            <v>1241385</v>
          </cell>
        </row>
      </sheetData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>
        <row r="5">
          <cell r="F5">
            <v>8494.666531315579</v>
          </cell>
          <cell r="I5">
            <v>34022.34570971621</v>
          </cell>
        </row>
        <row r="6">
          <cell r="F6">
            <v>265.39689568699998</v>
          </cell>
          <cell r="I6">
            <v>2384.0792287581498</v>
          </cell>
        </row>
        <row r="10">
          <cell r="F10">
            <v>6219.2566946001798</v>
          </cell>
          <cell r="I10">
            <v>28117.903892329789</v>
          </cell>
        </row>
        <row r="11">
          <cell r="F11">
            <v>559.13242828212003</v>
          </cell>
          <cell r="I11">
            <v>3675.0752349649806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14713.92322591576</v>
          </cell>
        </row>
        <row r="21">
          <cell r="F21">
            <v>824.52932396912001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2919594</v>
          </cell>
        </row>
        <row r="6">
          <cell r="G6">
            <v>885842</v>
          </cell>
        </row>
        <row r="7">
          <cell r="G7">
            <v>388</v>
          </cell>
        </row>
        <row r="10">
          <cell r="G10">
            <v>148874</v>
          </cell>
        </row>
        <row r="16">
          <cell r="G16">
            <v>30422</v>
          </cell>
        </row>
        <row r="17">
          <cell r="G17">
            <v>26559</v>
          </cell>
        </row>
        <row r="18">
          <cell r="G18">
            <v>4</v>
          </cell>
        </row>
        <row r="19">
          <cell r="G19">
            <v>3781</v>
          </cell>
        </row>
        <row r="20">
          <cell r="G20">
            <v>2824</v>
          </cell>
        </row>
        <row r="21">
          <cell r="G21">
            <v>327</v>
          </cell>
        </row>
        <row r="27">
          <cell r="G27">
            <v>44322.077634338348</v>
          </cell>
        </row>
        <row r="28">
          <cell r="G28">
            <v>4866.1661609021994</v>
          </cell>
        </row>
        <row r="32">
          <cell r="D32">
            <v>1407434</v>
          </cell>
        </row>
        <row r="33">
          <cell r="D33">
            <v>525927</v>
          </cell>
        </row>
      </sheetData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>
        <row r="5">
          <cell r="I5">
            <v>23686.533233614791</v>
          </cell>
        </row>
        <row r="6">
          <cell r="I6">
            <v>2442.0147678087696</v>
          </cell>
        </row>
        <row r="10">
          <cell r="I10">
            <v>20635.54440072356</v>
          </cell>
        </row>
        <row r="11">
          <cell r="I11">
            <v>2424.1513930934298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44322.077634338348</v>
          </cell>
        </row>
        <row r="21">
          <cell r="I21">
            <v>4866.1661609022003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3"/>
      <sheetData sheetId="4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5"/>
      <sheetData sheetId="6"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7">
        <row r="4">
          <cell r="HG4">
            <v>56</v>
          </cell>
        </row>
        <row r="5">
          <cell r="HG5">
            <v>56</v>
          </cell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</row>
        <row r="22">
          <cell r="HG22">
            <v>7559</v>
          </cell>
        </row>
        <row r="23">
          <cell r="HG23">
            <v>7465</v>
          </cell>
        </row>
        <row r="27">
          <cell r="HG27">
            <v>182</v>
          </cell>
        </row>
        <row r="28">
          <cell r="HG28">
            <v>189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</row>
        <row r="47">
          <cell r="HG47">
            <v>31412</v>
          </cell>
        </row>
        <row r="48">
          <cell r="HG48">
            <v>6075</v>
          </cell>
        </row>
        <row r="52">
          <cell r="HG52">
            <v>7825</v>
          </cell>
        </row>
        <row r="53">
          <cell r="HG53">
            <v>1442</v>
          </cell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</row>
      </sheetData>
      <sheetData sheetId="8"/>
      <sheetData sheetId="9">
        <row r="4">
          <cell r="HG4">
            <v>366</v>
          </cell>
        </row>
        <row r="5">
          <cell r="HG5">
            <v>365</v>
          </cell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</row>
        <row r="22">
          <cell r="HG22">
            <v>46028</v>
          </cell>
        </row>
        <row r="23">
          <cell r="HG23">
            <v>40019</v>
          </cell>
        </row>
        <row r="27">
          <cell r="HG27">
            <v>1156</v>
          </cell>
        </row>
        <row r="28">
          <cell r="HG28">
            <v>1368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</row>
        <row r="47">
          <cell r="HG47">
            <v>34845</v>
          </cell>
        </row>
        <row r="48">
          <cell r="HG48">
            <v>58973</v>
          </cell>
        </row>
        <row r="52">
          <cell r="HG52">
            <v>8363</v>
          </cell>
        </row>
        <row r="53">
          <cell r="HG53">
            <v>115160</v>
          </cell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</row>
      </sheetData>
      <sheetData sheetId="10"/>
      <sheetData sheetId="11">
        <row r="4">
          <cell r="HG4">
            <v>640</v>
          </cell>
        </row>
        <row r="5">
          <cell r="HG5">
            <v>638</v>
          </cell>
        </row>
        <row r="8">
          <cell r="HG8">
            <v>82</v>
          </cell>
        </row>
        <row r="9">
          <cell r="HG9">
            <v>88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</row>
        <row r="22">
          <cell r="HG22">
            <v>100815</v>
          </cell>
        </row>
        <row r="23">
          <cell r="HG23">
            <v>85776</v>
          </cell>
        </row>
        <row r="27">
          <cell r="HG27">
            <v>1802</v>
          </cell>
        </row>
        <row r="28">
          <cell r="HG28">
            <v>1617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</row>
        <row r="47">
          <cell r="HG47">
            <v>10447</v>
          </cell>
        </row>
        <row r="48">
          <cell r="HG48">
            <v>151258</v>
          </cell>
        </row>
        <row r="53">
          <cell r="HG53">
            <v>253284</v>
          </cell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</row>
        <row r="70">
          <cell r="HG70">
            <v>85776</v>
          </cell>
        </row>
        <row r="73">
          <cell r="HG73">
            <v>5583</v>
          </cell>
        </row>
      </sheetData>
      <sheetData sheetId="12">
        <row r="4">
          <cell r="HG4">
            <v>25</v>
          </cell>
        </row>
        <row r="5">
          <cell r="HG5">
            <v>24</v>
          </cell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</row>
        <row r="22">
          <cell r="HG22">
            <v>139</v>
          </cell>
        </row>
        <row r="23">
          <cell r="HG23">
            <v>96</v>
          </cell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13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14">
        <row r="4">
          <cell r="HG4">
            <v>3539</v>
          </cell>
        </row>
        <row r="5">
          <cell r="HG5">
            <v>3538</v>
          </cell>
        </row>
        <row r="8">
          <cell r="HG8">
            <v>3</v>
          </cell>
        </row>
        <row r="9">
          <cell r="HG9">
            <v>5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</row>
        <row r="22">
          <cell r="HG22">
            <v>372934</v>
          </cell>
        </row>
        <row r="23">
          <cell r="HG23">
            <v>345531</v>
          </cell>
        </row>
        <row r="27">
          <cell r="HG27">
            <v>14042</v>
          </cell>
        </row>
        <row r="28">
          <cell r="HG28">
            <v>13915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</row>
        <row r="47">
          <cell r="HG47">
            <v>1019504</v>
          </cell>
        </row>
        <row r="48">
          <cell r="HG48">
            <v>1016198</v>
          </cell>
        </row>
        <row r="52">
          <cell r="HG52">
            <v>615361</v>
          </cell>
        </row>
        <row r="53">
          <cell r="HG53">
            <v>987633</v>
          </cell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</row>
        <row r="70">
          <cell r="HG70">
            <v>242074</v>
          </cell>
        </row>
        <row r="71">
          <cell r="HG71">
            <v>103457</v>
          </cell>
        </row>
        <row r="73">
          <cell r="HG73">
            <v>9786</v>
          </cell>
        </row>
        <row r="74">
          <cell r="HG74">
            <v>4182</v>
          </cell>
        </row>
      </sheetData>
      <sheetData sheetId="15">
        <row r="4">
          <cell r="HG4">
            <v>52</v>
          </cell>
        </row>
        <row r="5">
          <cell r="HG5">
            <v>52</v>
          </cell>
        </row>
        <row r="8">
          <cell r="HG8">
            <v>5</v>
          </cell>
        </row>
        <row r="9">
          <cell r="HG9">
            <v>5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</row>
        <row r="22">
          <cell r="HG22">
            <v>307</v>
          </cell>
        </row>
        <row r="23">
          <cell r="HG23">
            <v>349</v>
          </cell>
        </row>
        <row r="27">
          <cell r="HG27">
            <v>17</v>
          </cell>
        </row>
        <row r="28">
          <cell r="HG28">
            <v>23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16">
        <row r="4">
          <cell r="HG4">
            <v>63</v>
          </cell>
        </row>
        <row r="5">
          <cell r="HG5">
            <v>63</v>
          </cell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</row>
        <row r="22">
          <cell r="HG22">
            <v>10448</v>
          </cell>
        </row>
        <row r="23">
          <cell r="HG23">
            <v>8277</v>
          </cell>
        </row>
        <row r="27">
          <cell r="HG27">
            <v>64</v>
          </cell>
        </row>
        <row r="28">
          <cell r="HG28">
            <v>69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17"/>
      <sheetData sheetId="18"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19">
        <row r="4">
          <cell r="HG4">
            <v>9</v>
          </cell>
        </row>
        <row r="5">
          <cell r="HG5">
            <v>9</v>
          </cell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</row>
        <row r="22">
          <cell r="HG22">
            <v>700</v>
          </cell>
        </row>
        <row r="23">
          <cell r="HG23">
            <v>579</v>
          </cell>
        </row>
        <row r="27">
          <cell r="HG27">
            <v>21</v>
          </cell>
        </row>
        <row r="28">
          <cell r="HG28">
            <v>11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20">
        <row r="4">
          <cell r="HG4">
            <v>173</v>
          </cell>
        </row>
        <row r="5">
          <cell r="HG5">
            <v>173</v>
          </cell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</row>
        <row r="22">
          <cell r="HG22">
            <v>24542</v>
          </cell>
        </row>
        <row r="23">
          <cell r="HG23">
            <v>21189</v>
          </cell>
        </row>
        <row r="27">
          <cell r="HG27">
            <v>893</v>
          </cell>
        </row>
        <row r="28">
          <cell r="HG28">
            <v>1052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</row>
        <row r="47">
          <cell r="HG47">
            <v>45446</v>
          </cell>
        </row>
        <row r="48">
          <cell r="HG48">
            <v>3946</v>
          </cell>
        </row>
        <row r="52">
          <cell r="HG52">
            <v>14936</v>
          </cell>
        </row>
        <row r="53">
          <cell r="HG53">
            <v>48505</v>
          </cell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</row>
      </sheetData>
      <sheetData sheetId="21"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22"/>
      <sheetData sheetId="23"/>
      <sheetData sheetId="24">
        <row r="4">
          <cell r="HG4">
            <v>362</v>
          </cell>
        </row>
        <row r="5">
          <cell r="HG5">
            <v>364</v>
          </cell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</row>
        <row r="22">
          <cell r="HG22">
            <v>48146</v>
          </cell>
        </row>
        <row r="23">
          <cell r="HG23">
            <v>40482</v>
          </cell>
        </row>
        <row r="27">
          <cell r="HG27">
            <v>915</v>
          </cell>
        </row>
        <row r="28">
          <cell r="HG28">
            <v>992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</row>
        <row r="47">
          <cell r="HG47">
            <v>237755</v>
          </cell>
        </row>
        <row r="52">
          <cell r="HG52">
            <v>43557</v>
          </cell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</row>
        <row r="70">
          <cell r="HG70">
            <v>40284</v>
          </cell>
        </row>
        <row r="71">
          <cell r="HG71">
            <v>198</v>
          </cell>
        </row>
      </sheetData>
      <sheetData sheetId="25">
        <row r="4">
          <cell r="HG4">
            <v>204</v>
          </cell>
        </row>
        <row r="5">
          <cell r="HG5">
            <v>206</v>
          </cell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</row>
        <row r="22">
          <cell r="HG22">
            <v>32066</v>
          </cell>
        </row>
        <row r="23">
          <cell r="HG23">
            <v>27298</v>
          </cell>
        </row>
        <row r="27">
          <cell r="HG27">
            <v>128</v>
          </cell>
        </row>
        <row r="28">
          <cell r="HG28">
            <v>117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26"/>
      <sheetData sheetId="27"/>
      <sheetData sheetId="28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29">
        <row r="4">
          <cell r="HG4">
            <v>24</v>
          </cell>
        </row>
        <row r="5">
          <cell r="HG5">
            <v>26</v>
          </cell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</row>
        <row r="22">
          <cell r="HG22">
            <v>1643</v>
          </cell>
        </row>
        <row r="23">
          <cell r="HG23">
            <v>1823</v>
          </cell>
        </row>
        <row r="27">
          <cell r="HG27">
            <v>89</v>
          </cell>
        </row>
        <row r="28">
          <cell r="HG28">
            <v>70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</row>
        <row r="47">
          <cell r="HG47">
            <v>276</v>
          </cell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</row>
      </sheetData>
      <sheetData sheetId="30"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31">
        <row r="4">
          <cell r="HG4">
            <v>26</v>
          </cell>
        </row>
        <row r="5">
          <cell r="HG5">
            <v>26</v>
          </cell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</row>
        <row r="32">
          <cell r="HG32">
            <v>1721</v>
          </cell>
        </row>
        <row r="33">
          <cell r="HG33">
            <v>1785</v>
          </cell>
        </row>
        <row r="37">
          <cell r="HG37">
            <v>40</v>
          </cell>
        </row>
        <row r="38">
          <cell r="HG38">
            <v>47</v>
          </cell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</row>
        <row r="47">
          <cell r="HG47">
            <v>2217</v>
          </cell>
        </row>
        <row r="48">
          <cell r="HG48">
            <v>559</v>
          </cell>
        </row>
        <row r="52">
          <cell r="HG52">
            <v>178</v>
          </cell>
        </row>
        <row r="53">
          <cell r="HG53">
            <v>2412</v>
          </cell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</row>
      </sheetData>
      <sheetData sheetId="32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37"/>
      <sheetData sheetId="38"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39"/>
      <sheetData sheetId="40"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41"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42">
        <row r="4">
          <cell r="HG4">
            <v>28</v>
          </cell>
        </row>
        <row r="5">
          <cell r="HG5">
            <v>28</v>
          </cell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</row>
        <row r="22">
          <cell r="HG22">
            <v>1626</v>
          </cell>
        </row>
        <row r="23">
          <cell r="HG23">
            <v>1711</v>
          </cell>
        </row>
        <row r="27">
          <cell r="HG27">
            <v>95</v>
          </cell>
        </row>
        <row r="28">
          <cell r="HG28">
            <v>66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43"/>
      <sheetData sheetId="44">
        <row r="4">
          <cell r="HG4">
            <v>31</v>
          </cell>
        </row>
        <row r="5">
          <cell r="HG5">
            <v>31</v>
          </cell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</row>
        <row r="22">
          <cell r="HG22">
            <v>1983</v>
          </cell>
        </row>
        <row r="23">
          <cell r="HG23">
            <v>1756</v>
          </cell>
        </row>
        <row r="27">
          <cell r="HG27">
            <v>65</v>
          </cell>
        </row>
        <row r="28">
          <cell r="HG28">
            <v>61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45"/>
      <sheetData sheetId="46"/>
      <sheetData sheetId="47">
        <row r="4">
          <cell r="HG4">
            <v>1599</v>
          </cell>
        </row>
        <row r="5">
          <cell r="HG5">
            <v>1600</v>
          </cell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</row>
        <row r="22">
          <cell r="HG22">
            <v>56784</v>
          </cell>
        </row>
        <row r="23">
          <cell r="HG23">
            <v>56548</v>
          </cell>
        </row>
        <row r="27">
          <cell r="HG27">
            <v>2323</v>
          </cell>
        </row>
        <row r="28">
          <cell r="HG28">
            <v>2140</v>
          </cell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  <row r="70">
          <cell r="HG70">
            <v>15811</v>
          </cell>
        </row>
        <row r="71">
          <cell r="HG71">
            <v>40737</v>
          </cell>
        </row>
      </sheetData>
      <sheetData sheetId="48">
        <row r="4">
          <cell r="HG4">
            <v>25</v>
          </cell>
        </row>
        <row r="5">
          <cell r="HG5">
            <v>25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</row>
        <row r="22">
          <cell r="HG22">
            <v>1350</v>
          </cell>
        </row>
        <row r="23">
          <cell r="HG23">
            <v>1080</v>
          </cell>
        </row>
        <row r="27">
          <cell r="HG27">
            <v>34</v>
          </cell>
        </row>
        <row r="28">
          <cell r="HG28">
            <v>45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49">
        <row r="4">
          <cell r="HG4">
            <v>32</v>
          </cell>
        </row>
        <row r="5">
          <cell r="HG5">
            <v>32</v>
          </cell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</row>
        <row r="22">
          <cell r="HG22">
            <v>1848</v>
          </cell>
        </row>
        <row r="23">
          <cell r="HG23">
            <v>1917</v>
          </cell>
        </row>
        <row r="27">
          <cell r="HG27">
            <v>75</v>
          </cell>
        </row>
        <row r="28">
          <cell r="HG28">
            <v>81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</row>
        <row r="47">
          <cell r="HG47">
            <v>324</v>
          </cell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</row>
      </sheetData>
      <sheetData sheetId="50">
        <row r="4">
          <cell r="HG4">
            <v>58</v>
          </cell>
        </row>
        <row r="5">
          <cell r="HG5">
            <v>58</v>
          </cell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</row>
        <row r="22">
          <cell r="HG22">
            <v>3609</v>
          </cell>
        </row>
        <row r="23">
          <cell r="HG23">
            <v>3476</v>
          </cell>
        </row>
        <row r="27">
          <cell r="HG27">
            <v>95</v>
          </cell>
        </row>
        <row r="28">
          <cell r="HG28">
            <v>134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51"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52">
        <row r="4">
          <cell r="HG4">
            <v>2720</v>
          </cell>
        </row>
        <row r="5">
          <cell r="HG5">
            <v>2716</v>
          </cell>
        </row>
        <row r="9">
          <cell r="HG9">
            <v>2</v>
          </cell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</row>
        <row r="16">
          <cell r="HD16">
            <v>115</v>
          </cell>
          <cell r="HE16">
            <v>58</v>
          </cell>
          <cell r="HG16">
            <v>30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</row>
        <row r="22">
          <cell r="HG22">
            <v>106446</v>
          </cell>
        </row>
        <row r="23">
          <cell r="HG23">
            <v>107485</v>
          </cell>
        </row>
        <row r="27">
          <cell r="HG27">
            <v>4342</v>
          </cell>
        </row>
        <row r="28">
          <cell r="HG28">
            <v>4407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  <row r="70">
          <cell r="HG70">
            <v>41827</v>
          </cell>
        </row>
        <row r="71">
          <cell r="HG71">
            <v>65658</v>
          </cell>
        </row>
        <row r="73">
          <cell r="HG73">
            <v>281</v>
          </cell>
        </row>
        <row r="74">
          <cell r="HG74">
            <v>442</v>
          </cell>
        </row>
      </sheetData>
      <sheetData sheetId="53"/>
      <sheetData sheetId="54">
        <row r="4">
          <cell r="HG4">
            <v>51</v>
          </cell>
        </row>
        <row r="5">
          <cell r="HG5">
            <v>51</v>
          </cell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</row>
        <row r="22">
          <cell r="HG22">
            <v>2933</v>
          </cell>
        </row>
        <row r="23">
          <cell r="HG23">
            <v>2935</v>
          </cell>
        </row>
        <row r="27">
          <cell r="HG27">
            <v>154</v>
          </cell>
        </row>
        <row r="28">
          <cell r="HG28">
            <v>193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</row>
        <row r="47">
          <cell r="HG47">
            <v>71</v>
          </cell>
        </row>
        <row r="52">
          <cell r="HG52">
            <v>2</v>
          </cell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</row>
      </sheetData>
      <sheetData sheetId="5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5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57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58"/>
      <sheetData sheetId="59"/>
      <sheetData sheetId="60"/>
      <sheetData sheetId="61"/>
      <sheetData sheetId="62"/>
      <sheetData sheetId="63"/>
      <sheetData sheetId="64">
        <row r="4">
          <cell r="HG4">
            <v>1</v>
          </cell>
        </row>
        <row r="5">
          <cell r="HG5">
            <v>2</v>
          </cell>
        </row>
        <row r="22">
          <cell r="HG22">
            <v>153</v>
          </cell>
        </row>
        <row r="23">
          <cell r="HG23">
            <v>311</v>
          </cell>
        </row>
      </sheetData>
      <sheetData sheetId="65">
        <row r="4">
          <cell r="HG4">
            <v>30</v>
          </cell>
        </row>
        <row r="5">
          <cell r="HG5">
            <v>30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</row>
        <row r="47">
          <cell r="HG47">
            <v>1600389</v>
          </cell>
        </row>
        <row r="52">
          <cell r="HG52">
            <v>625478</v>
          </cell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</row>
      </sheetData>
      <sheetData sheetId="66">
        <row r="4">
          <cell r="HG4">
            <v>60</v>
          </cell>
        </row>
        <row r="5">
          <cell r="HG5">
            <v>60</v>
          </cell>
        </row>
        <row r="8">
          <cell r="HG8">
            <v>2</v>
          </cell>
        </row>
        <row r="9">
          <cell r="HG9">
            <v>1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</row>
        <row r="47">
          <cell r="HG47">
            <v>2339702</v>
          </cell>
        </row>
        <row r="52">
          <cell r="HG52">
            <v>1025646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</row>
      </sheetData>
      <sheetData sheetId="67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68"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69">
        <row r="4">
          <cell r="HG4">
            <v>3</v>
          </cell>
        </row>
        <row r="5">
          <cell r="HG5">
            <v>3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</row>
        <row r="47">
          <cell r="HG47">
            <v>100417</v>
          </cell>
        </row>
        <row r="52">
          <cell r="HG52">
            <v>22538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</row>
      </sheetData>
      <sheetData sheetId="70"/>
      <sheetData sheetId="71">
        <row r="4">
          <cell r="HG4">
            <v>42</v>
          </cell>
        </row>
        <row r="5">
          <cell r="HG5">
            <v>42</v>
          </cell>
        </row>
        <row r="12">
          <cell r="HG12">
            <v>84</v>
          </cell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</row>
        <row r="47">
          <cell r="HG47">
            <v>87533</v>
          </cell>
        </row>
        <row r="52">
          <cell r="HG52">
            <v>65908</v>
          </cell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</row>
      </sheetData>
      <sheetData sheetId="72">
        <row r="4">
          <cell r="HG4">
            <v>10</v>
          </cell>
        </row>
        <row r="5">
          <cell r="HG5">
            <v>10</v>
          </cell>
        </row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</row>
        <row r="47">
          <cell r="HG47">
            <v>339365</v>
          </cell>
        </row>
        <row r="52">
          <cell r="HG52">
            <v>196367</v>
          </cell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</row>
      </sheetData>
      <sheetData sheetId="73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74">
        <row r="4">
          <cell r="HG4">
            <v>14</v>
          </cell>
        </row>
        <row r="5">
          <cell r="HG5">
            <v>14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</row>
        <row r="47">
          <cell r="HG47">
            <v>428687</v>
          </cell>
        </row>
        <row r="52">
          <cell r="HG52">
            <v>245917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</row>
      </sheetData>
      <sheetData sheetId="7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76"/>
      <sheetData sheetId="77">
        <row r="4">
          <cell r="HG4">
            <v>145</v>
          </cell>
        </row>
        <row r="5">
          <cell r="HG5">
            <v>145</v>
          </cell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</row>
        <row r="47">
          <cell r="HG47">
            <v>9279535</v>
          </cell>
        </row>
        <row r="52">
          <cell r="HG52">
            <v>8381175</v>
          </cell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</row>
      </sheetData>
      <sheetData sheetId="78">
        <row r="4">
          <cell r="HG4">
            <v>22</v>
          </cell>
        </row>
        <row r="5">
          <cell r="HG5">
            <v>22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</row>
        <row r="48">
          <cell r="HG48">
            <v>64834</v>
          </cell>
        </row>
        <row r="53">
          <cell r="HG53">
            <v>119036</v>
          </cell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</row>
      </sheetData>
      <sheetData sheetId="79">
        <row r="4">
          <cell r="HG4">
            <v>18</v>
          </cell>
        </row>
        <row r="5">
          <cell r="HG5">
            <v>18</v>
          </cell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</row>
        <row r="47">
          <cell r="HG47">
            <v>35595</v>
          </cell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</row>
      </sheetData>
      <sheetData sheetId="80">
        <row r="4">
          <cell r="HG4">
            <v>169</v>
          </cell>
        </row>
        <row r="5">
          <cell r="HG5">
            <v>169</v>
          </cell>
        </row>
        <row r="19">
          <cell r="GP19">
            <v>282</v>
          </cell>
          <cell r="GQ19">
            <v>236</v>
          </cell>
          <cell r="GR19">
            <v>252</v>
          </cell>
          <cell r="GS19">
            <v>295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</row>
        <row r="47">
          <cell r="HG47">
            <v>6928654</v>
          </cell>
        </row>
        <row r="48">
          <cell r="HG48">
            <v>906060</v>
          </cell>
        </row>
        <row r="52">
          <cell r="HG52">
            <v>5917852</v>
          </cell>
        </row>
        <row r="53">
          <cell r="HG53">
            <v>1019995</v>
          </cell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</row>
      </sheetData>
      <sheetData sheetId="81"/>
      <sheetData sheetId="82"/>
      <sheetData sheetId="83"/>
      <sheetData sheetId="84">
        <row r="4">
          <cell r="HG4">
            <v>207</v>
          </cell>
        </row>
        <row r="5">
          <cell r="HG5">
            <v>207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</row>
      </sheetData>
      <sheetData sheetId="86">
        <row r="8">
          <cell r="HG8">
            <v>1</v>
          </cell>
        </row>
        <row r="9">
          <cell r="HG9">
            <v>1</v>
          </cell>
        </row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</row>
        <row r="52">
          <cell r="HG52">
            <v>1744</v>
          </cell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</row>
      </sheetData>
      <sheetData sheetId="87">
        <row r="4">
          <cell r="HG4">
            <v>54</v>
          </cell>
        </row>
        <row r="5">
          <cell r="HG5">
            <v>54</v>
          </cell>
        </row>
      </sheetData>
      <sheetData sheetId="88">
        <row r="4">
          <cell r="HG4">
            <v>542</v>
          </cell>
        </row>
        <row r="5">
          <cell r="HG5">
            <v>541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777110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 refreshError="1"/>
      <sheetData sheetId="7">
        <row r="5">
          <cell r="I5">
            <v>7577.4392562437797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2226289</v>
          </cell>
        </row>
      </sheetData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>
        <row r="5">
          <cell r="F5">
            <v>9198.3402506295297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1612700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 refreshError="1"/>
      <sheetData sheetId="7">
        <row r="5">
          <cell r="I5">
            <v>14053.393398466729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2200630</v>
          </cell>
        </row>
      </sheetData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>
        <row r="5">
          <cell r="F5">
            <v>8310.913540674359</v>
          </cell>
        </row>
      </sheetData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1380701</v>
          </cell>
        </row>
      </sheetData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>
        <row r="5">
          <cell r="F5">
            <v>8018.4253870967395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H20" sqref="H20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0" customWidth="1"/>
    <col min="11" max="11" width="9.85546875" customWidth="1"/>
    <col min="12" max="12" width="10.140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51">
        <v>44287</v>
      </c>
      <c r="B2" s="16"/>
      <c r="C2" s="16"/>
      <c r="D2" s="551" t="s">
        <v>229</v>
      </c>
      <c r="E2" s="551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52"/>
      <c r="E3" s="553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671484</v>
      </c>
      <c r="C5" s="268">
        <f>'Major Airline Stats'!K5</f>
        <v>596612</v>
      </c>
      <c r="D5" s="5">
        <f>'Major Airline Stats'!K6</f>
        <v>1268096</v>
      </c>
      <c r="E5" s="9">
        <f>'[1]Monthly Summary'!D5</f>
        <v>87707</v>
      </c>
      <c r="F5" s="38">
        <f>(D5-E5)/E5</f>
        <v>13.458321456668225</v>
      </c>
      <c r="G5" s="9">
        <f>+D5+'[2]Monthly Summary'!G5</f>
        <v>4187690</v>
      </c>
      <c r="H5" s="9">
        <f>'[1]Monthly Summary'!G5</f>
        <v>5895327</v>
      </c>
      <c r="I5" s="83">
        <f>(G5-H5)/H5</f>
        <v>-0.2896594200796665</v>
      </c>
      <c r="J5" s="9"/>
    </row>
    <row r="6" spans="1:14" x14ac:dyDescent="0.2">
      <c r="A6" s="65" t="s">
        <v>5</v>
      </c>
      <c r="B6" s="266">
        <f>'Regional Major'!M5</f>
        <v>180757</v>
      </c>
      <c r="C6" s="266">
        <f>'Regional Major'!M6</f>
        <v>181239</v>
      </c>
      <c r="D6" s="5">
        <f>B6+C6</f>
        <v>361996</v>
      </c>
      <c r="E6" s="9">
        <f>'[1]Monthly Summary'!D6</f>
        <v>37837</v>
      </c>
      <c r="F6" s="38">
        <f>(D6-E6)/E6</f>
        <v>8.5672489890847583</v>
      </c>
      <c r="G6" s="9">
        <f>+D6+'[2]Monthly Summary'!G6</f>
        <v>1247838</v>
      </c>
      <c r="H6" s="9">
        <f>'[1]Monthly Summary'!G6</f>
        <v>1543451</v>
      </c>
      <c r="I6" s="83">
        <f>(G6-H6)/H6</f>
        <v>-0.19152729824270417</v>
      </c>
      <c r="J6" s="19"/>
      <c r="K6" s="2"/>
    </row>
    <row r="7" spans="1:14" x14ac:dyDescent="0.2">
      <c r="A7" s="65" t="s">
        <v>6</v>
      </c>
      <c r="B7" s="9">
        <f>Charter!G5</f>
        <v>153</v>
      </c>
      <c r="C7" s="267">
        <f>Charter!G6</f>
        <v>311</v>
      </c>
      <c r="D7" s="5">
        <f>B7+C7</f>
        <v>464</v>
      </c>
      <c r="E7" s="9">
        <f>'[1]Monthly Summary'!D7</f>
        <v>0</v>
      </c>
      <c r="F7" s="38" t="e">
        <f>(D7-E7)/E7</f>
        <v>#DIV/0!</v>
      </c>
      <c r="G7" s="9">
        <f>+D7+'[2]Monthly Summary'!G7</f>
        <v>852</v>
      </c>
      <c r="H7" s="9">
        <f>'[1]Monthly Summary'!G7</f>
        <v>893</v>
      </c>
      <c r="I7" s="83">
        <f>(G7-H7)/H7</f>
        <v>-4.591265397536394E-2</v>
      </c>
      <c r="J7" s="19"/>
      <c r="K7" s="2"/>
    </row>
    <row r="8" spans="1:14" x14ac:dyDescent="0.2">
      <c r="A8" s="68" t="s">
        <v>7</v>
      </c>
      <c r="B8" s="146">
        <f>SUM(B5:B7)</f>
        <v>852394</v>
      </c>
      <c r="C8" s="146">
        <f>SUM(C5:C7)</f>
        <v>778162</v>
      </c>
      <c r="D8" s="146">
        <f>SUM(D5:D7)</f>
        <v>1630556</v>
      </c>
      <c r="E8" s="146">
        <f>SUM(E5:E7)</f>
        <v>125544</v>
      </c>
      <c r="F8" s="90">
        <f>(D8-E8)/E8</f>
        <v>11.987924552348181</v>
      </c>
      <c r="G8" s="146">
        <f>SUM(G5:G7)</f>
        <v>5436380</v>
      </c>
      <c r="H8" s="146">
        <f>SUM(H5:H7)</f>
        <v>7439671</v>
      </c>
      <c r="I8" s="89">
        <f>(G8-H8)/H8</f>
        <v>-0.26927145031010108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27059</v>
      </c>
      <c r="C10" s="269">
        <f>'Major Airline Stats'!K10+'Regional Major'!M11</f>
        <v>27118</v>
      </c>
      <c r="D10" s="118">
        <f>SUM(B10:C10)</f>
        <v>54177</v>
      </c>
      <c r="E10" s="118">
        <f>'[1]Monthly Summary'!D10</f>
        <v>25939</v>
      </c>
      <c r="F10" s="91">
        <f>(D10-E10)/E10</f>
        <v>1.0886310189290258</v>
      </c>
      <c r="G10" s="118">
        <f>+D10+'[2]Monthly Summary'!G10</f>
        <v>203051</v>
      </c>
      <c r="H10" s="118">
        <f>'[1]Monthly Summary'!G10</f>
        <v>275979</v>
      </c>
      <c r="I10" s="94">
        <f>(G10-H10)/H10</f>
        <v>-0.26425199018765921</v>
      </c>
      <c r="J10" s="237"/>
    </row>
    <row r="11" spans="1:14" ht="15.75" thickBot="1" x14ac:dyDescent="0.3">
      <c r="A11" s="67" t="s">
        <v>13</v>
      </c>
      <c r="B11" s="246">
        <f>B10+B8</f>
        <v>879453</v>
      </c>
      <c r="C11" s="246">
        <f>C10+C8</f>
        <v>805280</v>
      </c>
      <c r="D11" s="246">
        <f>D10+D8</f>
        <v>1684733</v>
      </c>
      <c r="E11" s="246">
        <f>E10+E8</f>
        <v>151483</v>
      </c>
      <c r="F11" s="92">
        <f>(D11-E11)/E11</f>
        <v>10.121597803053808</v>
      </c>
      <c r="G11" s="246">
        <f>G8+G10</f>
        <v>5639431</v>
      </c>
      <c r="H11" s="246">
        <f>H8+H10</f>
        <v>7715650</v>
      </c>
      <c r="I11" s="95">
        <f>(G11-H11)/H11</f>
        <v>-0.26909191059729254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51" t="s">
        <v>229</v>
      </c>
      <c r="E13" s="551" t="s">
        <v>203</v>
      </c>
      <c r="F13" s="462"/>
      <c r="G13" s="462"/>
      <c r="H13" s="462"/>
      <c r="I13" s="419"/>
    </row>
    <row r="14" spans="1:14" ht="13.5" thickBot="1" x14ac:dyDescent="0.25">
      <c r="A14" s="15"/>
      <c r="B14" s="419" t="s">
        <v>189</v>
      </c>
      <c r="C14" s="419" t="s">
        <v>190</v>
      </c>
      <c r="D14" s="552"/>
      <c r="E14" s="553"/>
      <c r="F14" s="462" t="s">
        <v>2</v>
      </c>
      <c r="G14" s="521" t="s">
        <v>228</v>
      </c>
      <c r="H14" s="521" t="s">
        <v>204</v>
      </c>
      <c r="I14" s="419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5817</v>
      </c>
      <c r="C16" s="277">
        <f>'Major Airline Stats'!K16+'Major Airline Stats'!K20</f>
        <v>5827</v>
      </c>
      <c r="D16" s="46">
        <f t="shared" ref="D16:D21" si="0">SUM(B16:C16)</f>
        <v>11644</v>
      </c>
      <c r="E16" s="9">
        <f>'[1]Monthly Summary'!D16</f>
        <v>4479</v>
      </c>
      <c r="F16" s="93">
        <f t="shared" ref="F16:F22" si="1">(D16-E16)/E16</f>
        <v>1.599687430229962</v>
      </c>
      <c r="G16" s="9">
        <f>+D16+'[2]Monthly Summary'!G16</f>
        <v>42066</v>
      </c>
      <c r="H16" s="9">
        <f>'[1]Monthly Summary'!G16</f>
        <v>53944</v>
      </c>
      <c r="I16" s="235">
        <f t="shared" ref="I16:I22" si="2">(G16-H16)/H16</f>
        <v>-0.22019130950615454</v>
      </c>
      <c r="N16" s="128"/>
    </row>
    <row r="17" spans="1:12" x14ac:dyDescent="0.2">
      <c r="A17" s="66" t="s">
        <v>5</v>
      </c>
      <c r="B17" s="46">
        <f>'Regional Major'!M15+'Regional Major'!M18</f>
        <v>4624</v>
      </c>
      <c r="C17" s="46">
        <f>'Regional Major'!M16+'Regional Major'!M19</f>
        <v>4625</v>
      </c>
      <c r="D17" s="46">
        <f>SUM(B17:C17)</f>
        <v>9249</v>
      </c>
      <c r="E17" s="9">
        <f>'[1]Monthly Summary'!D17</f>
        <v>4398</v>
      </c>
      <c r="F17" s="93">
        <f t="shared" si="1"/>
        <v>1.1030013642564802</v>
      </c>
      <c r="G17" s="9">
        <f>+D17+'[2]Monthly Summary'!G17</f>
        <v>35808</v>
      </c>
      <c r="H17" s="9">
        <f>'[1]Monthly Summary'!G17</f>
        <v>38880</v>
      </c>
      <c r="I17" s="235">
        <f t="shared" si="2"/>
        <v>-7.9012345679012344E-2</v>
      </c>
    </row>
    <row r="18" spans="1:12" x14ac:dyDescent="0.2">
      <c r="A18" s="66" t="s">
        <v>10</v>
      </c>
      <c r="B18" s="46">
        <f>Charter!G10</f>
        <v>1</v>
      </c>
      <c r="C18" s="46">
        <f>Charter!G11</f>
        <v>2</v>
      </c>
      <c r="D18" s="46">
        <f t="shared" si="0"/>
        <v>3</v>
      </c>
      <c r="E18" s="9">
        <f>'[1]Monthly Summary'!D18</f>
        <v>0</v>
      </c>
      <c r="F18" s="93" t="e">
        <f t="shared" si="1"/>
        <v>#DIV/0!</v>
      </c>
      <c r="G18" s="9">
        <f>+D18+'[2]Monthly Summary'!G18</f>
        <v>7</v>
      </c>
      <c r="H18" s="9">
        <f>'[1]Monthly Summary'!G18</f>
        <v>8</v>
      </c>
      <c r="I18" s="235">
        <f t="shared" si="2"/>
        <v>-0.125</v>
      </c>
    </row>
    <row r="19" spans="1:12" x14ac:dyDescent="0.2">
      <c r="A19" s="66" t="s">
        <v>11</v>
      </c>
      <c r="B19" s="46">
        <f>Cargo!P4+Cargo!P8</f>
        <v>723</v>
      </c>
      <c r="C19" s="46">
        <f>Cargo!P5+Cargo!P9</f>
        <v>722</v>
      </c>
      <c r="D19" s="46">
        <f t="shared" si="0"/>
        <v>1445</v>
      </c>
      <c r="E19" s="9">
        <f>'[1]Monthly Summary'!D19</f>
        <v>1193</v>
      </c>
      <c r="F19" s="93">
        <f t="shared" si="1"/>
        <v>0.21123218776194469</v>
      </c>
      <c r="G19" s="9">
        <f>+D19+'[2]Monthly Summary'!G19</f>
        <v>5226</v>
      </c>
      <c r="H19" s="9">
        <f>'[1]Monthly Summary'!G19</f>
        <v>4614</v>
      </c>
      <c r="I19" s="235">
        <f t="shared" si="2"/>
        <v>0.13263979193758127</v>
      </c>
    </row>
    <row r="20" spans="1:12" x14ac:dyDescent="0.2">
      <c r="A20" s="66" t="s">
        <v>148</v>
      </c>
      <c r="B20" s="46">
        <f>'[3]General Avation'!$HG4</f>
        <v>542</v>
      </c>
      <c r="C20" s="46">
        <f>'[3]General Avation'!$HG5</f>
        <v>541</v>
      </c>
      <c r="D20" s="46">
        <f t="shared" si="0"/>
        <v>1083</v>
      </c>
      <c r="E20" s="9">
        <f>'[1]Monthly Summary'!D20</f>
        <v>455</v>
      </c>
      <c r="F20" s="93">
        <f t="shared" si="1"/>
        <v>1.3802197802197802</v>
      </c>
      <c r="G20" s="9">
        <f>+D20+'[2]Monthly Summary'!G20</f>
        <v>3907</v>
      </c>
      <c r="H20" s="9">
        <f>'[1]Monthly Summary'!G20</f>
        <v>3557</v>
      </c>
      <c r="I20" s="235">
        <f t="shared" si="2"/>
        <v>9.8397526005060451E-2</v>
      </c>
    </row>
    <row r="21" spans="1:12" ht="12.75" customHeight="1" x14ac:dyDescent="0.2">
      <c r="A21" s="66" t="s">
        <v>12</v>
      </c>
      <c r="B21" s="17">
        <f>'[3]Military '!$HG4</f>
        <v>54</v>
      </c>
      <c r="C21" s="17">
        <f>'[3]Military '!$HG5</f>
        <v>54</v>
      </c>
      <c r="D21" s="17">
        <f t="shared" si="0"/>
        <v>108</v>
      </c>
      <c r="E21" s="118">
        <f>'[1]Monthly Summary'!D21</f>
        <v>79</v>
      </c>
      <c r="F21" s="233">
        <f t="shared" si="1"/>
        <v>0.36708860759493672</v>
      </c>
      <c r="G21" s="118">
        <f>+D21+'[2]Monthly Summary'!G21</f>
        <v>435</v>
      </c>
      <c r="H21" s="118">
        <f>'[1]Monthly Summary'!G21</f>
        <v>245</v>
      </c>
      <c r="I21" s="236">
        <f t="shared" si="2"/>
        <v>0.77551020408163263</v>
      </c>
    </row>
    <row r="22" spans="1:12" ht="15.75" thickBot="1" x14ac:dyDescent="0.3">
      <c r="A22" s="67" t="s">
        <v>28</v>
      </c>
      <c r="B22" s="247">
        <f>SUM(B16:B21)</f>
        <v>11761</v>
      </c>
      <c r="C22" s="247">
        <f>SUM(C16:C21)</f>
        <v>11771</v>
      </c>
      <c r="D22" s="247">
        <f>SUM(D16:D21)</f>
        <v>23532</v>
      </c>
      <c r="E22" s="247">
        <f>SUM(E16:E21)</f>
        <v>10604</v>
      </c>
      <c r="F22" s="243">
        <f t="shared" si="1"/>
        <v>1.2191625801584307</v>
      </c>
      <c r="G22" s="247">
        <f>SUM(G16:G21)</f>
        <v>87449</v>
      </c>
      <c r="H22" s="247">
        <f>SUM(H16:H21)</f>
        <v>101248</v>
      </c>
      <c r="I22" s="244">
        <f t="shared" si="2"/>
        <v>-0.13628911188369153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51" t="s">
        <v>229</v>
      </c>
      <c r="E24" s="551" t="s">
        <v>203</v>
      </c>
      <c r="F24" s="462"/>
      <c r="G24" s="462"/>
      <c r="H24" s="462"/>
      <c r="I24" s="419"/>
    </row>
    <row r="25" spans="1:12" ht="13.5" thickBot="1" x14ac:dyDescent="0.25">
      <c r="B25" s="419" t="s">
        <v>0</v>
      </c>
      <c r="C25" s="419" t="s">
        <v>1</v>
      </c>
      <c r="D25" s="552"/>
      <c r="E25" s="553"/>
      <c r="F25" s="462" t="s">
        <v>2</v>
      </c>
      <c r="G25" s="521" t="s">
        <v>228</v>
      </c>
      <c r="H25" s="521" t="s">
        <v>204</v>
      </c>
      <c r="I25" s="419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(Cargo!P16+'Major Airline Stats'!K28+'Regional Major'!M25)*0.00045359237</f>
        <v>10215.886282212379</v>
      </c>
      <c r="C27" s="21">
        <f>(Cargo!P21+'Major Airline Stats'!K33+'Regional Major'!M30)*0.00045359237</f>
        <v>7789.4723703773898</v>
      </c>
      <c r="D27" s="21">
        <f>(SUM(B27:C27)+('Cargo Summary'!E17*0.00045359237))</f>
        <v>18005.35865258977</v>
      </c>
      <c r="E27" s="9">
        <f>'[1]Monthly Summary'!D27</f>
        <v>14713.923225915758</v>
      </c>
      <c r="F27" s="96">
        <f>(D27-E27)/E27</f>
        <v>0.22369529704197305</v>
      </c>
      <c r="G27" s="9">
        <f>+D27+'[2]Monthly Summary'!G27</f>
        <v>62327.436286928118</v>
      </c>
      <c r="H27" s="9">
        <f>'[1]Monthly Summary'!G27</f>
        <v>62140.249602045995</v>
      </c>
      <c r="I27" s="98">
        <f>(G27-H27)/H27</f>
        <v>3.0123259253203834E-3</v>
      </c>
    </row>
    <row r="28" spans="1:12" x14ac:dyDescent="0.2">
      <c r="A28" s="60" t="s">
        <v>16</v>
      </c>
      <c r="B28" s="21">
        <f>(Cargo!P17+'Major Airline Stats'!K29+'Regional Major'!M26)*0.00045359237</f>
        <v>1001.4879545001099</v>
      </c>
      <c r="C28" s="21">
        <f>(Cargo!P22+'Major Airline Stats'!K34+'Regional Major'!M31)*0.00045359237</f>
        <v>1155.5115940267899</v>
      </c>
      <c r="D28" s="21">
        <f>SUM(B28:C28)</f>
        <v>2156.9995485269001</v>
      </c>
      <c r="E28" s="9">
        <f>'[1]Monthly Summary'!D28</f>
        <v>824.52932396912001</v>
      </c>
      <c r="F28" s="96">
        <f>(D28-E28)/E28</f>
        <v>1.616037399547579</v>
      </c>
      <c r="G28" s="9">
        <f>+D28+'[2]Monthly Summary'!G28</f>
        <v>7023.1657094290995</v>
      </c>
      <c r="H28" s="9">
        <f>'[1]Monthly Summary'!G28</f>
        <v>6059.15446372313</v>
      </c>
      <c r="I28" s="98">
        <f>(G28-H28)/H28</f>
        <v>0.15909996212798636</v>
      </c>
    </row>
    <row r="29" spans="1:12" ht="15.75" thickBot="1" x14ac:dyDescent="0.3">
      <c r="A29" s="61" t="s">
        <v>62</v>
      </c>
      <c r="B29" s="53">
        <f>SUM(B27:B28)</f>
        <v>11217.374236712489</v>
      </c>
      <c r="C29" s="53">
        <f>SUM(C27:C28)</f>
        <v>8944.9839644041804</v>
      </c>
      <c r="D29" s="53">
        <f>SUM(D27:D28)</f>
        <v>20162.358201116669</v>
      </c>
      <c r="E29" s="53">
        <f>SUM(E27:E28)</f>
        <v>15538.452549884878</v>
      </c>
      <c r="F29" s="97">
        <f>(D29-E29)/E29</f>
        <v>0.29757825860632747</v>
      </c>
      <c r="G29" s="53">
        <f>SUM(G27:G28)</f>
        <v>69350.601996357218</v>
      </c>
      <c r="H29" s="53">
        <f>SUM(H27:H28)</f>
        <v>68199.404065769122</v>
      </c>
      <c r="I29" s="99">
        <f>(G29-H29)/H29</f>
        <v>1.6879882549676255E-2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50" t="s">
        <v>144</v>
      </c>
      <c r="C31" s="549"/>
      <c r="D31" s="550" t="s">
        <v>151</v>
      </c>
      <c r="E31" s="549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563488</v>
      </c>
      <c r="C32" s="365">
        <f>B32/C8</f>
        <v>0.72412685276330635</v>
      </c>
      <c r="D32" s="366">
        <f>+'[2]Monthly Summary'!D32+B32</f>
        <v>1970922</v>
      </c>
      <c r="E32" s="367">
        <f>+D32/D34</f>
        <v>0.72686899576363539</v>
      </c>
      <c r="G32" s="389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214674</v>
      </c>
      <c r="C33" s="370">
        <f>+B33/C8</f>
        <v>0.27587314723669365</v>
      </c>
      <c r="D33" s="371">
        <f>+'[2]Monthly Summary'!D33+B33</f>
        <v>740601</v>
      </c>
      <c r="E33" s="372">
        <f>+D33/D34</f>
        <v>0.27313100423636461</v>
      </c>
      <c r="G33" s="381"/>
      <c r="H33" s="381"/>
      <c r="I33" s="380"/>
    </row>
    <row r="34" spans="1:14" ht="13.5" thickBot="1" x14ac:dyDescent="0.25">
      <c r="B34" s="281"/>
      <c r="D34" s="373">
        <f>SUM(D32:D33)</f>
        <v>2711523</v>
      </c>
    </row>
    <row r="35" spans="1:14" ht="13.5" thickBot="1" x14ac:dyDescent="0.25">
      <c r="B35" s="548" t="s">
        <v>242</v>
      </c>
      <c r="C35" s="549"/>
      <c r="D35" s="550" t="s">
        <v>227</v>
      </c>
      <c r="E35" s="549"/>
    </row>
    <row r="36" spans="1:14" x14ac:dyDescent="0.2">
      <c r="A36" s="363" t="s">
        <v>145</v>
      </c>
      <c r="B36" s="364">
        <f>'[1]Monthly Summary'!$B$32</f>
        <v>30941</v>
      </c>
      <c r="C36" s="365">
        <f>+B36/B38</f>
        <v>0.53518178987788423</v>
      </c>
      <c r="D36" s="366">
        <f>'[1]Monthly Summary'!$D$32</f>
        <v>2434025</v>
      </c>
      <c r="E36" s="367">
        <f>+D36/D38</f>
        <v>0.66224584468127368</v>
      </c>
    </row>
    <row r="37" spans="1:14" ht="13.5" thickBot="1" x14ac:dyDescent="0.25">
      <c r="A37" s="368" t="s">
        <v>146</v>
      </c>
      <c r="B37" s="369">
        <f>'[1]Monthly Summary'!$B$33</f>
        <v>26873</v>
      </c>
      <c r="C37" s="372">
        <f>+B37/B38</f>
        <v>0.46481821012211577</v>
      </c>
      <c r="D37" s="371">
        <f>'[1]Monthly Summary'!$D$33</f>
        <v>1241385</v>
      </c>
      <c r="E37" s="372">
        <f>+D37/D38</f>
        <v>0.33775415531872632</v>
      </c>
      <c r="M37" s="12"/>
    </row>
    <row r="38" spans="1:14" x14ac:dyDescent="0.2">
      <c r="B38" s="388">
        <f>+SUM(B36:B37)</f>
        <v>57814</v>
      </c>
      <c r="D38" s="373">
        <f>SUM(D36:D37)</f>
        <v>3675410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2021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44287</v>
      </c>
      <c r="B1" s="409" t="s">
        <v>18</v>
      </c>
      <c r="C1" s="466" t="s">
        <v>195</v>
      </c>
      <c r="D1" s="480" t="s">
        <v>157</v>
      </c>
      <c r="E1" s="410" t="s">
        <v>163</v>
      </c>
      <c r="F1" s="410" t="s">
        <v>162</v>
      </c>
      <c r="G1" s="410" t="s">
        <v>49</v>
      </c>
      <c r="H1" s="410" t="s">
        <v>113</v>
      </c>
      <c r="I1" s="410" t="s">
        <v>194</v>
      </c>
      <c r="J1" s="410" t="s">
        <v>191</v>
      </c>
      <c r="K1" s="410" t="s">
        <v>196</v>
      </c>
      <c r="L1" s="410" t="s">
        <v>161</v>
      </c>
      <c r="M1" s="410" t="s">
        <v>211</v>
      </c>
      <c r="N1" s="410" t="s">
        <v>156</v>
      </c>
      <c r="O1" s="410" t="s">
        <v>139</v>
      </c>
      <c r="P1" s="410" t="s">
        <v>21</v>
      </c>
    </row>
    <row r="2" spans="1:16" ht="15" x14ac:dyDescent="0.25">
      <c r="A2" s="584" t="s">
        <v>140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6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[3]Delta!$HG$32</f>
        <v>17339</v>
      </c>
      <c r="C4" s="20">
        <f>'[3]Atlantic Southeast'!$HG$32</f>
        <v>0</v>
      </c>
      <c r="D4" s="20">
        <f>[3]Pinnacle!$HG$32</f>
        <v>0</v>
      </c>
      <c r="E4" s="20">
        <f>'[3]Sky West'!$HG$32</f>
        <v>814</v>
      </c>
      <c r="F4" s="20">
        <f>'[3]Go Jet'!$HG$32</f>
        <v>0</v>
      </c>
      <c r="G4" s="20">
        <f>'[3]Sun Country'!$HG$32</f>
        <v>10461</v>
      </c>
      <c r="H4" s="20">
        <f>[3]Icelandair!$HG$32</f>
        <v>0</v>
      </c>
      <c r="I4" s="20">
        <f>[3]KLM!$HG$32</f>
        <v>0</v>
      </c>
      <c r="J4" s="20">
        <f>'[3]Air Georgian'!$HG$32</f>
        <v>0</v>
      </c>
      <c r="K4" s="20">
        <f>'[3]Sky Regional'!$HG$32</f>
        <v>0</v>
      </c>
      <c r="L4" s="20">
        <f>[3]Condor!$HG$32</f>
        <v>0</v>
      </c>
      <c r="M4" s="20">
        <f>'[3]Aer Lingus'!$HG$32</f>
        <v>0</v>
      </c>
      <c r="N4" s="20">
        <f>'[3]Air France'!$HG$32</f>
        <v>0</v>
      </c>
      <c r="O4" s="20">
        <f>'[3]Charter Misc'!$HG$32+[3]Ryan!$HG$32+[3]Omni!$HG$32</f>
        <v>0</v>
      </c>
      <c r="P4" s="254">
        <f>SUM(B4:O4)</f>
        <v>28614</v>
      </c>
    </row>
    <row r="5" spans="1:16" x14ac:dyDescent="0.2">
      <c r="A5" s="60" t="s">
        <v>31</v>
      </c>
      <c r="B5" s="13">
        <f>[3]Delta!$HG$33</f>
        <v>13968</v>
      </c>
      <c r="C5" s="13">
        <f>'[3]Atlantic Southeast'!$HG$33</f>
        <v>0</v>
      </c>
      <c r="D5" s="13">
        <f>[3]Pinnacle!$HG$33</f>
        <v>0</v>
      </c>
      <c r="E5" s="13">
        <f>'[3]Sky West'!$HG$33</f>
        <v>723</v>
      </c>
      <c r="F5" s="13">
        <f>'[3]Go Jet'!$HG$33</f>
        <v>0</v>
      </c>
      <c r="G5" s="13">
        <f>'[3]Sun Country'!$HG$33</f>
        <v>5583</v>
      </c>
      <c r="H5" s="13">
        <f>[3]Icelandair!$HG$33</f>
        <v>0</v>
      </c>
      <c r="I5" s="13">
        <f>[3]KLM!$HG$33</f>
        <v>0</v>
      </c>
      <c r="J5" s="13">
        <f>'[3]Air Georgian'!$HG$33</f>
        <v>0</v>
      </c>
      <c r="K5" s="13">
        <f>'[3]Sky Regional'!$HG$33</f>
        <v>0</v>
      </c>
      <c r="L5" s="13">
        <f>[3]Condor!$HG$33</f>
        <v>0</v>
      </c>
      <c r="M5" s="13">
        <f>'[3]Aer Lingus'!$HG$33</f>
        <v>0</v>
      </c>
      <c r="N5" s="13">
        <f>'[3]Air France'!$HG$33</f>
        <v>0</v>
      </c>
      <c r="O5" s="13">
        <f>'[3]Charter Misc'!$HG$33++[3]Ryan!$HG$33+[3]Omni!$HG$33</f>
        <v>0</v>
      </c>
      <c r="P5" s="255">
        <f>SUM(B5:O5)</f>
        <v>20274</v>
      </c>
    </row>
    <row r="6" spans="1:16" ht="15" x14ac:dyDescent="0.25">
      <c r="A6" s="58" t="s">
        <v>7</v>
      </c>
      <c r="B6" s="33">
        <f t="shared" ref="B6:O6" si="0">SUM(B4:B5)</f>
        <v>31307</v>
      </c>
      <c r="C6" s="33">
        <f t="shared" si="0"/>
        <v>0</v>
      </c>
      <c r="D6" s="33">
        <f t="shared" si="0"/>
        <v>0</v>
      </c>
      <c r="E6" s="33">
        <f t="shared" si="0"/>
        <v>1537</v>
      </c>
      <c r="F6" s="33">
        <f t="shared" ref="F6" si="1">SUM(F4:F5)</f>
        <v>0</v>
      </c>
      <c r="G6" s="33">
        <f t="shared" si="0"/>
        <v>16044</v>
      </c>
      <c r="H6" s="33">
        <f t="shared" si="0"/>
        <v>0</v>
      </c>
      <c r="I6" s="33">
        <f t="shared" ref="I6" si="2">SUM(I4:I5)</f>
        <v>0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0</v>
      </c>
      <c r="O6" s="33">
        <f t="shared" si="0"/>
        <v>0</v>
      </c>
      <c r="P6" s="256">
        <f>SUM(B6:O6)</f>
        <v>48888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[3]Delta!$HG$37</f>
        <v>398</v>
      </c>
      <c r="C9" s="20">
        <f>'[3]Atlantic Southeast'!$HG$37</f>
        <v>0</v>
      </c>
      <c r="D9" s="20">
        <f>[3]Pinnacle!$HG$37</f>
        <v>0</v>
      </c>
      <c r="E9" s="20">
        <f>'[3]Sky West'!$HG$37</f>
        <v>6</v>
      </c>
      <c r="F9" s="20">
        <f>'[3]Go Jet'!$HG$37</f>
        <v>0</v>
      </c>
      <c r="G9" s="20">
        <f>'[3]Sun Country'!$HG$37</f>
        <v>123</v>
      </c>
      <c r="H9" s="20">
        <f>[3]Icelandair!$HG$37</f>
        <v>0</v>
      </c>
      <c r="I9" s="20">
        <f>[3]KLM!$HG$37</f>
        <v>0</v>
      </c>
      <c r="J9" s="20">
        <f>'[3]Air Georgian'!$HG$37</f>
        <v>0</v>
      </c>
      <c r="K9" s="20">
        <f>'[3]Sky Regional'!$HG$37</f>
        <v>0</v>
      </c>
      <c r="L9" s="20">
        <f>[3]Condor!$HG$37</f>
        <v>0</v>
      </c>
      <c r="M9" s="20">
        <f>'[3]Aer Lingus'!$HG$37</f>
        <v>0</v>
      </c>
      <c r="N9" s="20">
        <f>'[3]Air France'!$HG$37</f>
        <v>0</v>
      </c>
      <c r="O9" s="20">
        <f>'[3]Charter Misc'!$HG$37+[3]Ryan!$HG$37+[3]Omni!$HG$37</f>
        <v>0</v>
      </c>
      <c r="P9" s="254">
        <f>SUM(B9:O9)</f>
        <v>527</v>
      </c>
    </row>
    <row r="10" spans="1:16" x14ac:dyDescent="0.2">
      <c r="A10" s="60" t="s">
        <v>33</v>
      </c>
      <c r="B10" s="13">
        <f>[3]Delta!$HG$38</f>
        <v>393</v>
      </c>
      <c r="C10" s="13">
        <f>'[3]Atlantic Southeast'!$HG$38</f>
        <v>0</v>
      </c>
      <c r="D10" s="13">
        <f>[3]Pinnacle!$HG$38</f>
        <v>0</v>
      </c>
      <c r="E10" s="13">
        <f>'[3]Sky West'!$HG$38</f>
        <v>8</v>
      </c>
      <c r="F10" s="13">
        <f>'[3]Go Jet'!$HG$38</f>
        <v>0</v>
      </c>
      <c r="G10" s="13">
        <f>'[3]Sun Country'!$HG$38</f>
        <v>120</v>
      </c>
      <c r="H10" s="13">
        <f>[3]Icelandair!$HG$38</f>
        <v>0</v>
      </c>
      <c r="I10" s="13">
        <f>[3]KLM!$HG$38</f>
        <v>0</v>
      </c>
      <c r="J10" s="13">
        <f>'[3]Air Georgian'!$HG$38</f>
        <v>0</v>
      </c>
      <c r="K10" s="13">
        <f>'[3]Sky Regional'!$HG$38</f>
        <v>0</v>
      </c>
      <c r="L10" s="13">
        <f>[3]Condor!$HG$38</f>
        <v>0</v>
      </c>
      <c r="M10" s="13">
        <f>'[3]Aer Lingus'!$HG$38</f>
        <v>0</v>
      </c>
      <c r="N10" s="13">
        <f>'[3]Air France'!$HG$38</f>
        <v>0</v>
      </c>
      <c r="O10" s="13">
        <f>'[3]Charter Misc'!$HG$38+[3]Ryan!$HG$38+[3]Omni!$HG$38</f>
        <v>0</v>
      </c>
      <c r="P10" s="255">
        <f>SUM(B10:O10)</f>
        <v>521</v>
      </c>
    </row>
    <row r="11" spans="1:16" ht="15.75" thickBot="1" x14ac:dyDescent="0.3">
      <c r="A11" s="61" t="s">
        <v>34</v>
      </c>
      <c r="B11" s="257">
        <f t="shared" ref="B11:G11" si="5">SUM(B9:B10)</f>
        <v>791</v>
      </c>
      <c r="C11" s="257">
        <f t="shared" si="5"/>
        <v>0</v>
      </c>
      <c r="D11" s="257">
        <f t="shared" si="5"/>
        <v>0</v>
      </c>
      <c r="E11" s="257">
        <f t="shared" si="5"/>
        <v>14</v>
      </c>
      <c r="F11" s="257">
        <f t="shared" ref="F11" si="6">SUM(F9:F10)</f>
        <v>0</v>
      </c>
      <c r="G11" s="257">
        <f t="shared" si="5"/>
        <v>243</v>
      </c>
      <c r="H11" s="257">
        <f t="shared" ref="H11:O11" si="7">SUM(H9:H10)</f>
        <v>0</v>
      </c>
      <c r="I11" s="257">
        <f t="shared" ref="I11" si="8">SUM(I9:I10)</f>
        <v>0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0</v>
      </c>
      <c r="O11" s="257">
        <f t="shared" si="7"/>
        <v>0</v>
      </c>
      <c r="P11" s="258">
        <f>SUM(B11:O11)</f>
        <v>1048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9" t="s">
        <v>18</v>
      </c>
      <c r="C13" s="466" t="s">
        <v>195</v>
      </c>
      <c r="D13" s="480" t="s">
        <v>157</v>
      </c>
      <c r="E13" s="410" t="s">
        <v>163</v>
      </c>
      <c r="F13" s="410" t="s">
        <v>162</v>
      </c>
      <c r="G13" s="410" t="s">
        <v>49</v>
      </c>
      <c r="H13" s="410" t="s">
        <v>113</v>
      </c>
      <c r="I13" s="410" t="s">
        <v>194</v>
      </c>
      <c r="J13" s="410" t="s">
        <v>191</v>
      </c>
      <c r="K13" s="410" t="s">
        <v>196</v>
      </c>
      <c r="L13" s="410" t="s">
        <v>161</v>
      </c>
      <c r="M13" s="410" t="s">
        <v>211</v>
      </c>
      <c r="N13" s="410" t="s">
        <v>156</v>
      </c>
      <c r="O13" s="410" t="s">
        <v>139</v>
      </c>
      <c r="P13" s="410" t="s">
        <v>21</v>
      </c>
    </row>
    <row r="14" spans="1:16" ht="15" x14ac:dyDescent="0.25">
      <c r="A14" s="587" t="s">
        <v>141</v>
      </c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9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SUM([3]Delta!$HD$32:$HG$32)</f>
        <v>67390</v>
      </c>
      <c r="C16" s="20">
        <f>SUM('[3]Atlantic Southeast'!$HD$32:$HG$32)</f>
        <v>0</v>
      </c>
      <c r="D16" s="20">
        <f>SUM([3]Pinnacle!$HD$32:$HG$32)</f>
        <v>0</v>
      </c>
      <c r="E16" s="20">
        <f>SUM('[3]Sky West'!$HD$32:$HG$32)</f>
        <v>4557</v>
      </c>
      <c r="F16" s="20">
        <f>SUM('[3]Go Jet'!$HD$32:$HG$32)</f>
        <v>0</v>
      </c>
      <c r="G16" s="20">
        <f>SUM('[3]Sun Country'!$HD$32:$HG$32)</f>
        <v>44553</v>
      </c>
      <c r="H16" s="20">
        <f>SUM([3]Icelandair!$HD$32:$HG$32)</f>
        <v>0</v>
      </c>
      <c r="I16" s="20">
        <f>SUM([3]KLM!$HD$32:$HG$32)</f>
        <v>0</v>
      </c>
      <c r="J16" s="20">
        <f>SUM('[3]Air Georgian'!$HD$32:$HG$32)</f>
        <v>0</v>
      </c>
      <c r="K16" s="20">
        <f>SUM('[3]Sky Regional'!$HD$32:$HG$32)</f>
        <v>0</v>
      </c>
      <c r="L16" s="20">
        <f>SUM([3]Condor!$HD$32:$HG$32)</f>
        <v>0</v>
      </c>
      <c r="M16" s="20">
        <f>SUM('[3]Aer Lingus'!$HD$32:$HG$32)</f>
        <v>0</v>
      </c>
      <c r="N16" s="20">
        <f>SUM('[3]Air France'!$HD$32:$HG$32)</f>
        <v>0</v>
      </c>
      <c r="O16" s="20">
        <f>SUM('[3]Charter Misc'!$HD$32:$HG$32)+SUM([3]Ryan!$HD$32:$HG$32)+SUM([3]Omni!$HD$32:$HG$32)</f>
        <v>0</v>
      </c>
      <c r="P16" s="254">
        <f>SUM(B16:O16)</f>
        <v>116500</v>
      </c>
    </row>
    <row r="17" spans="1:19" x14ac:dyDescent="0.2">
      <c r="A17" s="60" t="s">
        <v>31</v>
      </c>
      <c r="B17" s="13">
        <f>SUM([3]Delta!$HD$33:$HG$33)</f>
        <v>63714</v>
      </c>
      <c r="C17" s="13">
        <f>SUM('[3]Atlantic Southeast'!$HD$33:$HG$33)</f>
        <v>0</v>
      </c>
      <c r="D17" s="13">
        <f>SUM([3]Pinnacle!$HD$33:$HG$33)</f>
        <v>0</v>
      </c>
      <c r="E17" s="13">
        <f>SUM('[3]Sky West'!$HD$33:$HG$33)</f>
        <v>4439</v>
      </c>
      <c r="F17" s="13">
        <f>SUM('[3]Go Jet'!$HD$33:$HG$33)</f>
        <v>0</v>
      </c>
      <c r="G17" s="13">
        <f>SUM('[3]Sun Country'!$HD$33:$HG$33)</f>
        <v>40334</v>
      </c>
      <c r="H17" s="13">
        <f>SUM([3]Icelandair!$HD$33:$HG$33)</f>
        <v>0</v>
      </c>
      <c r="I17" s="13">
        <f>SUM([3]KLM!$HD$33:$HG$33)</f>
        <v>0</v>
      </c>
      <c r="J17" s="13">
        <f>SUM('[3]Air Georgian'!$HD$33:$HG$33)</f>
        <v>0</v>
      </c>
      <c r="K17" s="13">
        <f>SUM('[3]Sky Regional'!$HD$33:$HG$33)</f>
        <v>0</v>
      </c>
      <c r="L17" s="13">
        <f>SUM([3]Condor!$HD$33:$HG$33)</f>
        <v>0</v>
      </c>
      <c r="M17" s="13">
        <f>SUM('[3]Aer Lingus'!$HD$33:$HG$33)</f>
        <v>0</v>
      </c>
      <c r="N17" s="13">
        <f>SUM('[3]Air France'!$HD$33:$HG$33)</f>
        <v>0</v>
      </c>
      <c r="O17" s="13">
        <f>SUM('[3]Charter Misc'!$HD$33:$HG$33)++SUM([3]Ryan!$HD$33:$HG$33)+SUM([3]Omni!$HD$33:$HG$33)</f>
        <v>0</v>
      </c>
      <c r="P17" s="255">
        <f>SUM(B17:O17)</f>
        <v>108487</v>
      </c>
    </row>
    <row r="18" spans="1:19" ht="15" x14ac:dyDescent="0.25">
      <c r="A18" s="58" t="s">
        <v>7</v>
      </c>
      <c r="B18" s="33">
        <f t="shared" ref="B18:O18" si="11">SUM(B16:B17)</f>
        <v>131104</v>
      </c>
      <c r="C18" s="33">
        <f t="shared" si="11"/>
        <v>0</v>
      </c>
      <c r="D18" s="33">
        <f t="shared" si="11"/>
        <v>0</v>
      </c>
      <c r="E18" s="33">
        <f t="shared" si="11"/>
        <v>8996</v>
      </c>
      <c r="F18" s="33">
        <f t="shared" ref="F18" si="12">SUM(F16:F17)</f>
        <v>0</v>
      </c>
      <c r="G18" s="33">
        <f t="shared" si="11"/>
        <v>84887</v>
      </c>
      <c r="H18" s="33">
        <f t="shared" si="11"/>
        <v>0</v>
      </c>
      <c r="I18" s="33">
        <f t="shared" ref="I18" si="13">SUM(I16:I17)</f>
        <v>0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0</v>
      </c>
      <c r="O18" s="33">
        <f t="shared" si="11"/>
        <v>0</v>
      </c>
      <c r="P18" s="256">
        <f>SUM(B18:O18)</f>
        <v>224987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SUM([3]Delta!$HD$37:$HG$37)</f>
        <v>2033</v>
      </c>
      <c r="C21" s="20">
        <f>SUM('[3]Atlantic Southeast'!$HD$37:$HG$37)</f>
        <v>0</v>
      </c>
      <c r="D21" s="20">
        <f>SUM([3]Pinnacle!$HD$37:$HG$37)</f>
        <v>0</v>
      </c>
      <c r="E21" s="20">
        <f>SUM('[3]Sky West'!$HD$37:$HG$37)</f>
        <v>32</v>
      </c>
      <c r="F21" s="20">
        <f>SUM('[3]Go Jet'!$HD$37:$HG$37)</f>
        <v>0</v>
      </c>
      <c r="G21" s="20">
        <f>SUM('[3]Sun Country'!$HD$37:$HG$37)</f>
        <v>934</v>
      </c>
      <c r="H21" s="20">
        <f>SUM([3]Icelandair!$HD$37:$HG$37)</f>
        <v>0</v>
      </c>
      <c r="I21" s="20">
        <f>SUM([3]KLM!$HD$37:$HG$37)</f>
        <v>0</v>
      </c>
      <c r="J21" s="20">
        <f>SUM('[3]Air Georgian'!$HD$37:$HG$37)</f>
        <v>0</v>
      </c>
      <c r="K21" s="20">
        <f>SUM('[3]Sky Regional'!$HD$37:$HG$37)</f>
        <v>0</v>
      </c>
      <c r="L21" s="20">
        <f>SUM([3]Condor!$HD$37:$HG$37)</f>
        <v>0</v>
      </c>
      <c r="M21" s="20">
        <f>SUM('[3]Aer Lingus'!$HD$37:$HG$37)</f>
        <v>0</v>
      </c>
      <c r="N21" s="20">
        <f>SUM('[3]Air France'!$HD$37:$HG$37)</f>
        <v>0</v>
      </c>
      <c r="O21" s="20">
        <f>SUM('[3]Charter Misc'!$HD$37:$HG$37)++SUM([3]Ryan!$HD$37:$HG$37)+SUM([3]Omni!$HD$37:$HG$37)</f>
        <v>0</v>
      </c>
      <c r="P21" s="254">
        <f>SUM(B21:O21)</f>
        <v>2999</v>
      </c>
    </row>
    <row r="22" spans="1:19" x14ac:dyDescent="0.2">
      <c r="A22" s="60" t="s">
        <v>33</v>
      </c>
      <c r="B22" s="13">
        <f>SUM([3]Delta!$HD$38:$HG$38)</f>
        <v>1896</v>
      </c>
      <c r="C22" s="13">
        <f>SUM('[3]Atlantic Southeast'!$HD$38:$HG$38)</f>
        <v>0</v>
      </c>
      <c r="D22" s="13">
        <f>SUM([3]Pinnacle!$HD$38:$HG$38)</f>
        <v>0</v>
      </c>
      <c r="E22" s="13">
        <f>SUM('[3]Sky West'!$HD$38:$HG$38)</f>
        <v>21</v>
      </c>
      <c r="F22" s="13">
        <f>SUM('[3]Go Jet'!$HD$38:$HG$38)</f>
        <v>0</v>
      </c>
      <c r="G22" s="13">
        <f>SUM('[3]Sun Country'!$HD$38:$HG$38)</f>
        <v>906</v>
      </c>
      <c r="H22" s="13">
        <f>SUM([3]Icelandair!$HD$38:$HG$38)</f>
        <v>0</v>
      </c>
      <c r="I22" s="13">
        <f>SUM([3]KLM!$HD$38:$HG$38)</f>
        <v>0</v>
      </c>
      <c r="J22" s="13">
        <f>SUM('[3]Air Georgian'!$HD$38:$HG$38)</f>
        <v>0</v>
      </c>
      <c r="K22" s="13">
        <f>SUM('[3]Sky Regional'!$HD$38:$HG$38)</f>
        <v>0</v>
      </c>
      <c r="L22" s="13">
        <f>SUM([3]Condor!$HD$38:$HG$38)</f>
        <v>0</v>
      </c>
      <c r="M22" s="13">
        <f>SUM('[3]Aer Lingus'!$HD$38:$HG$38)</f>
        <v>0</v>
      </c>
      <c r="N22" s="13">
        <f>SUM('[3]Air France'!$HD$38:$HG$38)</f>
        <v>0</v>
      </c>
      <c r="O22" s="13">
        <f>SUM('[3]Charter Misc'!$HD$38:$HG$38)++SUM([3]Ryan!$HD$38:$HG$38)+SUM([3]Omni!$HD$38:$HG$38)</f>
        <v>0</v>
      </c>
      <c r="P22" s="255">
        <f>SUM(B22:O22)</f>
        <v>2823</v>
      </c>
    </row>
    <row r="23" spans="1:19" ht="15.75" thickBot="1" x14ac:dyDescent="0.3">
      <c r="A23" s="61" t="s">
        <v>34</v>
      </c>
      <c r="B23" s="257">
        <f t="shared" ref="B23:O23" si="16">SUM(B21:B22)</f>
        <v>3929</v>
      </c>
      <c r="C23" s="257">
        <f t="shared" si="16"/>
        <v>0</v>
      </c>
      <c r="D23" s="257">
        <f t="shared" si="16"/>
        <v>0</v>
      </c>
      <c r="E23" s="257">
        <f t="shared" si="16"/>
        <v>53</v>
      </c>
      <c r="F23" s="257">
        <f t="shared" ref="F23" si="17">SUM(F21:F22)</f>
        <v>0</v>
      </c>
      <c r="G23" s="257">
        <f t="shared" si="16"/>
        <v>1840</v>
      </c>
      <c r="H23" s="257">
        <f t="shared" si="16"/>
        <v>0</v>
      </c>
      <c r="I23" s="257">
        <f t="shared" ref="I23" si="18">SUM(I21:I22)</f>
        <v>0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0</v>
      </c>
      <c r="O23" s="257">
        <f t="shared" si="16"/>
        <v>0</v>
      </c>
      <c r="P23" s="258">
        <f>SUM(B23:O23)</f>
        <v>5822</v>
      </c>
    </row>
    <row r="25" spans="1:19" ht="39" thickBot="1" x14ac:dyDescent="0.25">
      <c r="B25" s="409" t="s">
        <v>18</v>
      </c>
      <c r="C25" s="466" t="s">
        <v>195</v>
      </c>
      <c r="D25" s="480" t="s">
        <v>157</v>
      </c>
      <c r="E25" s="410" t="s">
        <v>163</v>
      </c>
      <c r="F25" s="410" t="s">
        <v>162</v>
      </c>
      <c r="G25" s="410" t="s">
        <v>49</v>
      </c>
      <c r="H25" s="410" t="s">
        <v>113</v>
      </c>
      <c r="I25" s="410" t="s">
        <v>194</v>
      </c>
      <c r="J25" s="410" t="s">
        <v>191</v>
      </c>
      <c r="K25" s="410" t="s">
        <v>196</v>
      </c>
      <c r="L25" s="410" t="s">
        <v>161</v>
      </c>
      <c r="M25" s="410" t="s">
        <v>211</v>
      </c>
      <c r="N25" s="410" t="s">
        <v>156</v>
      </c>
      <c r="O25" s="410" t="s">
        <v>139</v>
      </c>
      <c r="P25" s="410" t="s">
        <v>21</v>
      </c>
    </row>
    <row r="26" spans="1:19" ht="15" x14ac:dyDescent="0.25">
      <c r="A26" s="590" t="s">
        <v>142</v>
      </c>
      <c r="B26" s="591"/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2"/>
    </row>
    <row r="27" spans="1:19" x14ac:dyDescent="0.2">
      <c r="A27" s="60" t="s">
        <v>22</v>
      </c>
      <c r="B27" s="20">
        <f>[3]Delta!$HG$15</f>
        <v>166</v>
      </c>
      <c r="C27" s="20">
        <f>'[3]Atlantic Southeast'!$HG$15</f>
        <v>0</v>
      </c>
      <c r="D27" s="20">
        <f>[3]Pinnacle!$HG$15</f>
        <v>0</v>
      </c>
      <c r="E27" s="20">
        <f>'[3]Sky West'!$HG$15</f>
        <v>30</v>
      </c>
      <c r="F27" s="20">
        <f>'[3]Go Jet'!$HG$15</f>
        <v>0</v>
      </c>
      <c r="G27" s="20">
        <f>'[3]Sun Country'!$HG$15</f>
        <v>72</v>
      </c>
      <c r="H27" s="20">
        <f>[3]Icelandair!$HG$15</f>
        <v>0</v>
      </c>
      <c r="I27" s="20">
        <f>[3]KLM!$HG$15</f>
        <v>0</v>
      </c>
      <c r="J27" s="20">
        <f>'[3]Air Georgian'!$HG$15</f>
        <v>0</v>
      </c>
      <c r="K27" s="20">
        <f>'[3]Sky Regional'!$HG$15</f>
        <v>0</v>
      </c>
      <c r="L27" s="20">
        <f>[3]Condor!$HG$15</f>
        <v>0</v>
      </c>
      <c r="M27" s="20">
        <f>'[3]Aer Lingus'!$HG$15</f>
        <v>0</v>
      </c>
      <c r="N27" s="20">
        <f>'[3]Air France'!$HG$15</f>
        <v>0</v>
      </c>
      <c r="O27" s="20">
        <f>'[3]Charter Misc'!$HG$15+[3]Ryan!$HG$15+[3]Omni!$HG$15</f>
        <v>0</v>
      </c>
      <c r="P27" s="254">
        <f>SUM(B27:O27)</f>
        <v>268</v>
      </c>
    </row>
    <row r="28" spans="1:19" x14ac:dyDescent="0.2">
      <c r="A28" s="60" t="s">
        <v>23</v>
      </c>
      <c r="B28" s="20">
        <f>[3]Delta!$HG$16</f>
        <v>166</v>
      </c>
      <c r="C28" s="20">
        <f>'[3]Atlantic Southeast'!$HG$16</f>
        <v>0</v>
      </c>
      <c r="D28" s="20">
        <f>[3]Pinnacle!$HG$16</f>
        <v>0</v>
      </c>
      <c r="E28" s="20">
        <f>'[3]Sky West'!$HG$16</f>
        <v>30</v>
      </c>
      <c r="F28" s="20">
        <f>'[3]Go Jet'!$HG$16</f>
        <v>0</v>
      </c>
      <c r="G28" s="20">
        <f>'[3]Sun Country'!$HG$16</f>
        <v>75</v>
      </c>
      <c r="H28" s="20">
        <f>[3]Icelandair!$HG$16</f>
        <v>0</v>
      </c>
      <c r="I28" s="20">
        <f>[3]KLM!$HG$16</f>
        <v>0</v>
      </c>
      <c r="J28" s="20">
        <f>'[3]Air Georgian'!$HG$16</f>
        <v>0</v>
      </c>
      <c r="K28" s="20">
        <f>'[3]Sky Regional'!$HG$16</f>
        <v>0</v>
      </c>
      <c r="L28" s="20">
        <f>[3]Condor!$HG$16</f>
        <v>0</v>
      </c>
      <c r="M28" s="20">
        <f>'[3]Aer Lingus'!$HG$16</f>
        <v>0</v>
      </c>
      <c r="N28" s="20">
        <f>'[3]Air France'!$HG$16</f>
        <v>0</v>
      </c>
      <c r="O28" s="20">
        <f>'[3]Charter Misc'!$HG$16+[3]Ryan!$HG$16+[3]Omni!$HG$16</f>
        <v>0</v>
      </c>
      <c r="P28" s="254">
        <f>SUM(B28:O28)</f>
        <v>271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332</v>
      </c>
      <c r="C30" s="354">
        <f t="shared" si="21"/>
        <v>0</v>
      </c>
      <c r="D30" s="354">
        <f t="shared" si="21"/>
        <v>0</v>
      </c>
      <c r="E30" s="354">
        <f>SUM(E27:E28)</f>
        <v>60</v>
      </c>
      <c r="F30" s="354">
        <f>SUM(F27:F28)</f>
        <v>0</v>
      </c>
      <c r="G30" s="354">
        <f t="shared" si="21"/>
        <v>147</v>
      </c>
      <c r="H30" s="354">
        <f t="shared" si="21"/>
        <v>0</v>
      </c>
      <c r="I30" s="354">
        <f t="shared" ref="I30" si="22">SUM(I27:I28)</f>
        <v>0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0</v>
      </c>
      <c r="O30" s="354">
        <f>SUM(O27:O28)</f>
        <v>0</v>
      </c>
      <c r="P30" s="355">
        <f>SUM(B30:O30)</f>
        <v>539</v>
      </c>
    </row>
    <row r="31" spans="1:19" ht="15" x14ac:dyDescent="0.25">
      <c r="A31" s="356"/>
    </row>
    <row r="32" spans="1:19" ht="39" thickBot="1" x14ac:dyDescent="0.25">
      <c r="B32" s="409" t="s">
        <v>18</v>
      </c>
      <c r="C32" s="466" t="s">
        <v>195</v>
      </c>
      <c r="D32" s="480" t="s">
        <v>157</v>
      </c>
      <c r="E32" s="410" t="s">
        <v>163</v>
      </c>
      <c r="F32" s="410" t="s">
        <v>162</v>
      </c>
      <c r="G32" s="410" t="s">
        <v>49</v>
      </c>
      <c r="H32" s="410" t="s">
        <v>113</v>
      </c>
      <c r="I32" s="410" t="s">
        <v>194</v>
      </c>
      <c r="J32" s="410" t="s">
        <v>191</v>
      </c>
      <c r="K32" s="410" t="s">
        <v>196</v>
      </c>
      <c r="L32" s="410" t="s">
        <v>161</v>
      </c>
      <c r="M32" s="410" t="s">
        <v>211</v>
      </c>
      <c r="N32" s="410" t="s">
        <v>156</v>
      </c>
      <c r="O32" s="410" t="s">
        <v>139</v>
      </c>
      <c r="P32" s="410" t="s">
        <v>21</v>
      </c>
    </row>
    <row r="33" spans="1:16" ht="15" x14ac:dyDescent="0.25">
      <c r="A33" s="593" t="s">
        <v>143</v>
      </c>
      <c r="B33" s="594"/>
      <c r="C33" s="594"/>
      <c r="D33" s="594"/>
      <c r="E33" s="594"/>
      <c r="F33" s="594"/>
      <c r="G33" s="594"/>
      <c r="H33" s="594"/>
      <c r="I33" s="594"/>
      <c r="J33" s="594"/>
      <c r="K33" s="594"/>
      <c r="L33" s="594"/>
      <c r="M33" s="594"/>
      <c r="N33" s="594"/>
      <c r="O33" s="594"/>
      <c r="P33" s="595"/>
    </row>
    <row r="34" spans="1:16" x14ac:dyDescent="0.2">
      <c r="A34" s="60" t="s">
        <v>22</v>
      </c>
      <c r="B34" s="20">
        <f>SUM([3]Delta!$HD$15:$HG$15)</f>
        <v>874</v>
      </c>
      <c r="C34" s="20">
        <f>SUM('[3]Atlantic Southeast'!$HD$15:$HG$15)</f>
        <v>0</v>
      </c>
      <c r="D34" s="20">
        <f>SUM([3]Pinnacle!$HD$15:$HG$15)</f>
        <v>0</v>
      </c>
      <c r="E34" s="20">
        <f>SUM('[3]Sky West'!$HD$15:$HG$15)</f>
        <v>235</v>
      </c>
      <c r="F34" s="20">
        <f>SUM('[3]Go Jet'!$HD$15:$HG$15)</f>
        <v>0</v>
      </c>
      <c r="G34" s="20">
        <f>SUM('[3]Sun Country'!$HD$15:$HG$15)</f>
        <v>511</v>
      </c>
      <c r="H34" s="20">
        <f>SUM([3]Icelandair!$HD$15:$HG$15)</f>
        <v>0</v>
      </c>
      <c r="I34" s="20">
        <f>SUM([3]KLM!$HD$15:$HG$15)</f>
        <v>0</v>
      </c>
      <c r="J34" s="20">
        <f>SUM('[3]Air Georgian'!$HD$15:$HG$15)</f>
        <v>0</v>
      </c>
      <c r="K34" s="20">
        <f>SUM('[3]Sky Regional'!$HD$15:$HG$15)</f>
        <v>0</v>
      </c>
      <c r="L34" s="20">
        <f>SUM([3]Condor!$HD$15:$HG$15)</f>
        <v>0</v>
      </c>
      <c r="M34" s="20">
        <f>SUM('[3]Aer Lingus'!$HD$15:$HG$15)</f>
        <v>0</v>
      </c>
      <c r="N34" s="20">
        <f>SUM('[3]Air France'!$HD$15:$HG$15)</f>
        <v>0</v>
      </c>
      <c r="O34" s="20">
        <f>SUM('[3]Charter Misc'!$HD$15:$HG$15)+SUM([3]Ryan!$HD$15:$HG$15)+SUM([3]Omni!$HD$15:$HG$15)</f>
        <v>0</v>
      </c>
      <c r="P34" s="254">
        <f>SUM(B34:O34)</f>
        <v>1620</v>
      </c>
    </row>
    <row r="35" spans="1:16" x14ac:dyDescent="0.2">
      <c r="A35" s="60" t="s">
        <v>23</v>
      </c>
      <c r="B35" s="20">
        <f>SUM([3]Delta!$HD$16:$HG$16)</f>
        <v>871</v>
      </c>
      <c r="C35" s="20">
        <f>SUM('[3]Atlantic Southeast'!$HD$16:$HG$16)</f>
        <v>0</v>
      </c>
      <c r="D35" s="20">
        <f>SUM([3]Pinnacle!$HD$16:$HG$16)</f>
        <v>0</v>
      </c>
      <c r="E35" s="20">
        <f>SUM('[3]Sky West'!$HD$16:$HG$16)</f>
        <v>203</v>
      </c>
      <c r="F35" s="20">
        <f>SUM('[3]Go Jet'!$HD$16:$HG$16)</f>
        <v>0</v>
      </c>
      <c r="G35" s="20">
        <f>SUM('[3]Sun Country'!$HD$16:$HG$16)</f>
        <v>507</v>
      </c>
      <c r="H35" s="20">
        <f>SUM([3]Icelandair!$HD$16:$HG$16)</f>
        <v>0</v>
      </c>
      <c r="I35" s="20">
        <f>SUM([3]KLM!$HD$16:$HG$16)</f>
        <v>0</v>
      </c>
      <c r="J35" s="20">
        <f>SUM('[3]Air Georgian'!$HD$16:$HG$16)</f>
        <v>0</v>
      </c>
      <c r="K35" s="20">
        <f>SUM('[3]Sky Regional'!$HD$16:$HG$16)</f>
        <v>0</v>
      </c>
      <c r="L35" s="20">
        <f>SUM([3]Condor!$HD$16:$HG$16)</f>
        <v>0</v>
      </c>
      <c r="M35" s="20">
        <f>SUM('[3]Aer Lingus'!$HD$16:$HG$16)</f>
        <v>0</v>
      </c>
      <c r="N35" s="20">
        <f>SUM('[3]Air France'!$HD$16:$HG$16)</f>
        <v>0</v>
      </c>
      <c r="O35" s="20">
        <f>SUM('[3]Charter Misc'!$HD$16:$HG$16)+SUM([3]Ryan!$HD$16:$HG$16)+SUM([3]Omni!$HD$16:$HG$16)</f>
        <v>0</v>
      </c>
      <c r="P35" s="254">
        <f>SUM(B35:O35)</f>
        <v>1581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1745</v>
      </c>
      <c r="C37" s="354">
        <f t="shared" si="24"/>
        <v>0</v>
      </c>
      <c r="D37" s="354">
        <f t="shared" si="24"/>
        <v>0</v>
      </c>
      <c r="E37" s="354">
        <f>+SUM(E34:E35)</f>
        <v>438</v>
      </c>
      <c r="F37" s="354">
        <f>+SUM(F34:F35)</f>
        <v>0</v>
      </c>
      <c r="G37" s="354">
        <f t="shared" si="24"/>
        <v>1018</v>
      </c>
      <c r="H37" s="354">
        <f t="shared" si="24"/>
        <v>0</v>
      </c>
      <c r="I37" s="354">
        <f t="shared" ref="I37" si="25">+SUM(I34:I35)</f>
        <v>0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0</v>
      </c>
      <c r="O37" s="354">
        <f>+SUM(O34:O35)</f>
        <v>0</v>
      </c>
      <c r="P37" s="355">
        <f>SUM(B37:O37)</f>
        <v>3201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&amp;"Arial,Bold"April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Normal="100" zoomScaleSheetLayoutView="85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B83" sqref="B83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199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0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10.28515625" bestFit="1" customWidth="1"/>
    <col min="18" max="18" width="8.285156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4" t="s">
        <v>132</v>
      </c>
      <c r="B1" s="605"/>
      <c r="C1" s="422" t="s">
        <v>232</v>
      </c>
      <c r="D1" s="423" t="s">
        <v>207</v>
      </c>
      <c r="E1" s="240" t="s">
        <v>95</v>
      </c>
      <c r="F1" s="239" t="s">
        <v>233</v>
      </c>
      <c r="G1" s="423" t="s">
        <v>233</v>
      </c>
      <c r="H1" s="238" t="s">
        <v>96</v>
      </c>
      <c r="I1" s="240" t="s">
        <v>234</v>
      </c>
      <c r="J1" s="610" t="s">
        <v>136</v>
      </c>
      <c r="K1" s="611"/>
      <c r="L1" s="420" t="s">
        <v>235</v>
      </c>
      <c r="M1" s="421" t="s">
        <v>209</v>
      </c>
      <c r="N1" s="314" t="s">
        <v>96</v>
      </c>
      <c r="O1" s="449" t="s">
        <v>236</v>
      </c>
      <c r="P1" s="241" t="s">
        <v>210</v>
      </c>
      <c r="Q1" s="445" t="s">
        <v>96</v>
      </c>
      <c r="R1" s="450" t="s">
        <v>234</v>
      </c>
      <c r="S1" s="596" t="s">
        <v>237</v>
      </c>
      <c r="T1" s="597"/>
      <c r="U1" s="522" t="s">
        <v>235</v>
      </c>
      <c r="V1" s="523" t="s">
        <v>209</v>
      </c>
      <c r="W1" s="524" t="s">
        <v>96</v>
      </c>
      <c r="X1" s="525" t="s">
        <v>236</v>
      </c>
      <c r="Y1" s="526" t="s">
        <v>210</v>
      </c>
      <c r="Z1" s="527" t="s">
        <v>96</v>
      </c>
      <c r="AA1" s="528" t="s">
        <v>234</v>
      </c>
    </row>
    <row r="2" spans="1:27" s="198" customFormat="1" ht="13.5" customHeight="1" thickBot="1" x14ac:dyDescent="0.25">
      <c r="A2" s="606">
        <v>44287</v>
      </c>
      <c r="B2" s="607"/>
      <c r="C2" s="608" t="s">
        <v>9</v>
      </c>
      <c r="D2" s="609"/>
      <c r="E2" s="609"/>
      <c r="F2" s="609"/>
      <c r="G2" s="609"/>
      <c r="H2" s="609"/>
      <c r="I2" s="424"/>
      <c r="J2" s="606">
        <f>+A2</f>
        <v>44287</v>
      </c>
      <c r="K2" s="607"/>
      <c r="L2" s="601" t="s">
        <v>138</v>
      </c>
      <c r="M2" s="602"/>
      <c r="N2" s="602"/>
      <c r="O2" s="602"/>
      <c r="P2" s="602"/>
      <c r="Q2" s="602"/>
      <c r="R2" s="603"/>
      <c r="S2" s="579">
        <f>+J2</f>
        <v>44287</v>
      </c>
      <c r="T2" s="580"/>
      <c r="U2" s="598" t="s">
        <v>238</v>
      </c>
      <c r="V2" s="599"/>
      <c r="W2" s="599"/>
      <c r="X2" s="599"/>
      <c r="Y2" s="599"/>
      <c r="Z2" s="599"/>
      <c r="AA2" s="600"/>
    </row>
    <row r="3" spans="1:27" x14ac:dyDescent="0.2">
      <c r="A3" s="315"/>
      <c r="B3" s="316"/>
      <c r="C3" s="317"/>
      <c r="D3" s="318"/>
      <c r="E3" s="319"/>
      <c r="F3" s="384"/>
      <c r="G3" s="385"/>
      <c r="H3" s="442"/>
      <c r="I3" s="319"/>
      <c r="J3" s="320"/>
      <c r="K3" s="316"/>
      <c r="L3" s="451"/>
      <c r="M3" s="5"/>
      <c r="N3" s="83"/>
      <c r="O3" s="315"/>
      <c r="P3" s="321"/>
      <c r="Q3" s="321"/>
      <c r="R3" s="316"/>
      <c r="S3" s="320"/>
      <c r="T3" s="316"/>
      <c r="U3" s="451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7">
        <f>'[3]Aer Lingus'!$HG$19</f>
        <v>0</v>
      </c>
      <c r="D4" s="469">
        <f>'[3]Aer Lingus'!$GS$19</f>
        <v>0</v>
      </c>
      <c r="E4" s="478" t="e">
        <f>(C4-D4)/D4</f>
        <v>#DIV/0!</v>
      </c>
      <c r="F4" s="469">
        <f>SUM('[3]Aer Lingus'!$HD$19:$HG$19)</f>
        <v>0</v>
      </c>
      <c r="G4" s="469">
        <f>SUM('[3]Aer Lingus'!$GP$19:$GS$19)</f>
        <v>88</v>
      </c>
      <c r="H4" s="479">
        <f>(F4-G4)/G4</f>
        <v>-1</v>
      </c>
      <c r="I4" s="478">
        <f>F4/$F$70</f>
        <v>0</v>
      </c>
      <c r="J4" s="322" t="s">
        <v>211</v>
      </c>
      <c r="K4" s="54"/>
      <c r="L4" s="477">
        <f>'[3]Aer Lingus'!$HG$41</f>
        <v>0</v>
      </c>
      <c r="M4" s="469">
        <f>'[3]Aer Lingus'!$GS$41</f>
        <v>0</v>
      </c>
      <c r="N4" s="478" t="e">
        <f>(L4-M4)/M4</f>
        <v>#DIV/0!</v>
      </c>
      <c r="O4" s="477">
        <f>SUM('[3]Aer Lingus'!$HD$41:$HG$41)</f>
        <v>0</v>
      </c>
      <c r="P4" s="469">
        <f>SUM('[3]Aer Lingus'!$GP$41:$GS$41)</f>
        <v>9622</v>
      </c>
      <c r="Q4" s="479">
        <f>(O4-P4)/P4</f>
        <v>-1</v>
      </c>
      <c r="R4" s="478">
        <f>O4/$O$70</f>
        <v>0</v>
      </c>
      <c r="S4" s="322" t="s">
        <v>211</v>
      </c>
      <c r="T4" s="54"/>
      <c r="U4" s="477">
        <f>'[3]Aer Lingus'!$HG$64</f>
        <v>0</v>
      </c>
      <c r="V4" s="469">
        <f>'[3]Aer Lingus'!$GS$64</f>
        <v>0</v>
      </c>
      <c r="W4" s="478" t="e">
        <f>(U4-V4)/V4</f>
        <v>#DIV/0!</v>
      </c>
      <c r="X4" s="477">
        <f>SUM('[3]Aer Lingus'!$HD$64:$HG$64)</f>
        <v>0</v>
      </c>
      <c r="Y4" s="469">
        <f>SUM('[3]Aer Lingus'!$GP$64:$GS$64)</f>
        <v>10341</v>
      </c>
      <c r="Z4" s="479">
        <f>(X4-Y4)/Y4</f>
        <v>-1</v>
      </c>
      <c r="AA4" s="478">
        <f>X4/$X$70</f>
        <v>0</v>
      </c>
    </row>
    <row r="5" spans="1:27" x14ac:dyDescent="0.2">
      <c r="A5" s="52"/>
      <c r="B5" s="54"/>
      <c r="C5" s="451"/>
      <c r="D5" s="5"/>
      <c r="E5" s="83"/>
      <c r="F5" s="475"/>
      <c r="G5" s="9"/>
      <c r="H5" s="36"/>
      <c r="I5" s="83"/>
      <c r="J5" s="476"/>
      <c r="K5" s="54"/>
      <c r="L5" s="451"/>
      <c r="M5" s="5"/>
      <c r="N5" s="83"/>
      <c r="O5" s="52"/>
      <c r="P5" s="11"/>
      <c r="Q5" s="11"/>
      <c r="R5" s="54"/>
      <c r="S5" s="476"/>
      <c r="T5" s="54"/>
      <c r="U5" s="451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SUM(C7:C9)</f>
        <v>0</v>
      </c>
      <c r="D6" s="325">
        <f>SUM(D7:D9)</f>
        <v>0</v>
      </c>
      <c r="E6" s="326" t="e">
        <f>(C6-D6)/D6</f>
        <v>#DIV/0!</v>
      </c>
      <c r="F6" s="323">
        <f>SUM(F7:F9)</f>
        <v>0</v>
      </c>
      <c r="G6" s="325">
        <f>SUM(G7:G9)</f>
        <v>390</v>
      </c>
      <c r="H6" s="324">
        <f>(F6-G6)/G6</f>
        <v>-1</v>
      </c>
      <c r="I6" s="326">
        <f>F6/$F$70</f>
        <v>0</v>
      </c>
      <c r="J6" s="322" t="s">
        <v>98</v>
      </c>
      <c r="K6" s="54"/>
      <c r="L6" s="323">
        <f>SUM(L7:L9)</f>
        <v>0</v>
      </c>
      <c r="M6" s="325">
        <f>SUM(M7:M9)</f>
        <v>0</v>
      </c>
      <c r="N6" s="326" t="e">
        <f>(L6-M6)/M6</f>
        <v>#DIV/0!</v>
      </c>
      <c r="O6" s="323">
        <f>SUM(O7:O9)</f>
        <v>0</v>
      </c>
      <c r="P6" s="325">
        <f>SUM(P7:P9)</f>
        <v>16941</v>
      </c>
      <c r="Q6" s="324">
        <f>(O6-P6)/P6</f>
        <v>-1</v>
      </c>
      <c r="R6" s="326">
        <f>O6/$O$70</f>
        <v>0</v>
      </c>
      <c r="S6" s="322" t="s">
        <v>98</v>
      </c>
      <c r="T6" s="54"/>
      <c r="U6" s="477">
        <f>SUM(U7:U9)</f>
        <v>0</v>
      </c>
      <c r="V6" s="469">
        <f>SUM(V7:V9)</f>
        <v>0</v>
      </c>
      <c r="W6" s="478" t="e">
        <f>(U6-V6)/V6</f>
        <v>#DIV/0!</v>
      </c>
      <c r="X6" s="477">
        <f>SUM(X7:X9)</f>
        <v>0</v>
      </c>
      <c r="Y6" s="469">
        <f>SUM(Y7:Y9)</f>
        <v>4266</v>
      </c>
      <c r="Z6" s="479">
        <f>(X6-Y6)/Y6</f>
        <v>-1</v>
      </c>
      <c r="AA6" s="478">
        <f>X6/$X$70</f>
        <v>0</v>
      </c>
    </row>
    <row r="7" spans="1:27" ht="14.1" customHeight="1" x14ac:dyDescent="0.2">
      <c r="A7" s="322"/>
      <c r="B7" s="397" t="s">
        <v>98</v>
      </c>
      <c r="C7" s="327">
        <f>+[3]AirCanada!$HG$19</f>
        <v>0</v>
      </c>
      <c r="D7" s="9">
        <f>+[3]AirCanada!$GS$19</f>
        <v>0</v>
      </c>
      <c r="E7" s="84" t="e">
        <f>(C7-D7)/D7</f>
        <v>#DIV/0!</v>
      </c>
      <c r="F7" s="267">
        <f>SUM([3]AirCanada!$HD$19:$HG$19)</f>
        <v>0</v>
      </c>
      <c r="G7" s="267">
        <f>SUM([3]AirCanada!$GP$19:$GS$19)</f>
        <v>0</v>
      </c>
      <c r="H7" s="404" t="e">
        <f>(F7-G7)/G7</f>
        <v>#DIV/0!</v>
      </c>
      <c r="I7" s="84">
        <f>F7/$F$70</f>
        <v>0</v>
      </c>
      <c r="J7" s="322"/>
      <c r="K7" s="397" t="s">
        <v>98</v>
      </c>
      <c r="L7" s="403">
        <f>+[3]AirCanada!$HG$41</f>
        <v>0</v>
      </c>
      <c r="M7" s="267">
        <f>+[3]AirCanada!$GS$41</f>
        <v>0</v>
      </c>
      <c r="N7" s="405" t="e">
        <f>(L7-M7)/M7</f>
        <v>#DIV/0!</v>
      </c>
      <c r="O7" s="403">
        <f>SUM([3]AirCanada!$HD$41:$HG$41)</f>
        <v>0</v>
      </c>
      <c r="P7" s="267">
        <f>SUM([3]AirCanada!$GP$41:$GS$41)</f>
        <v>0</v>
      </c>
      <c r="Q7" s="404" t="e">
        <f>(O7-P7)/P7</f>
        <v>#DIV/0!</v>
      </c>
      <c r="R7" s="405">
        <f>O7/$O$70</f>
        <v>0</v>
      </c>
      <c r="S7" s="322"/>
      <c r="T7" s="397" t="s">
        <v>98</v>
      </c>
      <c r="U7" s="509">
        <f>+[3]AirCanada!$HG$64</f>
        <v>0</v>
      </c>
      <c r="V7" s="283">
        <f>+[3]AirCanada!$GS$64</f>
        <v>0</v>
      </c>
      <c r="W7" s="510" t="e">
        <f>(U7-V7)/V7</f>
        <v>#DIV/0!</v>
      </c>
      <c r="X7" s="509">
        <f>SUM([3]AirCanada!$HD$64:$HG$64)</f>
        <v>0</v>
      </c>
      <c r="Y7" s="283">
        <f>SUM([3]AirCanada!$GP$64:$GS$64)</f>
        <v>0</v>
      </c>
      <c r="Z7" s="491" t="e">
        <f>(X7-Y7)/Y7</f>
        <v>#DIV/0!</v>
      </c>
      <c r="AA7" s="510">
        <f>X7/$X$70</f>
        <v>0</v>
      </c>
    </row>
    <row r="8" spans="1:27" ht="14.1" customHeight="1" x14ac:dyDescent="0.2">
      <c r="A8" s="322"/>
      <c r="B8" s="397" t="s">
        <v>164</v>
      </c>
      <c r="C8" s="327">
        <f>'[3]Air Georgian'!$HG$19</f>
        <v>0</v>
      </c>
      <c r="D8" s="9">
        <f>'[3]Air Georgian'!$GS$19</f>
        <v>0</v>
      </c>
      <c r="E8" s="84" t="e">
        <f>(C8-D8)/D8</f>
        <v>#DIV/0!</v>
      </c>
      <c r="F8" s="267">
        <f>SUM('[3]Air Georgian'!$HD$19:$HG$19)</f>
        <v>0</v>
      </c>
      <c r="G8" s="267">
        <f>SUM('[3]Air Georgian'!$GP$19:$GS$19)</f>
        <v>0</v>
      </c>
      <c r="H8" s="404" t="e">
        <f>(F8-G8)/G8</f>
        <v>#DIV/0!</v>
      </c>
      <c r="I8" s="84">
        <f>F8/$F$70</f>
        <v>0</v>
      </c>
      <c r="J8" s="322"/>
      <c r="K8" s="397" t="s">
        <v>164</v>
      </c>
      <c r="L8" s="327">
        <f>'[3]Air Georgian'!$HG$41</f>
        <v>0</v>
      </c>
      <c r="M8" s="9">
        <f>'[3]Air Georgian'!$GS$41</f>
        <v>0</v>
      </c>
      <c r="N8" s="84" t="e">
        <f>(L8-M8)/M8</f>
        <v>#DIV/0!</v>
      </c>
      <c r="O8" s="327">
        <f>SUM('[3]Air Georgian'!$HD$41:$HG$41)</f>
        <v>0</v>
      </c>
      <c r="P8" s="9">
        <f>SUM('[3]Air Georgian'!$GP$41:$GS$41)</f>
        <v>0</v>
      </c>
      <c r="Q8" s="38" t="e">
        <f>(O8-P8)/P8</f>
        <v>#DIV/0!</v>
      </c>
      <c r="R8" s="84">
        <f>O8/$O$70</f>
        <v>0</v>
      </c>
      <c r="S8" s="322"/>
      <c r="T8" s="397" t="s">
        <v>164</v>
      </c>
      <c r="U8" s="451">
        <f>'[3]Air Georgian'!$HG$64</f>
        <v>0</v>
      </c>
      <c r="V8" s="2">
        <f>'[3]Air Georgian'!$GS$64</f>
        <v>0</v>
      </c>
      <c r="W8" s="83" t="e">
        <f>(U8-V8)/V8</f>
        <v>#DIV/0!</v>
      </c>
      <c r="X8" s="451">
        <f>SUM('[3]Air Georgian'!$HD$64:$HG$64)</f>
        <v>0</v>
      </c>
      <c r="Y8" s="2">
        <f>SUM('[3]Air Georgian'!$GP$64:$GS$64)</f>
        <v>0</v>
      </c>
      <c r="Z8" s="3" t="e">
        <f>(X8-Y8)/Y8</f>
        <v>#DIV/0!</v>
      </c>
      <c r="AA8" s="83">
        <f>X8/$X$70</f>
        <v>0</v>
      </c>
    </row>
    <row r="9" spans="1:27" ht="14.1" customHeight="1" x14ac:dyDescent="0.2">
      <c r="A9" s="322"/>
      <c r="B9" s="397" t="s">
        <v>192</v>
      </c>
      <c r="C9" s="327">
        <f>'[3]Sky Regional'!$HG$19</f>
        <v>0</v>
      </c>
      <c r="D9" s="9">
        <f>'[3]Sky Regional'!$GS$19</f>
        <v>0</v>
      </c>
      <c r="E9" s="84" t="e">
        <f>(C9-D9)/D9</f>
        <v>#DIV/0!</v>
      </c>
      <c r="F9" s="267">
        <f>SUM('[3]Sky Regional'!$HD$19:$HG$19)</f>
        <v>0</v>
      </c>
      <c r="G9" s="267">
        <f>SUM('[3]Sky Regional'!$GP$19:$GS$19)</f>
        <v>390</v>
      </c>
      <c r="H9" s="404">
        <f>(F9-G9)/G9</f>
        <v>-1</v>
      </c>
      <c r="I9" s="84">
        <f>F9/$F$70</f>
        <v>0</v>
      </c>
      <c r="J9" s="322"/>
      <c r="K9" s="397" t="s">
        <v>192</v>
      </c>
      <c r="L9" s="327">
        <f>'[3]Sky Regional'!$HG$41</f>
        <v>0</v>
      </c>
      <c r="M9" s="9">
        <f>'[3]Sky Regional'!$GS$41</f>
        <v>0</v>
      </c>
      <c r="N9" s="84" t="e">
        <f>(L9-M9)/M9</f>
        <v>#DIV/0!</v>
      </c>
      <c r="O9" s="327">
        <f>SUM('[3]Sky Regional'!$HD$41:$HG$41)</f>
        <v>0</v>
      </c>
      <c r="P9" s="9">
        <f>SUM('[3]Sky Regional'!$GP$41:$GS$41)</f>
        <v>16941</v>
      </c>
      <c r="Q9" s="38">
        <f>(O9-P9)/P9</f>
        <v>-1</v>
      </c>
      <c r="R9" s="84">
        <f>O9/$O$70</f>
        <v>0</v>
      </c>
      <c r="S9" s="322"/>
      <c r="T9" s="397" t="s">
        <v>192</v>
      </c>
      <c r="U9" s="451">
        <f>'[3]Sky Regional'!$HG$64</f>
        <v>0</v>
      </c>
      <c r="V9" s="2">
        <f>'[3]Sky Regional'!$GS$64</f>
        <v>0</v>
      </c>
      <c r="W9" s="83" t="e">
        <f>(U9-V9)/V9</f>
        <v>#DIV/0!</v>
      </c>
      <c r="X9" s="451">
        <f>SUM('[3]Sky Regional'!$HD$64:$HG$64)</f>
        <v>0</v>
      </c>
      <c r="Y9" s="2">
        <f>SUM('[3]Sky Regional'!$GP$64:$GS$64)</f>
        <v>4266</v>
      </c>
      <c r="Z9" s="3">
        <f>(X9-Y9)/Y9</f>
        <v>-1</v>
      </c>
      <c r="AA9" s="83">
        <f>X9/$X$70</f>
        <v>0</v>
      </c>
    </row>
    <row r="10" spans="1:27" ht="14.1" customHeight="1" x14ac:dyDescent="0.2">
      <c r="A10" s="322"/>
      <c r="B10" s="54"/>
      <c r="C10" s="323"/>
      <c r="D10" s="325"/>
      <c r="E10" s="326"/>
      <c r="F10" s="325"/>
      <c r="G10" s="325"/>
      <c r="H10" s="324"/>
      <c r="I10" s="326"/>
      <c r="J10" s="322"/>
      <c r="K10" s="54"/>
      <c r="L10" s="327"/>
      <c r="M10" s="9"/>
      <c r="N10" s="84"/>
      <c r="O10" s="327"/>
      <c r="P10" s="9"/>
      <c r="Q10" s="38"/>
      <c r="R10" s="84"/>
      <c r="S10" s="322"/>
      <c r="T10" s="54"/>
      <c r="U10" s="451"/>
      <c r="V10" s="2"/>
      <c r="W10" s="83"/>
      <c r="X10" s="451"/>
      <c r="Y10" s="2"/>
      <c r="Z10" s="3"/>
      <c r="AA10" s="83"/>
    </row>
    <row r="11" spans="1:27" ht="14.1" customHeight="1" x14ac:dyDescent="0.2">
      <c r="A11" s="322" t="s">
        <v>178</v>
      </c>
      <c r="B11" s="54"/>
      <c r="C11" s="323">
        <f>'[3]Air Choice One'!$HG$19</f>
        <v>0</v>
      </c>
      <c r="D11" s="325">
        <f>'[3]Air Choice One'!$GS$19</f>
        <v>186</v>
      </c>
      <c r="E11" s="326">
        <f>(C11-D11)/D11</f>
        <v>-1</v>
      </c>
      <c r="F11" s="325">
        <f>SUM('[3]Air Choice One'!$HD$19:$HG$19)</f>
        <v>264</v>
      </c>
      <c r="G11" s="325">
        <f>SUM('[3]Air Choice One'!$GP$19:$GS$19)</f>
        <v>742</v>
      </c>
      <c r="H11" s="324">
        <f>(F11-G11)/G11</f>
        <v>-0.64420485175202158</v>
      </c>
      <c r="I11" s="326">
        <f>F11/$F$70</f>
        <v>3.3900916865706142E-3</v>
      </c>
      <c r="J11" s="322" t="s">
        <v>178</v>
      </c>
      <c r="K11" s="54"/>
      <c r="L11" s="323">
        <f>'[3]Air Choice One'!$HG$41</f>
        <v>0</v>
      </c>
      <c r="M11" s="325">
        <f>'[3]Air Choice One'!$GS$41</f>
        <v>102</v>
      </c>
      <c r="N11" s="326">
        <f>(L11-M11)/M11</f>
        <v>-1</v>
      </c>
      <c r="O11" s="323">
        <f>SUM('[3]Air Choice One'!$HD$41:$HG$41)</f>
        <v>471</v>
      </c>
      <c r="P11" s="325">
        <f>SUM('[3]Air Choice One'!$GP$41:$GS$41)</f>
        <v>1997</v>
      </c>
      <c r="Q11" s="324">
        <f>(O11-P11)/P11</f>
        <v>-0.76414621932899351</v>
      </c>
      <c r="R11" s="326">
        <f>O11/$O$70</f>
        <v>8.6652115489056438E-5</v>
      </c>
      <c r="S11" s="322" t="s">
        <v>178</v>
      </c>
      <c r="T11" s="54"/>
      <c r="U11" s="477">
        <f>'[3]Air Choice One'!$HG$64</f>
        <v>0</v>
      </c>
      <c r="V11" s="469">
        <f>'[3]Air Choice One'!$GS$64</f>
        <v>0</v>
      </c>
      <c r="W11" s="478" t="e">
        <f>(U11-V11)/V11</f>
        <v>#DIV/0!</v>
      </c>
      <c r="X11" s="477">
        <f>SUM('[3]Air Choice One'!$HD$64:$HG$64)</f>
        <v>0</v>
      </c>
      <c r="Y11" s="469">
        <f>SUM('[3]Air Choice One'!$GP$64:$GS$64)</f>
        <v>0</v>
      </c>
      <c r="Z11" s="479" t="e">
        <f>(X11-Y11)/Y11</f>
        <v>#DIV/0!</v>
      </c>
      <c r="AA11" s="478">
        <f>X11/$X$70</f>
        <v>0</v>
      </c>
    </row>
    <row r="12" spans="1:27" ht="14.1" customHeight="1" x14ac:dyDescent="0.2">
      <c r="A12" s="322"/>
      <c r="B12" s="54"/>
      <c r="C12" s="323"/>
      <c r="D12" s="325"/>
      <c r="E12" s="326"/>
      <c r="F12" s="325"/>
      <c r="G12" s="325"/>
      <c r="H12" s="324"/>
      <c r="I12" s="326"/>
      <c r="J12" s="322"/>
      <c r="K12" s="54"/>
      <c r="L12" s="327"/>
      <c r="M12" s="9"/>
      <c r="N12" s="84"/>
      <c r="O12" s="327"/>
      <c r="P12" s="9"/>
      <c r="Q12" s="38"/>
      <c r="R12" s="84"/>
      <c r="S12" s="322"/>
      <c r="T12" s="54"/>
      <c r="U12" s="451"/>
      <c r="V12" s="2"/>
      <c r="W12" s="83"/>
      <c r="X12" s="451"/>
      <c r="Y12" s="2"/>
      <c r="Z12" s="3"/>
      <c r="AA12" s="83"/>
    </row>
    <row r="13" spans="1:27" ht="14.1" customHeight="1" x14ac:dyDescent="0.2">
      <c r="A13" s="322" t="s">
        <v>156</v>
      </c>
      <c r="B13" s="54"/>
      <c r="C13" s="323">
        <f>'[3]Air France'!$HG$19</f>
        <v>0</v>
      </c>
      <c r="D13" s="325">
        <f>'[3]Air France'!$GS$19</f>
        <v>0</v>
      </c>
      <c r="E13" s="326" t="e">
        <f>(C13-D13)/D13</f>
        <v>#DIV/0!</v>
      </c>
      <c r="F13" s="325">
        <f>SUM('[3]Air France'!$HD$19:$HG$19)</f>
        <v>0</v>
      </c>
      <c r="G13" s="325">
        <f>SUM('[3]Air France'!$GP$19:$GS$19)</f>
        <v>0</v>
      </c>
      <c r="H13" s="324" t="e">
        <f>(F13-G13)/G13</f>
        <v>#DIV/0!</v>
      </c>
      <c r="I13" s="326">
        <f>F13/$F$70</f>
        <v>0</v>
      </c>
      <c r="J13" s="322" t="s">
        <v>156</v>
      </c>
      <c r="K13" s="54"/>
      <c r="L13" s="323">
        <f>'[3]Air France'!$HG$41</f>
        <v>0</v>
      </c>
      <c r="M13" s="325">
        <f>'[3]Air France'!$GS$41</f>
        <v>0</v>
      </c>
      <c r="N13" s="326" t="e">
        <f>(L13-M13)/M13</f>
        <v>#DIV/0!</v>
      </c>
      <c r="O13" s="323">
        <f>SUM('[3]Air France'!$HD$41:$HG$41)</f>
        <v>0</v>
      </c>
      <c r="P13" s="325">
        <f>SUM('[3]Air France'!$GP$41:$GS$41)</f>
        <v>0</v>
      </c>
      <c r="Q13" s="324" t="e">
        <f>(O13-P13)/P13</f>
        <v>#DIV/0!</v>
      </c>
      <c r="R13" s="326">
        <f>O13/$O$70</f>
        <v>0</v>
      </c>
      <c r="S13" s="322" t="s">
        <v>156</v>
      </c>
      <c r="T13" s="54"/>
      <c r="U13" s="477">
        <f>'[3]Air France'!$HG$64</f>
        <v>0</v>
      </c>
      <c r="V13" s="469">
        <f>'[3]Air France'!$GS$64</f>
        <v>0</v>
      </c>
      <c r="W13" s="478" t="e">
        <f>(U13-V13)/V13</f>
        <v>#DIV/0!</v>
      </c>
      <c r="X13" s="477">
        <f>SUM('[3]Air France'!$HD$64:$HG$64)</f>
        <v>0</v>
      </c>
      <c r="Y13" s="469">
        <f>SUM('[3]Air France'!$GP$64:$GS$64)</f>
        <v>0</v>
      </c>
      <c r="Z13" s="479" t="e">
        <f>(X13-Y13)/Y13</f>
        <v>#DIV/0!</v>
      </c>
      <c r="AA13" s="478">
        <f>X13/$X$70</f>
        <v>0</v>
      </c>
    </row>
    <row r="14" spans="1:27" ht="14.1" customHeight="1" x14ac:dyDescent="0.2">
      <c r="A14" s="322"/>
      <c r="B14" s="54"/>
      <c r="C14" s="323"/>
      <c r="D14" s="325"/>
      <c r="E14" s="326"/>
      <c r="F14" s="325"/>
      <c r="G14" s="325"/>
      <c r="H14" s="324"/>
      <c r="I14" s="326"/>
      <c r="J14" s="322"/>
      <c r="K14" s="54"/>
      <c r="L14" s="327"/>
      <c r="M14" s="9"/>
      <c r="N14" s="84"/>
      <c r="O14" s="327"/>
      <c r="P14" s="9"/>
      <c r="Q14" s="38"/>
      <c r="R14" s="84"/>
      <c r="S14" s="322"/>
      <c r="T14" s="54"/>
      <c r="U14" s="451"/>
      <c r="V14" s="2"/>
      <c r="W14" s="83"/>
      <c r="X14" s="451"/>
      <c r="Y14" s="2"/>
      <c r="Z14" s="3"/>
      <c r="AA14" s="83"/>
    </row>
    <row r="15" spans="1:27" ht="14.1" customHeight="1" x14ac:dyDescent="0.2">
      <c r="A15" s="322" t="s">
        <v>128</v>
      </c>
      <c r="B15" s="54"/>
      <c r="C15" s="323">
        <f>SUM(C16:C18)</f>
        <v>164</v>
      </c>
      <c r="D15" s="325">
        <f>SUM(D16:D18)</f>
        <v>97</v>
      </c>
      <c r="E15" s="326">
        <f>(C15-D15)/D15</f>
        <v>0.69072164948453607</v>
      </c>
      <c r="F15" s="325">
        <f>SUM(F16:F18)</f>
        <v>433</v>
      </c>
      <c r="G15" s="325">
        <f>SUM(G16:G18)</f>
        <v>579</v>
      </c>
      <c r="H15" s="324">
        <f>(F15-G15)/G15</f>
        <v>-0.25215889464594127</v>
      </c>
      <c r="I15" s="326">
        <f>F15/$F$70</f>
        <v>5.5602640162313484E-3</v>
      </c>
      <c r="J15" s="322" t="s">
        <v>128</v>
      </c>
      <c r="K15" s="54"/>
      <c r="L15" s="323">
        <f>SUM(L16:L18)</f>
        <v>18530</v>
      </c>
      <c r="M15" s="325">
        <f>SUM(M16:M18)</f>
        <v>1344</v>
      </c>
      <c r="N15" s="326">
        <f>(L15-M15)/M15</f>
        <v>12.787202380952381</v>
      </c>
      <c r="O15" s="323">
        <f>SUM(O16:O18)</f>
        <v>42208</v>
      </c>
      <c r="P15" s="325">
        <f>SUM(P16:P18)</f>
        <v>45164</v>
      </c>
      <c r="Q15" s="324">
        <f>(O15-P15)/P15</f>
        <v>-6.5450358692764152E-2</v>
      </c>
      <c r="R15" s="326">
        <f>O15/$O$70</f>
        <v>7.7652069863314108E-3</v>
      </c>
      <c r="S15" s="322" t="s">
        <v>128</v>
      </c>
      <c r="T15" s="54"/>
      <c r="U15" s="477">
        <f>SUM(U16:U18)</f>
        <v>52120</v>
      </c>
      <c r="V15" s="469">
        <f>SUM(V16:V18)</f>
        <v>20711</v>
      </c>
      <c r="W15" s="478">
        <f>(U15-V15)/V15</f>
        <v>1.5165371058857613</v>
      </c>
      <c r="X15" s="477">
        <f>SUM(X16:X18)</f>
        <v>119121</v>
      </c>
      <c r="Y15" s="469">
        <f>SUM(Y16:Y18)</f>
        <v>87926</v>
      </c>
      <c r="Z15" s="479">
        <f>(X15-Y15)/Y15</f>
        <v>0.35478697996042124</v>
      </c>
      <c r="AA15" s="478">
        <f>X15/$X$70</f>
        <v>7.8090808516284469E-3</v>
      </c>
    </row>
    <row r="16" spans="1:27" ht="14.1" customHeight="1" x14ac:dyDescent="0.2">
      <c r="A16" s="322"/>
      <c r="B16" s="397" t="s">
        <v>128</v>
      </c>
      <c r="C16" s="403">
        <f>[3]Alaska!$HG$19</f>
        <v>112</v>
      </c>
      <c r="D16" s="267">
        <f>[3]Alaska!$GS$19</f>
        <v>93</v>
      </c>
      <c r="E16" s="405">
        <f>(C16-D16)/D16</f>
        <v>0.20430107526881722</v>
      </c>
      <c r="F16" s="267">
        <f>SUM([3]Alaska!$HD$19:$HG$19)</f>
        <v>381</v>
      </c>
      <c r="G16" s="267">
        <f>SUM([3]Alaska!$GP$19:$GS$19)</f>
        <v>413</v>
      </c>
      <c r="H16" s="404">
        <f>(F16-G16)/G16</f>
        <v>-7.7481840193704604E-2</v>
      </c>
      <c r="I16" s="405">
        <f>F16/$F$70</f>
        <v>4.8925186840280454E-3</v>
      </c>
      <c r="J16" s="322"/>
      <c r="K16" s="397" t="s">
        <v>128</v>
      </c>
      <c r="L16" s="403">
        <f>[3]Alaska!$HG$41</f>
        <v>15024</v>
      </c>
      <c r="M16" s="267">
        <f>[3]Alaska!$GS$41</f>
        <v>1298</v>
      </c>
      <c r="N16" s="405">
        <f>(L16-M16)/M16</f>
        <v>10.574730354391372</v>
      </c>
      <c r="O16" s="403">
        <f>SUM([3]Alaska!$HD$41:$HG$41)</f>
        <v>38702</v>
      </c>
      <c r="P16" s="267">
        <f>SUM([3]Alaska!$GP$41:$GS$41)</f>
        <v>34953</v>
      </c>
      <c r="Q16" s="404">
        <f>(O16-P16)/P16</f>
        <v>0.10725831831316339</v>
      </c>
      <c r="R16" s="405">
        <f>O16/$O$70</f>
        <v>7.1201914515020438E-3</v>
      </c>
      <c r="S16" s="322"/>
      <c r="T16" s="397" t="s">
        <v>128</v>
      </c>
      <c r="U16" s="509">
        <f>[3]Alaska!$HG$64</f>
        <v>46754</v>
      </c>
      <c r="V16" s="283">
        <f>[3]Alaska!$GS$64</f>
        <v>20711</v>
      </c>
      <c r="W16" s="510">
        <f>(U16-V16)/V16</f>
        <v>1.2574477330886968</v>
      </c>
      <c r="X16" s="509">
        <f>SUM([3]Alaska!$HD$64:$HG$64)</f>
        <v>113755</v>
      </c>
      <c r="Y16" s="283">
        <f>SUM([3]Alaska!$GP$64:$GS$64)</f>
        <v>79530</v>
      </c>
      <c r="Z16" s="491">
        <f>(X16-Y16)/Y16</f>
        <v>0.43034075191751542</v>
      </c>
      <c r="AA16" s="510">
        <f>X16/$X$70</f>
        <v>7.4573080504444561E-3</v>
      </c>
    </row>
    <row r="17" spans="1:27" ht="14.1" customHeight="1" x14ac:dyDescent="0.2">
      <c r="A17" s="322"/>
      <c r="B17" s="397" t="s">
        <v>97</v>
      </c>
      <c r="C17" s="327">
        <f>'[3]Sky West_AS'!$HG$19</f>
        <v>0</v>
      </c>
      <c r="D17" s="9">
        <f>'[3]Sky West_AS'!$GS$19</f>
        <v>0</v>
      </c>
      <c r="E17" s="84" t="e">
        <f>(C17-D17)/D17</f>
        <v>#DIV/0!</v>
      </c>
      <c r="F17" s="9">
        <f>SUM('[3]Sky West_AS'!$HD$19:$HG$19)</f>
        <v>0</v>
      </c>
      <c r="G17" s="9">
        <f>SUM('[3]Sky West_AS'!$GP$19:$GS$19)</f>
        <v>0</v>
      </c>
      <c r="H17" s="38" t="e">
        <f>(F17-G17)/G17</f>
        <v>#DIV/0!</v>
      </c>
      <c r="I17" s="84">
        <f>F17/$F$70</f>
        <v>0</v>
      </c>
      <c r="J17" s="322"/>
      <c r="K17" s="397" t="s">
        <v>97</v>
      </c>
      <c r="L17" s="327">
        <f>'[3]Sky West_AS'!$HG$41</f>
        <v>0</v>
      </c>
      <c r="M17" s="9">
        <f>'[3]Sky West_AS'!$GS$41</f>
        <v>0</v>
      </c>
      <c r="N17" s="84" t="e">
        <f>(L17-M17)/M17</f>
        <v>#DIV/0!</v>
      </c>
      <c r="O17" s="327">
        <f>SUM('[3]Sky West_AS'!$HD$41:$HG$41)</f>
        <v>0</v>
      </c>
      <c r="P17" s="9">
        <f>SUM('[3]Sky West_AS'!$GP$41:$GS$41)</f>
        <v>0</v>
      </c>
      <c r="Q17" s="38" t="e">
        <f>(O17-P17)/P17</f>
        <v>#DIV/0!</v>
      </c>
      <c r="R17" s="405">
        <f>O17/$O$70</f>
        <v>0</v>
      </c>
      <c r="S17" s="322"/>
      <c r="T17" s="397" t="s">
        <v>97</v>
      </c>
      <c r="U17" s="451">
        <f>'[3]Sky West_AS'!$HG$64</f>
        <v>0</v>
      </c>
      <c r="V17" s="2">
        <f>'[3]Sky West_AS'!$GS$64</f>
        <v>0</v>
      </c>
      <c r="W17" s="83" t="e">
        <f>(U17-V17)/V17</f>
        <v>#DIV/0!</v>
      </c>
      <c r="X17" s="451">
        <f>SUM('[3]Sky West_AS'!$HD$64:$HG$64)</f>
        <v>0</v>
      </c>
      <c r="Y17" s="2">
        <f>SUM('[3]Sky West_AS'!$GP$64:$GS$64)</f>
        <v>0</v>
      </c>
      <c r="Z17" s="3" t="e">
        <f>(X17-Y17)/Y17</f>
        <v>#DIV/0!</v>
      </c>
      <c r="AA17" s="510">
        <f>X17/$X$70</f>
        <v>0</v>
      </c>
    </row>
    <row r="18" spans="1:27" ht="14.1" customHeight="1" x14ac:dyDescent="0.2">
      <c r="A18" s="322"/>
      <c r="B18" s="397" t="s">
        <v>193</v>
      </c>
      <c r="C18" s="327">
        <f>[3]Horizon_AS!$HG$19</f>
        <v>52</v>
      </c>
      <c r="D18" s="9">
        <f>[3]Horizon_AS!$GS$19</f>
        <v>4</v>
      </c>
      <c r="E18" s="84">
        <f>(C18-D18)/D18</f>
        <v>12</v>
      </c>
      <c r="F18" s="9">
        <f>SUM([3]Horizon_AS!$HD$19:$HG$19)</f>
        <v>52</v>
      </c>
      <c r="G18" s="9">
        <f>SUM([3]Horizon_AS!$GP$19:$GS$19)</f>
        <v>166</v>
      </c>
      <c r="H18" s="38">
        <f>(F18-G18)/G18</f>
        <v>-0.68674698795180722</v>
      </c>
      <c r="I18" s="84">
        <f>F18/$F$70</f>
        <v>6.6774533220330281E-4</v>
      </c>
      <c r="J18" s="322"/>
      <c r="K18" s="397" t="s">
        <v>193</v>
      </c>
      <c r="L18" s="327">
        <f>[3]Horizon_AS!$HG$41</f>
        <v>3506</v>
      </c>
      <c r="M18" s="9">
        <f>[3]Horizon_AS!$GS$41</f>
        <v>46</v>
      </c>
      <c r="N18" s="84">
        <f>(L18-M18)/M18</f>
        <v>75.217391304347828</v>
      </c>
      <c r="O18" s="327">
        <f>SUM([3]Horizon_AS!$HD$41:$HG$41)</f>
        <v>3506</v>
      </c>
      <c r="P18" s="9">
        <f>SUM([3]Horizon_AS!$GP$41:$GS$41)</f>
        <v>10211</v>
      </c>
      <c r="Q18" s="38">
        <f>(O18-P18)/P18</f>
        <v>-0.65664479482910587</v>
      </c>
      <c r="R18" s="405">
        <f>O18/$O$70</f>
        <v>6.4501553482936708E-4</v>
      </c>
      <c r="S18" s="322"/>
      <c r="T18" s="397" t="s">
        <v>193</v>
      </c>
      <c r="U18" s="451">
        <f>[3]Horizon_AS!$HG$64</f>
        <v>5366</v>
      </c>
      <c r="V18" s="2">
        <f>[3]Horizon_AS!$GS$64</f>
        <v>0</v>
      </c>
      <c r="W18" s="83" t="e">
        <f>(U18-V18)/V18</f>
        <v>#DIV/0!</v>
      </c>
      <c r="X18" s="451">
        <f>SUM([3]Horizon_AS!$HD$64:$HG$64)</f>
        <v>5366</v>
      </c>
      <c r="Y18" s="2">
        <f>SUM([3]Horizon_AS!$GP$64:$GS$64)</f>
        <v>8396</v>
      </c>
      <c r="Z18" s="3">
        <f>(X18-Y18)/Y18</f>
        <v>-0.3608861362553597</v>
      </c>
      <c r="AA18" s="510">
        <f>X18/$X$70</f>
        <v>3.5177280118399147E-4</v>
      </c>
    </row>
    <row r="19" spans="1:27" ht="14.1" customHeight="1" x14ac:dyDescent="0.2">
      <c r="A19" s="322"/>
      <c r="B19" s="54"/>
      <c r="C19" s="323"/>
      <c r="D19" s="328"/>
      <c r="E19" s="326"/>
      <c r="F19" s="328"/>
      <c r="G19" s="328"/>
      <c r="H19" s="324"/>
      <c r="I19" s="326"/>
      <c r="J19" s="322"/>
      <c r="K19" s="54"/>
      <c r="L19" s="329"/>
      <c r="M19" s="144"/>
      <c r="N19" s="84"/>
      <c r="O19" s="329"/>
      <c r="P19" s="144"/>
      <c r="Q19" s="38"/>
      <c r="R19" s="84"/>
      <c r="S19" s="322"/>
      <c r="T19" s="54"/>
      <c r="U19" s="167"/>
      <c r="V19" s="128"/>
      <c r="W19" s="83"/>
      <c r="X19" s="167"/>
      <c r="Y19" s="128"/>
      <c r="Z19" s="3"/>
      <c r="AA19" s="83"/>
    </row>
    <row r="20" spans="1:27" ht="14.1" customHeight="1" x14ac:dyDescent="0.2">
      <c r="A20" s="322" t="s">
        <v>17</v>
      </c>
      <c r="B20" s="335"/>
      <c r="C20" s="323">
        <f>SUM(C21:C27)</f>
        <v>997</v>
      </c>
      <c r="D20" s="325">
        <f>SUM(D21:D27)</f>
        <v>536</v>
      </c>
      <c r="E20" s="326">
        <f t="shared" ref="E20:E27" si="0">(C20-D20)/D20</f>
        <v>0.8600746268656716</v>
      </c>
      <c r="F20" s="323">
        <f>SUM(F21:F27)</f>
        <v>3134</v>
      </c>
      <c r="G20" s="325">
        <f>SUM(G21:G27)</f>
        <v>4833</v>
      </c>
      <c r="H20" s="324">
        <f t="shared" ref="H20:H27" si="1">(F20-G20)/G20</f>
        <v>-0.35154148561969789</v>
      </c>
      <c r="I20" s="326">
        <f t="shared" ref="I20:I27" si="2">F20/$F$70</f>
        <v>4.0244497521637515E-2</v>
      </c>
      <c r="J20" s="322" t="s">
        <v>17</v>
      </c>
      <c r="K20" s="330"/>
      <c r="L20" s="323">
        <f>SUM(L21:L27)</f>
        <v>101576</v>
      </c>
      <c r="M20" s="325">
        <f>SUM(M21:M27)</f>
        <v>10550</v>
      </c>
      <c r="N20" s="326">
        <f t="shared" ref="N20:N27" si="3">(L20-M20)/M20</f>
        <v>8.6280568720379147</v>
      </c>
      <c r="O20" s="323">
        <f>SUM(O21:O27)</f>
        <v>300486</v>
      </c>
      <c r="P20" s="325">
        <f>SUM(P21:P27)</f>
        <v>380783</v>
      </c>
      <c r="Q20" s="324">
        <f t="shared" ref="Q20:Q27" si="4">(O20-P20)/P20</f>
        <v>-0.21087338457861826</v>
      </c>
      <c r="R20" s="326">
        <f t="shared" ref="R20:R27" si="5">O20/$O$70</f>
        <v>5.5281841984808101E-2</v>
      </c>
      <c r="S20" s="322" t="s">
        <v>17</v>
      </c>
      <c r="T20" s="330"/>
      <c r="U20" s="477">
        <f>SUM(U21:U27)</f>
        <v>218014</v>
      </c>
      <c r="V20" s="469">
        <f>SUM(V21:V27)</f>
        <v>170266</v>
      </c>
      <c r="W20" s="478">
        <f t="shared" ref="W20:W24" si="6">(U20-V20)/V20</f>
        <v>0.28043179495612747</v>
      </c>
      <c r="X20" s="477">
        <f>SUM(X21:X27)</f>
        <v>645704</v>
      </c>
      <c r="Y20" s="469">
        <f>SUM(Y21:Y27)</f>
        <v>689171</v>
      </c>
      <c r="Z20" s="479">
        <f t="shared" ref="Z20:Z24" si="7">(X20-Y20)/Y20</f>
        <v>-6.3071429296937917E-2</v>
      </c>
      <c r="AA20" s="478">
        <f t="shared" ref="AA20:AA27" si="8">X20/$X$70</f>
        <v>4.2329687815077906E-2</v>
      </c>
    </row>
    <row r="21" spans="1:27" ht="14.1" customHeight="1" x14ac:dyDescent="0.2">
      <c r="A21" s="52"/>
      <c r="B21" s="332" t="s">
        <v>17</v>
      </c>
      <c r="C21" s="327">
        <f>[3]American!$HG$19</f>
        <v>731</v>
      </c>
      <c r="D21" s="9">
        <f>[3]American!$GS$19</f>
        <v>371</v>
      </c>
      <c r="E21" s="84">
        <f t="shared" si="0"/>
        <v>0.9703504043126685</v>
      </c>
      <c r="F21" s="9">
        <f>SUM([3]American!$HD$19:$HG$19)</f>
        <v>1983</v>
      </c>
      <c r="G21" s="9">
        <f>SUM([3]American!$GP$19:$GS$19)</f>
        <v>2901</v>
      </c>
      <c r="H21" s="38">
        <f t="shared" si="1"/>
        <v>-0.31644260599793173</v>
      </c>
      <c r="I21" s="84">
        <f t="shared" si="2"/>
        <v>2.5464211418445182E-2</v>
      </c>
      <c r="J21" s="52"/>
      <c r="K21" s="331" t="s">
        <v>17</v>
      </c>
      <c r="L21" s="327">
        <f>[3]American!$HG$41</f>
        <v>86047</v>
      </c>
      <c r="M21" s="9">
        <f>[3]American!$GS$41</f>
        <v>9119</v>
      </c>
      <c r="N21" s="84">
        <f t="shared" si="3"/>
        <v>8.4360127206930589</v>
      </c>
      <c r="O21" s="327">
        <f>SUM([3]American!$HD$41:$HG$41)</f>
        <v>233117</v>
      </c>
      <c r="P21" s="9">
        <f>SUM([3]American!$GP$41:$GS$41)</f>
        <v>294150</v>
      </c>
      <c r="Q21" s="38">
        <f t="shared" si="4"/>
        <v>-0.20748937616862145</v>
      </c>
      <c r="R21" s="84">
        <f t="shared" si="5"/>
        <v>4.2887645873593144E-2</v>
      </c>
      <c r="S21" s="52"/>
      <c r="T21" s="54" t="s">
        <v>17</v>
      </c>
      <c r="U21" s="451">
        <f>[3]American!$HG$64</f>
        <v>217341</v>
      </c>
      <c r="V21" s="2">
        <f>[3]American!$GS$64</f>
        <v>169911</v>
      </c>
      <c r="W21" s="83">
        <f t="shared" si="6"/>
        <v>0.27914614121510672</v>
      </c>
      <c r="X21" s="451">
        <f>SUM([3]American!$HD$64:$HG$64)</f>
        <v>640223</v>
      </c>
      <c r="Y21" s="2">
        <f>SUM([3]American!$GP$64:$GS$64)</f>
        <v>685784</v>
      </c>
      <c r="Z21" s="3">
        <f t="shared" si="7"/>
        <v>-6.6436370635652039E-2</v>
      </c>
      <c r="AA21" s="83">
        <f t="shared" si="8"/>
        <v>4.1970376088784678E-2</v>
      </c>
    </row>
    <row r="22" spans="1:27" ht="14.1" customHeight="1" x14ac:dyDescent="0.2">
      <c r="A22" s="52"/>
      <c r="B22" s="398" t="s">
        <v>165</v>
      </c>
      <c r="C22" s="327">
        <f>'[3]American Eagle'!$HG$19</f>
        <v>50</v>
      </c>
      <c r="D22" s="9">
        <f>'[3]American Eagle'!$GS$19</f>
        <v>42</v>
      </c>
      <c r="E22" s="84">
        <f t="shared" si="0"/>
        <v>0.19047619047619047</v>
      </c>
      <c r="F22" s="9">
        <f>SUM('[3]American Eagle'!$HD$19:$HG$19)</f>
        <v>732</v>
      </c>
      <c r="G22" s="9">
        <f>SUM('[3]American Eagle'!$GP$19:$GS$19)</f>
        <v>488</v>
      </c>
      <c r="H22" s="38">
        <f t="shared" si="1"/>
        <v>0.5</v>
      </c>
      <c r="I22" s="84">
        <f t="shared" si="2"/>
        <v>9.3997996764003389E-3</v>
      </c>
      <c r="J22" s="52"/>
      <c r="K22" s="396" t="s">
        <v>165</v>
      </c>
      <c r="L22" s="327">
        <f>'[3]American Eagle'!$HG$41</f>
        <v>3466</v>
      </c>
      <c r="M22" s="9">
        <f>'[3]American Eagle'!$GS$41</f>
        <v>699</v>
      </c>
      <c r="N22" s="84">
        <f t="shared" si="3"/>
        <v>3.9585121602288984</v>
      </c>
      <c r="O22" s="327">
        <f>SUM('[3]American Eagle'!$HD$41:$HG$41)</f>
        <v>45944</v>
      </c>
      <c r="P22" s="9">
        <f>SUM('[3]American Eagle'!$GP$41:$GS$41)</f>
        <v>27366</v>
      </c>
      <c r="Q22" s="38">
        <f t="shared" si="4"/>
        <v>0.67887159248702766</v>
      </c>
      <c r="R22" s="84">
        <f t="shared" si="5"/>
        <v>8.4525367176840963E-3</v>
      </c>
      <c r="S22" s="52"/>
      <c r="T22" s="397" t="s">
        <v>165</v>
      </c>
      <c r="U22" s="451">
        <f>'[3]American Eagle'!$HG$64</f>
        <v>276</v>
      </c>
      <c r="V22" s="2">
        <f>'[3]American Eagle'!$GS$64</f>
        <v>0</v>
      </c>
      <c r="W22" s="83" t="e">
        <f t="shared" si="6"/>
        <v>#DIV/0!</v>
      </c>
      <c r="X22" s="451">
        <f>SUM('[3]American Eagle'!$HD$64:$HG$64)</f>
        <v>4213</v>
      </c>
      <c r="Y22" s="2">
        <f>SUM('[3]American Eagle'!$GP$64:$GS$64)</f>
        <v>917</v>
      </c>
      <c r="Z22" s="3">
        <f t="shared" si="7"/>
        <v>3.5943293347873499</v>
      </c>
      <c r="AA22" s="83">
        <f t="shared" si="8"/>
        <v>2.7618688248008872E-4</v>
      </c>
    </row>
    <row r="23" spans="1:27" ht="14.1" customHeight="1" x14ac:dyDescent="0.2">
      <c r="A23" s="52"/>
      <c r="B23" s="398" t="s">
        <v>52</v>
      </c>
      <c r="C23" s="327">
        <f>[3]Republic!$HG$19</f>
        <v>64</v>
      </c>
      <c r="D23" s="9">
        <f>[3]Republic!$GS$19</f>
        <v>123</v>
      </c>
      <c r="E23" s="84">
        <f t="shared" si="0"/>
        <v>-0.47967479674796748</v>
      </c>
      <c r="F23" s="9">
        <f>SUM([3]Republic!$HD$19:$HG$19)</f>
        <v>209</v>
      </c>
      <c r="G23" s="9">
        <f>SUM([3]Republic!$GP$19:$GS$19)</f>
        <v>1258</v>
      </c>
      <c r="H23" s="38">
        <f t="shared" si="1"/>
        <v>-0.83386327503974567</v>
      </c>
      <c r="I23" s="84">
        <f t="shared" si="2"/>
        <v>2.6838225852017362E-3</v>
      </c>
      <c r="J23" s="337"/>
      <c r="K23" s="333" t="s">
        <v>52</v>
      </c>
      <c r="L23" s="327">
        <f>[3]Republic!$HG$41</f>
        <v>3765</v>
      </c>
      <c r="M23" s="9">
        <f>[3]Republic!$GS$41</f>
        <v>732</v>
      </c>
      <c r="N23" s="84">
        <f t="shared" si="3"/>
        <v>4.1434426229508201</v>
      </c>
      <c r="O23" s="327">
        <f>SUM([3]Republic!$HD$41:$HG$41)</f>
        <v>9874</v>
      </c>
      <c r="P23" s="9">
        <f>SUM([3]Republic!$GP$41:$GS$41)</f>
        <v>49702</v>
      </c>
      <c r="Q23" s="38">
        <f t="shared" si="4"/>
        <v>-0.80133596233551974</v>
      </c>
      <c r="R23" s="84">
        <f t="shared" si="5"/>
        <v>1.8165668542228096E-3</v>
      </c>
      <c r="S23" s="52"/>
      <c r="T23" s="399" t="s">
        <v>52</v>
      </c>
      <c r="U23" s="451">
        <f>[3]Republic!$HG$64</f>
        <v>324</v>
      </c>
      <c r="V23" s="2">
        <f>[3]Republic!$GS$64</f>
        <v>355</v>
      </c>
      <c r="W23" s="83">
        <f t="shared" si="6"/>
        <v>-8.7323943661971826E-2</v>
      </c>
      <c r="X23" s="451">
        <f>SUM([3]Republic!$HD$64:$HG$64)</f>
        <v>427</v>
      </c>
      <c r="Y23" s="2">
        <f>SUM([3]Republic!$GP$64:$GS$64)</f>
        <v>1910</v>
      </c>
      <c r="Z23" s="3">
        <f t="shared" si="7"/>
        <v>-0.77643979057591628</v>
      </c>
      <c r="AA23" s="83">
        <f t="shared" si="8"/>
        <v>2.7992356709944903E-5</v>
      </c>
    </row>
    <row r="24" spans="1:27" ht="14.1" customHeight="1" x14ac:dyDescent="0.2">
      <c r="A24" s="52"/>
      <c r="B24" s="398" t="s">
        <v>182</v>
      </c>
      <c r="C24" s="327">
        <f>[3]PSA!$HG$19</f>
        <v>50</v>
      </c>
      <c r="D24" s="9">
        <f>[3]PSA!$GS$19</f>
        <v>0</v>
      </c>
      <c r="E24" s="84" t="e">
        <f t="shared" si="0"/>
        <v>#DIV/0!</v>
      </c>
      <c r="F24" s="9">
        <f>SUM([3]PSA!$HD$19:$HG$19)</f>
        <v>52</v>
      </c>
      <c r="G24" s="9">
        <f>SUM([3]PSA!$GP$19:$GS$19)</f>
        <v>0</v>
      </c>
      <c r="H24" s="38" t="e">
        <f t="shared" si="1"/>
        <v>#DIV/0!</v>
      </c>
      <c r="I24" s="84">
        <f t="shared" si="2"/>
        <v>6.6774533220330281E-4</v>
      </c>
      <c r="J24" s="337"/>
      <c r="K24" s="398" t="s">
        <v>182</v>
      </c>
      <c r="L24" s="327">
        <f>[3]PSA!$HG$41</f>
        <v>2430</v>
      </c>
      <c r="M24" s="9">
        <f>[3]PSA!$GS$41</f>
        <v>0</v>
      </c>
      <c r="N24" s="84" t="e">
        <f t="shared" si="3"/>
        <v>#DIV/0!</v>
      </c>
      <c r="O24" s="327">
        <f>SUM([3]PSA!$HD$41:$HG$41)</f>
        <v>2462</v>
      </c>
      <c r="P24" s="9">
        <f>SUM([3]PSA!$GP$41:$GS$41)</f>
        <v>0</v>
      </c>
      <c r="Q24" s="38" t="e">
        <f t="shared" si="4"/>
        <v>#DIV/0!</v>
      </c>
      <c r="R24" s="84">
        <f t="shared" si="5"/>
        <v>4.5294587756699992E-4</v>
      </c>
      <c r="S24" s="52"/>
      <c r="T24" s="397" t="s">
        <v>182</v>
      </c>
      <c r="U24" s="451">
        <f>[3]PSA!$HG$64</f>
        <v>0</v>
      </c>
      <c r="V24" s="2">
        <f>[3]PSA!$GS$64</f>
        <v>0</v>
      </c>
      <c r="W24" s="83" t="e">
        <f t="shared" si="6"/>
        <v>#DIV/0!</v>
      </c>
      <c r="X24" s="451">
        <f>SUM([3]PSA!$HD$64:$HG$64)</f>
        <v>0</v>
      </c>
      <c r="Y24" s="2">
        <f>SUM([3]PSA!$GP$64:$GS$64)</f>
        <v>0</v>
      </c>
      <c r="Z24" s="3" t="e">
        <f t="shared" si="7"/>
        <v>#DIV/0!</v>
      </c>
      <c r="AA24" s="83">
        <f t="shared" si="8"/>
        <v>0</v>
      </c>
    </row>
    <row r="25" spans="1:27" ht="14.1" customHeight="1" x14ac:dyDescent="0.2">
      <c r="A25" s="52"/>
      <c r="B25" s="397" t="s">
        <v>97</v>
      </c>
      <c r="C25" s="327">
        <f>'[3]Sky West_AA'!$HG$19</f>
        <v>102</v>
      </c>
      <c r="D25" s="9">
        <f>'[3]Sky West_AA'!$GS$19</f>
        <v>0</v>
      </c>
      <c r="E25" s="84" t="e">
        <f>(C25-D25)/D25</f>
        <v>#DIV/0!</v>
      </c>
      <c r="F25" s="9">
        <f>SUM('[3]Sky West_AA'!$HD$19:$HG$19)</f>
        <v>158</v>
      </c>
      <c r="G25" s="9">
        <f>SUM('[3]Sky West_AA'!$GP$19:$GS$19)</f>
        <v>182</v>
      </c>
      <c r="H25" s="38">
        <f>(F25-G25)/G25</f>
        <v>-0.13186813186813187</v>
      </c>
      <c r="I25" s="84">
        <f t="shared" si="2"/>
        <v>2.0289185093869586E-3</v>
      </c>
      <c r="J25" s="337"/>
      <c r="K25" s="397" t="s">
        <v>97</v>
      </c>
      <c r="L25" s="327">
        <f>'[3]Sky West_AA'!$HG$41</f>
        <v>5868</v>
      </c>
      <c r="M25" s="9">
        <f>'[3]Sky West_AA'!$GS$41</f>
        <v>0</v>
      </c>
      <c r="N25" s="84" t="e">
        <f>(L25-M25)/M25</f>
        <v>#DIV/0!</v>
      </c>
      <c r="O25" s="327">
        <f>SUM('[3]Sky West_AA'!$HD$41:$HG$41)</f>
        <v>9089</v>
      </c>
      <c r="P25" s="9">
        <f>SUM('[3]Sky West_AA'!$GP$41:$GS$41)</f>
        <v>9404</v>
      </c>
      <c r="Q25" s="38">
        <f>(O25-P25)/P25</f>
        <v>-3.349638451722671E-2</v>
      </c>
      <c r="R25" s="405">
        <f t="shared" si="5"/>
        <v>1.6721466617410489E-3</v>
      </c>
      <c r="S25" s="52"/>
      <c r="T25" s="397" t="s">
        <v>97</v>
      </c>
      <c r="U25" s="451">
        <f>'[3]Sky West_AA'!$HG$64</f>
        <v>73</v>
      </c>
      <c r="V25" s="2">
        <f>'[3]Sky West_AA'!$GS$64</f>
        <v>0</v>
      </c>
      <c r="W25" s="83" t="e">
        <f>(U25-V25)/V25</f>
        <v>#DIV/0!</v>
      </c>
      <c r="X25" s="451">
        <f>SUM('[3]Sky West_AA'!$HD$64:$HG$64)</f>
        <v>841</v>
      </c>
      <c r="Y25" s="2">
        <f>SUM('[3]Sky West_AA'!$GP$64:$GS$64)</f>
        <v>560</v>
      </c>
      <c r="Z25" s="3">
        <f>(X25-Y25)/Y25</f>
        <v>0.50178571428571428</v>
      </c>
      <c r="AA25" s="510">
        <f t="shared" si="8"/>
        <v>5.5132487103193596E-5</v>
      </c>
    </row>
    <row r="26" spans="1:27" ht="14.1" customHeight="1" x14ac:dyDescent="0.2">
      <c r="A26" s="52"/>
      <c r="B26" s="398" t="s">
        <v>51</v>
      </c>
      <c r="C26" s="327">
        <f>[3]MESA!$HG$19</f>
        <v>0</v>
      </c>
      <c r="D26" s="9">
        <f>[3]MESA!$GS$19</f>
        <v>0</v>
      </c>
      <c r="E26" s="84" t="e">
        <f t="shared" si="0"/>
        <v>#DIV/0!</v>
      </c>
      <c r="F26" s="9">
        <f>SUM([3]MESA!$HD$19:$HG$19)</f>
        <v>0</v>
      </c>
      <c r="G26" s="9">
        <f>SUM([3]MESA!$GP$19:$GS$19)</f>
        <v>0</v>
      </c>
      <c r="H26" s="38" t="e">
        <f t="shared" si="1"/>
        <v>#DIV/0!</v>
      </c>
      <c r="I26" s="84">
        <f t="shared" si="2"/>
        <v>0</v>
      </c>
      <c r="J26" s="337"/>
      <c r="K26" s="396" t="s">
        <v>51</v>
      </c>
      <c r="L26" s="327">
        <f>[3]MESA!$HG$41</f>
        <v>0</v>
      </c>
      <c r="M26" s="9">
        <f>[3]MESA!$GS$41</f>
        <v>0</v>
      </c>
      <c r="N26" s="84" t="e">
        <f t="shared" si="3"/>
        <v>#DIV/0!</v>
      </c>
      <c r="O26" s="327">
        <f>SUM([3]MESA!$HD$41:$HG$41)</f>
        <v>0</v>
      </c>
      <c r="P26" s="9">
        <f>SUM([3]MESA!$GP$41:$GS$41)</f>
        <v>0</v>
      </c>
      <c r="Q26" s="38" t="e">
        <f t="shared" si="4"/>
        <v>#DIV/0!</v>
      </c>
      <c r="R26" s="84">
        <f t="shared" si="5"/>
        <v>0</v>
      </c>
      <c r="S26" s="52"/>
      <c r="T26" s="397" t="s">
        <v>51</v>
      </c>
      <c r="U26" s="451">
        <f>[3]MESA!$HG$64</f>
        <v>0</v>
      </c>
      <c r="V26" s="2">
        <f>[3]MESA!$GS$64</f>
        <v>0</v>
      </c>
      <c r="W26" s="83" t="e">
        <f t="shared" ref="W26:W27" si="9">(U26-V26)/V26</f>
        <v>#DIV/0!</v>
      </c>
      <c r="X26" s="451">
        <f>SUM([3]MESA!$HD$64:$HG$64)</f>
        <v>0</v>
      </c>
      <c r="Y26" s="2">
        <f>SUM([3]MESA!$GP$64:$GS$64)</f>
        <v>0</v>
      </c>
      <c r="Z26" s="3" t="e">
        <f t="shared" ref="Z26:Z27" si="10">(X26-Y26)/Y26</f>
        <v>#DIV/0!</v>
      </c>
      <c r="AA26" s="83">
        <f t="shared" si="8"/>
        <v>0</v>
      </c>
    </row>
    <row r="27" spans="1:27" ht="14.1" customHeight="1" x14ac:dyDescent="0.2">
      <c r="A27" s="52"/>
      <c r="B27" s="398" t="s">
        <v>50</v>
      </c>
      <c r="C27" s="327">
        <f>'[3]Air Wisconsin'!$HG$19</f>
        <v>0</v>
      </c>
      <c r="D27" s="9">
        <f>'[3]Air Wisconsin'!$GS$19</f>
        <v>0</v>
      </c>
      <c r="E27" s="84" t="e">
        <f t="shared" si="0"/>
        <v>#DIV/0!</v>
      </c>
      <c r="F27" s="9">
        <f>SUM('[3]Air Wisconsin'!$HD$19:$HG$19)</f>
        <v>0</v>
      </c>
      <c r="G27" s="9">
        <f>SUM('[3]Air Wisconsin'!$GP$19:$GS$19)</f>
        <v>4</v>
      </c>
      <c r="H27" s="443">
        <f t="shared" si="1"/>
        <v>-1</v>
      </c>
      <c r="I27" s="84">
        <f t="shared" si="2"/>
        <v>0</v>
      </c>
      <c r="J27" s="52"/>
      <c r="K27" s="399" t="s">
        <v>50</v>
      </c>
      <c r="L27" s="327">
        <f>'[3]Air Wisconsin'!$HG$41</f>
        <v>0</v>
      </c>
      <c r="M27" s="9">
        <f>'[3]Air Wisconsin'!$GS$41</f>
        <v>0</v>
      </c>
      <c r="N27" s="84" t="e">
        <f t="shared" si="3"/>
        <v>#DIV/0!</v>
      </c>
      <c r="O27" s="327">
        <f>SUM('[3]Air Wisconsin'!$HD$41:$HG$41)</f>
        <v>0</v>
      </c>
      <c r="P27" s="9">
        <f>SUM('[3]Air Wisconsin'!$GP$41:$GS$41)</f>
        <v>161</v>
      </c>
      <c r="Q27" s="38">
        <f t="shared" si="4"/>
        <v>-1</v>
      </c>
      <c r="R27" s="84">
        <f t="shared" si="5"/>
        <v>0</v>
      </c>
      <c r="S27" s="52"/>
      <c r="T27" s="399" t="s">
        <v>50</v>
      </c>
      <c r="U27" s="451">
        <f>'[3]Air Wisconsin'!$HG$64</f>
        <v>0</v>
      </c>
      <c r="V27" s="2">
        <f>'[3]Air Wisconsin'!$GS$64</f>
        <v>0</v>
      </c>
      <c r="W27" s="83" t="e">
        <f t="shared" si="9"/>
        <v>#DIV/0!</v>
      </c>
      <c r="X27" s="451">
        <f>SUM('[3]Air Wisconsin'!$HD$64:$HG$64)</f>
        <v>0</v>
      </c>
      <c r="Y27" s="2">
        <f>SUM('[3]Air Wisconsin'!$GP$64:$GS$64)</f>
        <v>0</v>
      </c>
      <c r="Z27" s="3" t="e">
        <f t="shared" si="10"/>
        <v>#DIV/0!</v>
      </c>
      <c r="AA27" s="83">
        <f t="shared" si="8"/>
        <v>0</v>
      </c>
    </row>
    <row r="28" spans="1:27" ht="14.1" customHeight="1" x14ac:dyDescent="0.2">
      <c r="A28" s="52"/>
      <c r="B28" s="332"/>
      <c r="C28" s="327"/>
      <c r="D28" s="9"/>
      <c r="E28" s="84"/>
      <c r="F28" s="9"/>
      <c r="G28" s="9"/>
      <c r="H28" s="38"/>
      <c r="I28" s="84"/>
      <c r="J28" s="52"/>
      <c r="K28" s="332"/>
      <c r="L28" s="327"/>
      <c r="M28" s="9"/>
      <c r="N28" s="84"/>
      <c r="O28" s="327"/>
      <c r="P28" s="9"/>
      <c r="Q28" s="38"/>
      <c r="R28" s="84"/>
      <c r="S28" s="52"/>
      <c r="T28" s="54"/>
      <c r="U28" s="451"/>
      <c r="V28" s="2"/>
      <c r="W28" s="83"/>
      <c r="X28" s="451"/>
      <c r="Y28" s="2"/>
      <c r="Z28" s="3"/>
      <c r="AA28" s="83"/>
    </row>
    <row r="29" spans="1:27" ht="14.1" customHeight="1" x14ac:dyDescent="0.2">
      <c r="A29" s="322" t="s">
        <v>179</v>
      </c>
      <c r="B29" s="332"/>
      <c r="C29" s="323">
        <f>'[3]Boutique Air'!$HG$19</f>
        <v>49</v>
      </c>
      <c r="D29" s="325">
        <f>'[3]Boutique Air'!$GS$19</f>
        <v>140</v>
      </c>
      <c r="E29" s="326">
        <f>(C29-D29)/D29</f>
        <v>-0.65</v>
      </c>
      <c r="F29" s="325">
        <f>SUM('[3]Boutique Air'!$HD$19:$HG$19)</f>
        <v>182</v>
      </c>
      <c r="G29" s="325">
        <f>SUM('[3]Boutique Air'!$GP$19:$GS$19)</f>
        <v>651</v>
      </c>
      <c r="H29" s="324">
        <f>(F29-G29)/G29</f>
        <v>-0.72043010752688175</v>
      </c>
      <c r="I29" s="326">
        <f>F29/$F$70</f>
        <v>2.3371086627115597E-3</v>
      </c>
      <c r="J29" s="322" t="s">
        <v>179</v>
      </c>
      <c r="K29" s="332"/>
      <c r="L29" s="323">
        <f>'[3]Boutique Air'!$HG$41</f>
        <v>235</v>
      </c>
      <c r="M29" s="325">
        <f>'[3]Boutique Air'!$GS$41</f>
        <v>66</v>
      </c>
      <c r="N29" s="326">
        <f>(L29-M29)/M29</f>
        <v>2.5606060606060606</v>
      </c>
      <c r="O29" s="323">
        <f>SUM('[3]Boutique Air'!$HD$41:$HG$41)</f>
        <v>815</v>
      </c>
      <c r="P29" s="325">
        <f>SUM('[3]Boutique Air'!$GP$41:$GS$41)</f>
        <v>2379</v>
      </c>
      <c r="Q29" s="324">
        <f>(O29-P29)/P29</f>
        <v>-0.65741908364859181</v>
      </c>
      <c r="R29" s="326">
        <f>O29/$O$70</f>
        <v>1.499394355065414E-4</v>
      </c>
      <c r="S29" s="322" t="s">
        <v>179</v>
      </c>
      <c r="T29" s="54"/>
      <c r="U29" s="477">
        <f>'[3]Boutique Air'!$HG$64</f>
        <v>0</v>
      </c>
      <c r="V29" s="469">
        <f>'[3]Boutique Air'!$GS$64</f>
        <v>0</v>
      </c>
      <c r="W29" s="478" t="e">
        <f>(U29-V29)/V29</f>
        <v>#DIV/0!</v>
      </c>
      <c r="X29" s="477">
        <f>SUM('[3]Boutique Air'!$HD$64:$HG$64)</f>
        <v>0</v>
      </c>
      <c r="Y29" s="469">
        <f>SUM('[3]Boutique Air'!$GP$64:$GS$64)</f>
        <v>0</v>
      </c>
      <c r="Z29" s="479" t="e">
        <f>(X29-Y29)/Y29</f>
        <v>#DIV/0!</v>
      </c>
      <c r="AA29" s="478">
        <f>X29/$X$70</f>
        <v>0</v>
      </c>
    </row>
    <row r="30" spans="1:27" ht="14.1" customHeight="1" x14ac:dyDescent="0.2">
      <c r="A30" s="52"/>
      <c r="B30" s="332"/>
      <c r="C30" s="327"/>
      <c r="D30" s="9"/>
      <c r="E30" s="84"/>
      <c r="F30" s="9"/>
      <c r="G30" s="9"/>
      <c r="H30" s="38"/>
      <c r="I30" s="84"/>
      <c r="J30" s="52"/>
      <c r="K30" s="332"/>
      <c r="L30" s="327"/>
      <c r="M30" s="9"/>
      <c r="N30" s="84"/>
      <c r="O30" s="327"/>
      <c r="P30" s="9"/>
      <c r="Q30" s="38"/>
      <c r="R30" s="84"/>
      <c r="S30" s="52"/>
      <c r="T30" s="54"/>
      <c r="U30" s="451"/>
      <c r="V30" s="2"/>
      <c r="W30" s="83"/>
      <c r="X30" s="451"/>
      <c r="Y30" s="2"/>
      <c r="Z30" s="3"/>
      <c r="AA30" s="83"/>
    </row>
    <row r="31" spans="1:27" ht="14.1" customHeight="1" x14ac:dyDescent="0.2">
      <c r="A31" s="322" t="s">
        <v>161</v>
      </c>
      <c r="B31" s="332"/>
      <c r="C31" s="323">
        <f>[3]Condor!$HG$19</f>
        <v>0</v>
      </c>
      <c r="D31" s="325">
        <f>[3]Condor!$GS$19</f>
        <v>0</v>
      </c>
      <c r="E31" s="326" t="e">
        <f>(C31-D31)/D31</f>
        <v>#DIV/0!</v>
      </c>
      <c r="F31" s="325">
        <f>SUM([3]Condor!$HD$19:$HG$19)</f>
        <v>0</v>
      </c>
      <c r="G31" s="325">
        <f>SUM([3]Condor!$GP$19:$GS$19)</f>
        <v>0</v>
      </c>
      <c r="H31" s="324" t="e">
        <f>(F31-G31)/G31</f>
        <v>#DIV/0!</v>
      </c>
      <c r="I31" s="326">
        <f>F31/$F$70</f>
        <v>0</v>
      </c>
      <c r="J31" s="322" t="s">
        <v>161</v>
      </c>
      <c r="K31" s="332"/>
      <c r="L31" s="323">
        <f>[3]Condor!$HG$41</f>
        <v>0</v>
      </c>
      <c r="M31" s="325">
        <f>[3]Condor!$GS$41</f>
        <v>0</v>
      </c>
      <c r="N31" s="326" t="e">
        <f>(L31-M31)/M31</f>
        <v>#DIV/0!</v>
      </c>
      <c r="O31" s="323">
        <f>SUM([3]Condor!$HD$41:$HG$41)</f>
        <v>0</v>
      </c>
      <c r="P31" s="325">
        <f>SUM([3]Condor!$GP$41:$GS$41)</f>
        <v>0</v>
      </c>
      <c r="Q31" s="324" t="e">
        <f>(O31-P31)/P31</f>
        <v>#DIV/0!</v>
      </c>
      <c r="R31" s="326">
        <f>O31/$O$70</f>
        <v>0</v>
      </c>
      <c r="S31" s="322" t="s">
        <v>161</v>
      </c>
      <c r="T31" s="54"/>
      <c r="U31" s="477">
        <f>[3]Condor!$HG$64</f>
        <v>0</v>
      </c>
      <c r="V31" s="469">
        <f>[3]Condor!$GS$64</f>
        <v>0</v>
      </c>
      <c r="W31" s="478" t="e">
        <f>(U31-V31)/V31</f>
        <v>#DIV/0!</v>
      </c>
      <c r="X31" s="477">
        <f>SUM([3]Condor!$HD$64:$HG$64)</f>
        <v>0</v>
      </c>
      <c r="Y31" s="469">
        <f>SUM([3]Condor!$GP$64:$GS$64)</f>
        <v>0</v>
      </c>
      <c r="Z31" s="479" t="e">
        <f>(X31-Y31)/Y31</f>
        <v>#DIV/0!</v>
      </c>
      <c r="AA31" s="478">
        <f>X31/$X$70</f>
        <v>0</v>
      </c>
    </row>
    <row r="32" spans="1:27" ht="14.1" customHeight="1" x14ac:dyDescent="0.2">
      <c r="A32" s="52"/>
      <c r="B32" s="332"/>
      <c r="C32" s="327"/>
      <c r="D32" s="9"/>
      <c r="E32" s="84"/>
      <c r="F32" s="9"/>
      <c r="G32" s="9"/>
      <c r="H32" s="38"/>
      <c r="I32" s="84"/>
      <c r="J32" s="52"/>
      <c r="K32" s="332"/>
      <c r="L32" s="327"/>
      <c r="M32" s="9"/>
      <c r="N32" s="84"/>
      <c r="O32" s="327"/>
      <c r="P32" s="9"/>
      <c r="Q32" s="38"/>
      <c r="R32" s="84"/>
      <c r="S32" s="52"/>
      <c r="T32" s="54"/>
      <c r="U32" s="451"/>
      <c r="V32" s="2"/>
      <c r="W32" s="83"/>
      <c r="X32" s="451"/>
      <c r="Y32" s="2"/>
      <c r="Z32" s="3"/>
      <c r="AA32" s="83"/>
    </row>
    <row r="33" spans="1:27" ht="14.1" customHeight="1" x14ac:dyDescent="0.2">
      <c r="A33" s="322" t="s">
        <v>239</v>
      </c>
      <c r="B33" s="54"/>
      <c r="C33" s="477">
        <f>'[3]Denver Air'!$HG$19</f>
        <v>114</v>
      </c>
      <c r="D33" s="469">
        <f>'[3]Denver Air'!$GS$19</f>
        <v>0</v>
      </c>
      <c r="E33" s="478" t="e">
        <f>(C33-D33)/D33</f>
        <v>#DIV/0!</v>
      </c>
      <c r="F33" s="469">
        <f>SUM('[3]Denver Air'!$HD$19:$HG$19)</f>
        <v>446</v>
      </c>
      <c r="G33" s="469">
        <f>SUM('[3]Denver Air'!$GP$19:$GS$19)</f>
        <v>0</v>
      </c>
      <c r="H33" s="479" t="e">
        <f>(F33-G33)/G33</f>
        <v>#DIV/0!</v>
      </c>
      <c r="I33" s="478">
        <f>F33/$F$70</f>
        <v>5.7272003492821735E-3</v>
      </c>
      <c r="J33" s="322" t="s">
        <v>239</v>
      </c>
      <c r="K33" s="54"/>
      <c r="L33" s="477">
        <f>'[3]Denver Air'!$HG$41</f>
        <v>656</v>
      </c>
      <c r="M33" s="469">
        <f>'[3]Denver Air'!$GS$41</f>
        <v>0</v>
      </c>
      <c r="N33" s="478" t="e">
        <f>(L33-M33)/M33</f>
        <v>#DIV/0!</v>
      </c>
      <c r="O33" s="477">
        <f>SUM('[3]Denver Air'!$HD$41:$HG$41)</f>
        <v>1866</v>
      </c>
      <c r="P33" s="469">
        <f>SUM('[3]Denver Air'!$GP$41:$GS$41)</f>
        <v>0</v>
      </c>
      <c r="Q33" s="479" t="e">
        <f>(O33-P33)/P33</f>
        <v>#DIV/0!</v>
      </c>
      <c r="R33" s="478">
        <f>O33/$O$70</f>
        <v>3.4329691614135737E-4</v>
      </c>
      <c r="S33" s="322" t="s">
        <v>239</v>
      </c>
      <c r="T33" s="54"/>
      <c r="U33" s="477">
        <f>'[3]Denver Air'!$HG$64</f>
        <v>0</v>
      </c>
      <c r="V33" s="469">
        <f>'[3]Denver Air'!$GS$64</f>
        <v>0</v>
      </c>
      <c r="W33" s="478" t="e">
        <f>(U33-V33)/V33</f>
        <v>#DIV/0!</v>
      </c>
      <c r="X33" s="477">
        <f>SUM('[3]Denver Air'!$HD$64:$HG$64)</f>
        <v>0</v>
      </c>
      <c r="Y33" s="469">
        <f>SUM('[3]Denver Air'!$GP$64:$GS$64)</f>
        <v>0</v>
      </c>
      <c r="Z33" s="479" t="e">
        <f>(X33-Y33)/Y33</f>
        <v>#DIV/0!</v>
      </c>
      <c r="AA33" s="478">
        <f>X33/$X$68</f>
        <v>0</v>
      </c>
    </row>
    <row r="34" spans="1:27" ht="14.1" customHeight="1" x14ac:dyDescent="0.2">
      <c r="A34" s="52"/>
      <c r="B34" s="332"/>
      <c r="C34" s="327"/>
      <c r="D34" s="9"/>
      <c r="E34" s="84"/>
      <c r="F34" s="9"/>
      <c r="G34" s="9"/>
      <c r="H34" s="38"/>
      <c r="I34" s="84"/>
      <c r="J34" s="52"/>
      <c r="K34" s="332"/>
      <c r="L34" s="327"/>
      <c r="M34" s="9"/>
      <c r="N34" s="84"/>
      <c r="O34" s="327"/>
      <c r="P34" s="9"/>
      <c r="Q34" s="38"/>
      <c r="R34" s="84"/>
      <c r="S34" s="52"/>
      <c r="T34" s="54"/>
      <c r="U34" s="451"/>
      <c r="V34" s="2"/>
      <c r="W34" s="83"/>
      <c r="X34" s="451"/>
      <c r="Y34" s="2"/>
      <c r="Z34" s="3"/>
      <c r="AA34" s="83"/>
    </row>
    <row r="35" spans="1:27" ht="14.1" customHeight="1" x14ac:dyDescent="0.2">
      <c r="A35" s="322" t="s">
        <v>18</v>
      </c>
      <c r="B35" s="335"/>
      <c r="C35" s="323">
        <f>SUM(C36:C42)</f>
        <v>16114</v>
      </c>
      <c r="D35" s="325">
        <f>SUM(D36:D42)</f>
        <v>6656</v>
      </c>
      <c r="E35" s="326">
        <f t="shared" ref="E35:E42" si="11">(C35-D35)/D35</f>
        <v>1.4209735576923077</v>
      </c>
      <c r="F35" s="328">
        <f>SUM(F36:F42)</f>
        <v>60958</v>
      </c>
      <c r="G35" s="328">
        <f>SUM(G36:G42)</f>
        <v>68245</v>
      </c>
      <c r="H35" s="324">
        <f>(F35-G35)/G35</f>
        <v>-0.10677705326397538</v>
      </c>
      <c r="I35" s="326">
        <f t="shared" ref="I35:I42" si="12">F35/$F$70</f>
        <v>0.78277730693171022</v>
      </c>
      <c r="J35" s="322" t="s">
        <v>18</v>
      </c>
      <c r="K35" s="335"/>
      <c r="L35" s="323">
        <f>SUM(L36:L42)</f>
        <v>1078572</v>
      </c>
      <c r="M35" s="325">
        <f>SUM(M36:M42)</f>
        <v>93330</v>
      </c>
      <c r="N35" s="326">
        <f t="shared" ref="N35:N42" si="13">(L35-M35)/M35</f>
        <v>10.556541305046609</v>
      </c>
      <c r="O35" s="323">
        <f>SUM(O36:O42)</f>
        <v>3651093</v>
      </c>
      <c r="P35" s="325">
        <f>SUM(P36:P42)</f>
        <v>5239101</v>
      </c>
      <c r="Q35" s="324">
        <f t="shared" ref="Q35:Q42" si="14">(O35-P35)/P35</f>
        <v>-0.30310696434369178</v>
      </c>
      <c r="R35" s="326">
        <f t="shared" ref="R35:R42" si="15">O35/$O$70</f>
        <v>0.67170898576918381</v>
      </c>
      <c r="S35" s="322" t="s">
        <v>18</v>
      </c>
      <c r="T35" s="330"/>
      <c r="U35" s="477">
        <f>SUM(U36:U42)</f>
        <v>3638696</v>
      </c>
      <c r="V35" s="469">
        <f>SUM(V36:V42)</f>
        <v>1570416</v>
      </c>
      <c r="W35" s="478">
        <f t="shared" ref="W35:W42" si="16">(U35-V35)/V35</f>
        <v>1.31702682601298</v>
      </c>
      <c r="X35" s="477">
        <f>SUM(X36:X42)</f>
        <v>11593388</v>
      </c>
      <c r="Y35" s="469">
        <f>SUM(Y36:Y42)</f>
        <v>21007726</v>
      </c>
      <c r="Z35" s="479">
        <f t="shared" ref="Z35:Z38" si="17">(X35-Y35)/Y35</f>
        <v>-0.44813693781040365</v>
      </c>
      <c r="AA35" s="478">
        <f t="shared" ref="AA35:AA42" si="18">X35/$X$70</f>
        <v>0.76001464255923823</v>
      </c>
    </row>
    <row r="36" spans="1:27" ht="14.1" customHeight="1" x14ac:dyDescent="0.2">
      <c r="A36" s="52"/>
      <c r="B36" s="331" t="s">
        <v>18</v>
      </c>
      <c r="C36" s="327">
        <f>[3]Delta!$HG$19</f>
        <v>7417</v>
      </c>
      <c r="D36" s="9">
        <f>[3]Delta!$GS$19</f>
        <v>2653</v>
      </c>
      <c r="E36" s="84">
        <f t="shared" si="11"/>
        <v>1.7957029777610252</v>
      </c>
      <c r="F36" s="9">
        <f>SUM([3]Delta!$HD$19:$HG$19)</f>
        <v>27434</v>
      </c>
      <c r="G36" s="9">
        <f>SUM([3]Delta!$GP$19:$GS$19)</f>
        <v>34707</v>
      </c>
      <c r="H36" s="38">
        <f t="shared" ref="H36:H42" si="19">(F36-G36)/G36</f>
        <v>-0.20955426859135046</v>
      </c>
      <c r="I36" s="84">
        <f t="shared" si="12"/>
        <v>0.3522870277627963</v>
      </c>
      <c r="J36" s="52"/>
      <c r="K36" s="331" t="s">
        <v>18</v>
      </c>
      <c r="L36" s="327">
        <f>[3]Delta!$HG$41</f>
        <v>749772</v>
      </c>
      <c r="M36" s="9">
        <f>[3]Delta!$GS$41</f>
        <v>59376</v>
      </c>
      <c r="N36" s="84">
        <f t="shared" si="13"/>
        <v>11.627526273241713</v>
      </c>
      <c r="O36" s="327">
        <f>SUM([3]Delta!$HD$41:$HG$41)</f>
        <v>2531203</v>
      </c>
      <c r="P36" s="9">
        <f>SUM([3]Delta!$GP$41:$GS$41)</f>
        <v>3952630</v>
      </c>
      <c r="Q36" s="38">
        <f t="shared" si="14"/>
        <v>-0.35961549651750857</v>
      </c>
      <c r="R36" s="84">
        <f t="shared" si="15"/>
        <v>0.46567748340179649</v>
      </c>
      <c r="S36" s="52"/>
      <c r="T36" s="54" t="s">
        <v>18</v>
      </c>
      <c r="U36" s="451">
        <f>[3]Delta!$HG$64</f>
        <v>3638696</v>
      </c>
      <c r="V36" s="2">
        <f>[3]Delta!$GS$64</f>
        <v>1570416</v>
      </c>
      <c r="W36" s="83">
        <f t="shared" si="16"/>
        <v>1.31702682601298</v>
      </c>
      <c r="X36" s="451">
        <f>SUM([3]Delta!$HD$64:$HG$64)</f>
        <v>11593388</v>
      </c>
      <c r="Y36" s="2">
        <f>SUM([3]Delta!$GP$64:$GS$64)</f>
        <v>21007726</v>
      </c>
      <c r="Z36" s="3">
        <f t="shared" si="17"/>
        <v>-0.44813693781040365</v>
      </c>
      <c r="AA36" s="83">
        <f t="shared" si="18"/>
        <v>0.76001464255923823</v>
      </c>
    </row>
    <row r="37" spans="1:27" ht="14.1" customHeight="1" x14ac:dyDescent="0.2">
      <c r="A37" s="52"/>
      <c r="B37" s="333" t="s">
        <v>117</v>
      </c>
      <c r="C37" s="327">
        <f>[3]Compass!$HG$19</f>
        <v>0</v>
      </c>
      <c r="D37" s="9">
        <f>[3]Compass!$GS$19</f>
        <v>0</v>
      </c>
      <c r="E37" s="84" t="e">
        <f t="shared" si="11"/>
        <v>#DIV/0!</v>
      </c>
      <c r="F37" s="9">
        <f>SUM([3]Compass!$HD$19:$HG$19)</f>
        <v>0</v>
      </c>
      <c r="G37" s="9">
        <f>SUM([3]Compass!$GP$19:$GS$19)</f>
        <v>0</v>
      </c>
      <c r="H37" s="38" t="e">
        <f t="shared" si="19"/>
        <v>#DIV/0!</v>
      </c>
      <c r="I37" s="84">
        <f t="shared" si="12"/>
        <v>0</v>
      </c>
      <c r="J37" s="52"/>
      <c r="K37" s="333" t="s">
        <v>117</v>
      </c>
      <c r="L37" s="327">
        <f>[3]Compass!$HG$41</f>
        <v>0</v>
      </c>
      <c r="M37" s="9">
        <f>[3]Compass!$GS$41</f>
        <v>0</v>
      </c>
      <c r="N37" s="84" t="e">
        <f t="shared" si="13"/>
        <v>#DIV/0!</v>
      </c>
      <c r="O37" s="327">
        <f>SUM([3]Compass!$HD$41:$HG$41)</f>
        <v>0</v>
      </c>
      <c r="P37" s="9">
        <f>SUM([3]Compass!$GP$41:$GS$41)</f>
        <v>0</v>
      </c>
      <c r="Q37" s="38" t="e">
        <f t="shared" si="14"/>
        <v>#DIV/0!</v>
      </c>
      <c r="R37" s="84">
        <f t="shared" si="15"/>
        <v>0</v>
      </c>
      <c r="S37" s="52"/>
      <c r="T37" s="399" t="s">
        <v>117</v>
      </c>
      <c r="U37" s="451">
        <f>[3]Compass!$HG$64</f>
        <v>0</v>
      </c>
      <c r="V37" s="2">
        <f>[3]Compass!$GS$64</f>
        <v>0</v>
      </c>
      <c r="W37" s="83" t="e">
        <f t="shared" si="16"/>
        <v>#DIV/0!</v>
      </c>
      <c r="X37" s="451">
        <f>SUM([3]Compass!$HD$64:$HG$64)</f>
        <v>0</v>
      </c>
      <c r="Y37" s="2">
        <f>SUM([3]Compass!$GP$64:$GS$64)</f>
        <v>0</v>
      </c>
      <c r="Z37" s="3" t="e">
        <f t="shared" si="17"/>
        <v>#DIV/0!</v>
      </c>
      <c r="AA37" s="83">
        <f t="shared" si="18"/>
        <v>0</v>
      </c>
    </row>
    <row r="38" spans="1:27" ht="14.1" customHeight="1" x14ac:dyDescent="0.2">
      <c r="A38" s="52"/>
      <c r="B38" s="332" t="s">
        <v>158</v>
      </c>
      <c r="C38" s="327">
        <f>[3]Pinnacle!$HG$19</f>
        <v>3199</v>
      </c>
      <c r="D38" s="9">
        <f>[3]Pinnacle!$GS$19</f>
        <v>688</v>
      </c>
      <c r="E38" s="84">
        <f t="shared" si="11"/>
        <v>3.6497093023255816</v>
      </c>
      <c r="F38" s="9">
        <f>SUM([3]Pinnacle!$HD$19:$HG$19)</f>
        <v>12258</v>
      </c>
      <c r="G38" s="9">
        <f>SUM([3]Pinnacle!$GP$19:$GS$19)</f>
        <v>8080</v>
      </c>
      <c r="H38" s="38">
        <f t="shared" si="19"/>
        <v>0.51707920792079209</v>
      </c>
      <c r="I38" s="84">
        <f t="shared" si="12"/>
        <v>0.15740812081054009</v>
      </c>
      <c r="J38" s="52"/>
      <c r="K38" s="332" t="s">
        <v>158</v>
      </c>
      <c r="L38" s="327">
        <f>[3]Pinnacle!$HG$41</f>
        <v>113332</v>
      </c>
      <c r="M38" s="9">
        <f>[3]Pinnacle!$GS$41</f>
        <v>5161</v>
      </c>
      <c r="N38" s="84">
        <f t="shared" si="13"/>
        <v>20.95931021119938</v>
      </c>
      <c r="O38" s="327">
        <f>SUM([3]Pinnacle!$HD$41:$HG$41)</f>
        <v>402377</v>
      </c>
      <c r="P38" s="9">
        <f>SUM([3]Pinnacle!$GP$41:$GS$41)</f>
        <v>342857</v>
      </c>
      <c r="Q38" s="38">
        <f t="shared" si="14"/>
        <v>0.17360007233336347</v>
      </c>
      <c r="R38" s="84">
        <f t="shared" si="15"/>
        <v>7.4027215019405665E-2</v>
      </c>
      <c r="S38" s="52"/>
      <c r="T38" s="54" t="s">
        <v>158</v>
      </c>
      <c r="U38" s="451">
        <f>[3]Pinnacle!$HG$64</f>
        <v>0</v>
      </c>
      <c r="V38" s="2">
        <f>[3]Pinnacle!$GS$64</f>
        <v>0</v>
      </c>
      <c r="W38" s="83" t="e">
        <f t="shared" si="16"/>
        <v>#DIV/0!</v>
      </c>
      <c r="X38" s="451">
        <f>SUM([3]Pinnacle!$HD$64:$HG$64)</f>
        <v>0</v>
      </c>
      <c r="Y38" s="2">
        <f>SUM([3]Pinnacle!$GP$64:$GS$64)</f>
        <v>0</v>
      </c>
      <c r="Z38" s="3" t="e">
        <f t="shared" si="17"/>
        <v>#DIV/0!</v>
      </c>
      <c r="AA38" s="83">
        <f t="shared" si="18"/>
        <v>0</v>
      </c>
    </row>
    <row r="39" spans="1:27" ht="14.1" customHeight="1" x14ac:dyDescent="0.2">
      <c r="A39" s="52"/>
      <c r="B39" s="332" t="s">
        <v>154</v>
      </c>
      <c r="C39" s="327">
        <f>'[3]Go Jet'!$HG$19</f>
        <v>0</v>
      </c>
      <c r="D39" s="9">
        <f>'[3]Go Jet'!$GS$19</f>
        <v>0</v>
      </c>
      <c r="E39" s="84" t="e">
        <f t="shared" si="11"/>
        <v>#DIV/0!</v>
      </c>
      <c r="F39" s="9">
        <f>SUM('[3]Go Jet'!$HD$19:$HG$19)</f>
        <v>0</v>
      </c>
      <c r="G39" s="9">
        <f>SUM('[3]Go Jet'!$GP$19:$GS$19)</f>
        <v>44</v>
      </c>
      <c r="H39" s="38">
        <f>(F39-G39)/G39</f>
        <v>-1</v>
      </c>
      <c r="I39" s="84">
        <f t="shared" si="12"/>
        <v>0</v>
      </c>
      <c r="J39" s="52"/>
      <c r="K39" s="331" t="s">
        <v>154</v>
      </c>
      <c r="L39" s="327">
        <f>'[3]Go Jet'!$HG$41</f>
        <v>0</v>
      </c>
      <c r="M39" s="9">
        <f>'[3]Go Jet'!$GS$41</f>
        <v>0</v>
      </c>
      <c r="N39" s="84" t="e">
        <f t="shared" si="13"/>
        <v>#DIV/0!</v>
      </c>
      <c r="O39" s="327">
        <f>SUM('[3]Go Jet'!$HD$41:$HG$41)</f>
        <v>0</v>
      </c>
      <c r="P39" s="9">
        <f>SUM('[3]Go Jet'!$GP$41:$GS$41)</f>
        <v>2644</v>
      </c>
      <c r="Q39" s="38">
        <f>(O39-P39)/P39</f>
        <v>-1</v>
      </c>
      <c r="R39" s="84">
        <f t="shared" si="15"/>
        <v>0</v>
      </c>
      <c r="S39" s="52"/>
      <c r="T39" s="54" t="s">
        <v>154</v>
      </c>
      <c r="U39" s="451">
        <f>'[3]Go Jet'!$HG$64</f>
        <v>0</v>
      </c>
      <c r="V39" s="2">
        <f>'[3]Go Jet'!$GS$64</f>
        <v>0</v>
      </c>
      <c r="W39" s="83" t="e">
        <f t="shared" si="16"/>
        <v>#DIV/0!</v>
      </c>
      <c r="X39" s="451">
        <f>SUM('[3]Go Jet'!$HD$64:$HG$64)</f>
        <v>0</v>
      </c>
      <c r="Y39" s="2">
        <f>SUM('[3]Go Jet'!$GP$64:$GS$64)</f>
        <v>0</v>
      </c>
      <c r="Z39" s="3" t="e">
        <f>(X39-Y39)/Y39</f>
        <v>#DIV/0!</v>
      </c>
      <c r="AA39" s="83">
        <f t="shared" si="18"/>
        <v>0</v>
      </c>
    </row>
    <row r="40" spans="1:27" ht="14.1" customHeight="1" x14ac:dyDescent="0.2">
      <c r="A40" s="52"/>
      <c r="B40" s="332" t="s">
        <v>97</v>
      </c>
      <c r="C40" s="327">
        <f>'[3]Sky West'!$HG$19</f>
        <v>5498</v>
      </c>
      <c r="D40" s="9">
        <f>'[3]Sky West'!$GS$19</f>
        <v>3315</v>
      </c>
      <c r="E40" s="84">
        <f t="shared" si="11"/>
        <v>0.65852187028657616</v>
      </c>
      <c r="F40" s="9">
        <f>SUM('[3]Sky West'!$HD$19:$HG$19)</f>
        <v>21266</v>
      </c>
      <c r="G40" s="9">
        <f>SUM('[3]Sky West'!$GP$19:$GS$19)</f>
        <v>25414</v>
      </c>
      <c r="H40" s="38">
        <f t="shared" si="19"/>
        <v>-0.16321712441961123</v>
      </c>
      <c r="I40" s="84">
        <f t="shared" si="12"/>
        <v>0.27308215835837379</v>
      </c>
      <c r="J40" s="52"/>
      <c r="K40" s="332" t="s">
        <v>97</v>
      </c>
      <c r="L40" s="327">
        <f>'[3]Sky West'!$HG$41</f>
        <v>215468</v>
      </c>
      <c r="M40" s="9">
        <f>'[3]Sky West'!$GS$41</f>
        <v>28793</v>
      </c>
      <c r="N40" s="84">
        <f t="shared" si="13"/>
        <v>6.4833466467544199</v>
      </c>
      <c r="O40" s="327">
        <f>SUM('[3]Sky West'!$HD$41:$HG$41)</f>
        <v>717513</v>
      </c>
      <c r="P40" s="9">
        <f>SUM('[3]Sky West'!$GP$41:$GS$41)</f>
        <v>940970</v>
      </c>
      <c r="Q40" s="38">
        <f t="shared" si="14"/>
        <v>-0.23747515861292071</v>
      </c>
      <c r="R40" s="84">
        <f t="shared" si="15"/>
        <v>0.13200428734798164</v>
      </c>
      <c r="S40" s="52"/>
      <c r="T40" s="54" t="s">
        <v>97</v>
      </c>
      <c r="U40" s="451">
        <f>'[3]Sky West'!$HG$64</f>
        <v>0</v>
      </c>
      <c r="V40" s="2">
        <f>'[3]Sky West'!$GS$64</f>
        <v>0</v>
      </c>
      <c r="W40" s="83" t="e">
        <f t="shared" si="16"/>
        <v>#DIV/0!</v>
      </c>
      <c r="X40" s="451">
        <f>SUM('[3]Sky West'!$HD$64:$HG$64)</f>
        <v>0</v>
      </c>
      <c r="Y40" s="2">
        <f>SUM('[3]Sky West'!$GP$64:$GS$64)</f>
        <v>0</v>
      </c>
      <c r="Z40" s="3" t="e">
        <f t="shared" ref="Z40:Z42" si="20">(X40-Y40)/Y40</f>
        <v>#DIV/0!</v>
      </c>
      <c r="AA40" s="83">
        <f t="shared" si="18"/>
        <v>0</v>
      </c>
    </row>
    <row r="41" spans="1:27" ht="14.1" customHeight="1" x14ac:dyDescent="0.2">
      <c r="A41" s="52"/>
      <c r="B41" s="332" t="s">
        <v>131</v>
      </c>
      <c r="C41" s="327">
        <f>'[3]Shuttle America_Delta'!$HG$19</f>
        <v>0</v>
      </c>
      <c r="D41" s="9">
        <f>'[3]Shuttle America_Delta'!$GS$19</f>
        <v>0</v>
      </c>
      <c r="E41" s="84" t="e">
        <f t="shared" si="11"/>
        <v>#DIV/0!</v>
      </c>
      <c r="F41" s="9">
        <f>SUM('[3]Shuttle America_Delta'!$HD$19:$HG$19)</f>
        <v>0</v>
      </c>
      <c r="G41" s="9">
        <f>SUM('[3]Shuttle America_Delta'!$GP$19:$GS$19)</f>
        <v>0</v>
      </c>
      <c r="H41" s="38" t="e">
        <f t="shared" si="19"/>
        <v>#DIV/0!</v>
      </c>
      <c r="I41" s="84">
        <f t="shared" si="12"/>
        <v>0</v>
      </c>
      <c r="J41" s="52"/>
      <c r="K41" s="332" t="s">
        <v>131</v>
      </c>
      <c r="L41" s="327">
        <f>'[3]Shuttle America_Delta'!$HG$41</f>
        <v>0</v>
      </c>
      <c r="M41" s="9">
        <f>'[3]Shuttle America_Delta'!$GS$41</f>
        <v>0</v>
      </c>
      <c r="N41" s="84" t="e">
        <f t="shared" si="13"/>
        <v>#DIV/0!</v>
      </c>
      <c r="O41" s="327">
        <f>SUM('[3]Shuttle America_Delta'!$HD$41:$HG$41)</f>
        <v>0</v>
      </c>
      <c r="P41" s="9">
        <f>SUM('[3]Shuttle America_Delta'!$GP$41:$GS$41)</f>
        <v>0</v>
      </c>
      <c r="Q41" s="38" t="e">
        <f t="shared" si="14"/>
        <v>#DIV/0!</v>
      </c>
      <c r="R41" s="84">
        <f t="shared" si="15"/>
        <v>0</v>
      </c>
      <c r="S41" s="52"/>
      <c r="T41" s="54" t="s">
        <v>131</v>
      </c>
      <c r="U41" s="451">
        <f>'[3]Shuttle America_Delta'!$HG$64</f>
        <v>0</v>
      </c>
      <c r="V41" s="2">
        <f>'[3]Shuttle America_Delta'!$GS$64</f>
        <v>0</v>
      </c>
      <c r="W41" s="83" t="e">
        <f t="shared" si="16"/>
        <v>#DIV/0!</v>
      </c>
      <c r="X41" s="451">
        <f>SUM('[3]Shuttle America_Delta'!$HD$64:$HG$64)</f>
        <v>0</v>
      </c>
      <c r="Y41" s="2">
        <f>SUM('[3]Shuttle America_Delta'!$GP$64:$GS$64)</f>
        <v>0</v>
      </c>
      <c r="Z41" s="3" t="e">
        <f t="shared" si="20"/>
        <v>#DIV/0!</v>
      </c>
      <c r="AA41" s="83">
        <f t="shared" si="18"/>
        <v>0</v>
      </c>
    </row>
    <row r="42" spans="1:27" ht="14.1" customHeight="1" x14ac:dyDescent="0.2">
      <c r="A42" s="52"/>
      <c r="B42" s="398" t="s">
        <v>166</v>
      </c>
      <c r="C42" s="327">
        <f>'[3]Atlantic Southeast'!$HG$19</f>
        <v>0</v>
      </c>
      <c r="D42" s="9">
        <f>'[3]Atlantic Southeast'!$GS$19</f>
        <v>0</v>
      </c>
      <c r="E42" s="84" t="e">
        <f t="shared" si="11"/>
        <v>#DIV/0!</v>
      </c>
      <c r="F42" s="9">
        <f>SUM('[3]Atlantic Southeast'!$HD$19:$HG$19)</f>
        <v>0</v>
      </c>
      <c r="G42" s="9">
        <f>SUM('[3]Atlantic Southeast'!$GP$19:$GS$19)</f>
        <v>0</v>
      </c>
      <c r="H42" s="38" t="e">
        <f t="shared" si="19"/>
        <v>#DIV/0!</v>
      </c>
      <c r="I42" s="84">
        <f t="shared" si="12"/>
        <v>0</v>
      </c>
      <c r="J42" s="52"/>
      <c r="K42" s="398" t="s">
        <v>166</v>
      </c>
      <c r="L42" s="327">
        <f>'[3]Atlantic Southeast'!$HG$41</f>
        <v>0</v>
      </c>
      <c r="M42" s="9">
        <f>'[3]Atlantic Southeast'!$GS$41</f>
        <v>0</v>
      </c>
      <c r="N42" s="84" t="e">
        <f t="shared" si="13"/>
        <v>#DIV/0!</v>
      </c>
      <c r="O42" s="327">
        <f>SUM('[3]Atlantic Southeast'!$HD$41:$HG$41)</f>
        <v>0</v>
      </c>
      <c r="P42" s="9">
        <f>SUM('[3]Atlantic Southeast'!$GP$41:$GS$41)</f>
        <v>0</v>
      </c>
      <c r="Q42" s="38" t="e">
        <f t="shared" si="14"/>
        <v>#DIV/0!</v>
      </c>
      <c r="R42" s="84">
        <f t="shared" si="15"/>
        <v>0</v>
      </c>
      <c r="S42" s="52"/>
      <c r="T42" s="397" t="s">
        <v>166</v>
      </c>
      <c r="U42" s="451">
        <f>'[3]Atlantic Southeast'!$HG$64</f>
        <v>0</v>
      </c>
      <c r="V42" s="2">
        <f>'[3]Atlantic Southeast'!$GS$64</f>
        <v>0</v>
      </c>
      <c r="W42" s="83" t="e">
        <f t="shared" si="16"/>
        <v>#DIV/0!</v>
      </c>
      <c r="X42" s="451">
        <f>SUM('[3]Atlantic Southeast'!$HD$64:$HG$64)</f>
        <v>0</v>
      </c>
      <c r="Y42" s="2">
        <f>SUM('[3]Atlantic Southeast'!$GP$64:$GS$64)</f>
        <v>0</v>
      </c>
      <c r="Z42" s="3" t="e">
        <f t="shared" si="20"/>
        <v>#DIV/0!</v>
      </c>
      <c r="AA42" s="83">
        <f t="shared" si="18"/>
        <v>0</v>
      </c>
    </row>
    <row r="43" spans="1:27" ht="14.1" customHeight="1" x14ac:dyDescent="0.2">
      <c r="A43" s="52"/>
      <c r="B43" s="398"/>
      <c r="C43" s="327"/>
      <c r="D43" s="9"/>
      <c r="E43" s="84"/>
      <c r="F43" s="9"/>
      <c r="G43" s="9"/>
      <c r="H43" s="38"/>
      <c r="I43" s="84"/>
      <c r="J43" s="52"/>
      <c r="K43" s="398"/>
      <c r="L43" s="327"/>
      <c r="M43" s="9"/>
      <c r="N43" s="84"/>
      <c r="O43" s="327"/>
      <c r="P43" s="9"/>
      <c r="Q43" s="38"/>
      <c r="R43" s="84"/>
      <c r="S43" s="52"/>
      <c r="T43" s="397"/>
      <c r="U43" s="451"/>
      <c r="V43" s="2"/>
      <c r="W43" s="83"/>
      <c r="X43" s="451"/>
      <c r="Y43" s="2"/>
      <c r="Z43" s="3"/>
      <c r="AA43" s="83"/>
    </row>
    <row r="44" spans="1:27" s="7" customFormat="1" ht="14.1" customHeight="1" x14ac:dyDescent="0.2">
      <c r="A44" s="322" t="s">
        <v>47</v>
      </c>
      <c r="B44" s="336"/>
      <c r="C44" s="323">
        <f>[3]Frontier!$HG$19</f>
        <v>126</v>
      </c>
      <c r="D44" s="325">
        <f>[3]Frontier!$GS$19</f>
        <v>28</v>
      </c>
      <c r="E44" s="326">
        <f>(C44-D44)/D44</f>
        <v>3.5</v>
      </c>
      <c r="F44" s="325">
        <f>SUM([3]Frontier!$HD$19:$HG$19)</f>
        <v>372</v>
      </c>
      <c r="G44" s="325">
        <f>SUM([3]Frontier!$GP$19:$GS$19)</f>
        <v>639</v>
      </c>
      <c r="H44" s="324">
        <f>(F44-G44)/G44</f>
        <v>-0.41784037558685444</v>
      </c>
      <c r="I44" s="326">
        <f>F44/$F$70</f>
        <v>4.7769473765313201E-3</v>
      </c>
      <c r="J44" s="322" t="s">
        <v>47</v>
      </c>
      <c r="K44" s="336"/>
      <c r="L44" s="323">
        <f>[3]Frontier!$HG$41</f>
        <v>18725</v>
      </c>
      <c r="M44" s="325">
        <f>[3]Frontier!$GS$41</f>
        <v>911</v>
      </c>
      <c r="N44" s="326">
        <f>(L44-M44)/M44</f>
        <v>19.554335894621296</v>
      </c>
      <c r="O44" s="323">
        <f>SUM([3]Frontier!$HD$41:$HG$41)</f>
        <v>55641</v>
      </c>
      <c r="P44" s="325">
        <f>SUM([3]Frontier!$GP$41:$GS$41)</f>
        <v>90658</v>
      </c>
      <c r="Q44" s="324">
        <f>(O44-P44)/P44</f>
        <v>-0.38625383308698624</v>
      </c>
      <c r="R44" s="326">
        <f>O44/$O$70</f>
        <v>1.0236540038060699E-2</v>
      </c>
      <c r="S44" s="322" t="s">
        <v>47</v>
      </c>
      <c r="T44" s="54"/>
      <c r="U44" s="477">
        <f>[3]Frontier!$HG$64</f>
        <v>0</v>
      </c>
      <c r="V44" s="469">
        <f>[3]Frontier!$GS$64</f>
        <v>0</v>
      </c>
      <c r="W44" s="478" t="e">
        <f>(U44-V44)/V44</f>
        <v>#DIV/0!</v>
      </c>
      <c r="X44" s="477">
        <f>SUM([3]Frontier!$HD$64:$HG$64)</f>
        <v>0</v>
      </c>
      <c r="Y44" s="469">
        <f>SUM([3]Frontier!$GP$64:$GS$64)</f>
        <v>0</v>
      </c>
      <c r="Z44" s="479" t="e">
        <f>(X44-Y44)/Y44</f>
        <v>#DIV/0!</v>
      </c>
      <c r="AA44" s="478">
        <f>X44/$X$70</f>
        <v>0</v>
      </c>
    </row>
    <row r="45" spans="1:27" s="7" customFormat="1" ht="14.1" customHeight="1" x14ac:dyDescent="0.2">
      <c r="A45" s="322"/>
      <c r="B45" s="336"/>
      <c r="C45" s="323"/>
      <c r="D45" s="325"/>
      <c r="E45" s="326"/>
      <c r="F45" s="325"/>
      <c r="G45" s="325"/>
      <c r="H45" s="324"/>
      <c r="I45" s="326"/>
      <c r="J45" s="322"/>
      <c r="K45" s="336"/>
      <c r="L45" s="327"/>
      <c r="M45" s="9"/>
      <c r="N45" s="84"/>
      <c r="O45" s="327"/>
      <c r="P45" s="9"/>
      <c r="Q45" s="38"/>
      <c r="R45" s="84"/>
      <c r="S45" s="322"/>
      <c r="T45" s="54"/>
      <c r="U45" s="451"/>
      <c r="V45" s="2"/>
      <c r="W45" s="83"/>
      <c r="X45" s="451"/>
      <c r="Y45" s="2"/>
      <c r="Z45" s="3"/>
      <c r="AA45" s="83"/>
    </row>
    <row r="46" spans="1:27" s="7" customFormat="1" ht="14.1" customHeight="1" x14ac:dyDescent="0.2">
      <c r="A46" s="322" t="s">
        <v>48</v>
      </c>
      <c r="B46" s="336"/>
      <c r="C46" s="323">
        <f>[3]Icelandair!$HG$19</f>
        <v>0</v>
      </c>
      <c r="D46" s="325">
        <f>[3]Icelandair!$GS$19</f>
        <v>0</v>
      </c>
      <c r="E46" s="326" t="e">
        <f>(C46-D46)/D46</f>
        <v>#DIV/0!</v>
      </c>
      <c r="F46" s="325">
        <f>SUM([3]Icelandair!$HD$19:$HG$19)</f>
        <v>0</v>
      </c>
      <c r="G46" s="325">
        <f>SUM([3]Icelandair!$GP$19:$GS$19)</f>
        <v>18</v>
      </c>
      <c r="H46" s="324">
        <f>(F46-G46)/G46</f>
        <v>-1</v>
      </c>
      <c r="I46" s="326">
        <f>F46/$F$70</f>
        <v>0</v>
      </c>
      <c r="J46" s="322" t="s">
        <v>48</v>
      </c>
      <c r="K46" s="336"/>
      <c r="L46" s="323">
        <f>[3]Icelandair!$HG$41</f>
        <v>0</v>
      </c>
      <c r="M46" s="325">
        <f>[3]Icelandair!$GS$41</f>
        <v>0</v>
      </c>
      <c r="N46" s="326" t="e">
        <f>(L46-M46)/M46</f>
        <v>#DIV/0!</v>
      </c>
      <c r="O46" s="323">
        <f>SUM([3]Icelandair!$HD$41:$HG$41)</f>
        <v>0</v>
      </c>
      <c r="P46" s="325">
        <f>SUM([3]Icelandair!$GP$41:$GS$41)</f>
        <v>2058</v>
      </c>
      <c r="Q46" s="324">
        <f>(O46-P46)/P46</f>
        <v>-1</v>
      </c>
      <c r="R46" s="326">
        <f>O46/$O$70</f>
        <v>0</v>
      </c>
      <c r="S46" s="322" t="s">
        <v>48</v>
      </c>
      <c r="T46" s="54"/>
      <c r="U46" s="477">
        <f>[3]Icelandair!$HG$64</f>
        <v>0</v>
      </c>
      <c r="V46" s="469">
        <f>[3]Icelandair!$GS$64</f>
        <v>0</v>
      </c>
      <c r="W46" s="478" t="e">
        <f>(U46-V46)/V46</f>
        <v>#DIV/0!</v>
      </c>
      <c r="X46" s="477">
        <f>SUM([3]Icelandair!$HD$64:$HG$64)</f>
        <v>0</v>
      </c>
      <c r="Y46" s="469">
        <f>SUM([3]Icelandair!$GP$64:$GS$64)</f>
        <v>2574</v>
      </c>
      <c r="Z46" s="479">
        <f>(X46-Y46)/Y46</f>
        <v>-1</v>
      </c>
      <c r="AA46" s="478">
        <f>X46/$X$70</f>
        <v>0</v>
      </c>
    </row>
    <row r="47" spans="1:27" s="7" customFormat="1" ht="14.1" customHeight="1" x14ac:dyDescent="0.2">
      <c r="A47" s="322"/>
      <c r="B47" s="336"/>
      <c r="C47" s="323"/>
      <c r="D47" s="325"/>
      <c r="E47" s="326"/>
      <c r="F47" s="325"/>
      <c r="G47" s="325"/>
      <c r="H47" s="324"/>
      <c r="I47" s="326"/>
      <c r="J47" s="322"/>
      <c r="K47" s="336"/>
      <c r="L47" s="327"/>
      <c r="M47" s="9"/>
      <c r="N47" s="84"/>
      <c r="O47" s="327"/>
      <c r="P47" s="9"/>
      <c r="Q47" s="38"/>
      <c r="R47" s="84"/>
      <c r="S47" s="322"/>
      <c r="T47" s="54"/>
      <c r="U47" s="451"/>
      <c r="V47" s="2"/>
      <c r="W47" s="83"/>
      <c r="X47" s="451"/>
      <c r="Y47" s="2"/>
      <c r="Z47" s="3"/>
      <c r="AA47" s="83"/>
    </row>
    <row r="48" spans="1:27" s="7" customFormat="1" ht="14.1" customHeight="1" x14ac:dyDescent="0.2">
      <c r="A48" s="322" t="s">
        <v>199</v>
      </c>
      <c r="B48" s="336"/>
      <c r="C48" s="323">
        <f>'[3]Jet Blue'!$HG$19</f>
        <v>18</v>
      </c>
      <c r="D48" s="325">
        <f>'[3]Jet Blue'!$GS$19</f>
        <v>19</v>
      </c>
      <c r="E48" s="326">
        <f>(C48-D48)/D48</f>
        <v>-5.2631578947368418E-2</v>
      </c>
      <c r="F48" s="325">
        <f>SUM('[3]Jet Blue'!$HD$19:$HG$19)</f>
        <v>48</v>
      </c>
      <c r="G48" s="325">
        <f>SUM('[3]Jet Blue'!$GP$19:$GS$19)</f>
        <v>487</v>
      </c>
      <c r="H48" s="324">
        <f>(F48-G48)/G48</f>
        <v>-0.90143737166324434</v>
      </c>
      <c r="I48" s="326">
        <f>F48/$F$70</f>
        <v>6.1638030664920259E-4</v>
      </c>
      <c r="J48" s="322" t="s">
        <v>199</v>
      </c>
      <c r="K48" s="336"/>
      <c r="L48" s="323">
        <f>'[3]Jet Blue'!$HG$41</f>
        <v>1279</v>
      </c>
      <c r="M48" s="325">
        <f>'[3]Jet Blue'!$GS$41</f>
        <v>70</v>
      </c>
      <c r="N48" s="326">
        <f>(L48-M48)/M48</f>
        <v>17.271428571428572</v>
      </c>
      <c r="O48" s="323">
        <f>SUM('[3]Jet Blue'!$HD$41:$HG$41)</f>
        <v>2426</v>
      </c>
      <c r="P48" s="325">
        <f>SUM('[3]Jet Blue'!$GP$41:$GS$41)</f>
        <v>28694</v>
      </c>
      <c r="Q48" s="324">
        <f>(O48-P48)/P48</f>
        <v>-0.91545270788318112</v>
      </c>
      <c r="R48" s="326">
        <f>O48/$O$70</f>
        <v>4.4632278593726311E-4</v>
      </c>
      <c r="S48" s="322" t="s">
        <v>199</v>
      </c>
      <c r="T48" s="54"/>
      <c r="U48" s="477">
        <f>'[3]Jet Blue'!$HG$64</f>
        <v>0</v>
      </c>
      <c r="V48" s="469">
        <f>'[3]Jet Blue'!$GS$64</f>
        <v>0</v>
      </c>
      <c r="W48" s="478" t="e">
        <f>(U48-V48)/V48</f>
        <v>#DIV/0!</v>
      </c>
      <c r="X48" s="477">
        <f>SUM('[3]Jet Blue'!$HD$64:$HG$64)</f>
        <v>0</v>
      </c>
      <c r="Y48" s="469">
        <f>SUM('[3]Jet Blue'!$GP$64:$GS$64)</f>
        <v>0</v>
      </c>
      <c r="Z48" s="479" t="e">
        <f>(X48-Y48)/Y48</f>
        <v>#DIV/0!</v>
      </c>
      <c r="AA48" s="478">
        <f>X48/$X$70</f>
        <v>0</v>
      </c>
    </row>
    <row r="49" spans="1:27" s="7" customFormat="1" ht="14.1" customHeight="1" x14ac:dyDescent="0.2">
      <c r="A49" s="322"/>
      <c r="B49" s="336"/>
      <c r="C49" s="323"/>
      <c r="D49" s="325"/>
      <c r="E49" s="326"/>
      <c r="F49" s="325"/>
      <c r="G49" s="325"/>
      <c r="H49" s="324"/>
      <c r="I49" s="326"/>
      <c r="J49" s="322"/>
      <c r="K49" s="336"/>
      <c r="L49" s="327"/>
      <c r="M49" s="9"/>
      <c r="N49" s="84"/>
      <c r="O49" s="327"/>
      <c r="P49" s="9"/>
      <c r="Q49" s="38"/>
      <c r="R49" s="84"/>
      <c r="S49" s="322"/>
      <c r="T49" s="54"/>
      <c r="U49" s="451"/>
      <c r="V49" s="2"/>
      <c r="W49" s="83"/>
      <c r="X49" s="451"/>
      <c r="Y49" s="2"/>
      <c r="Z49" s="3"/>
      <c r="AA49" s="83"/>
    </row>
    <row r="50" spans="1:27" s="7" customFormat="1" ht="14.1" customHeight="1" x14ac:dyDescent="0.2">
      <c r="A50" s="322" t="s">
        <v>194</v>
      </c>
      <c r="B50" s="336"/>
      <c r="C50" s="323">
        <f>[3]KLM!$HG$19</f>
        <v>0</v>
      </c>
      <c r="D50" s="325">
        <f>[3]KLM!$GS$19</f>
        <v>0</v>
      </c>
      <c r="E50" s="326" t="e">
        <f>(C50-D50)/D50</f>
        <v>#DIV/0!</v>
      </c>
      <c r="F50" s="325">
        <f>SUM([3]KLM!$HD$19:$HG$19)</f>
        <v>0</v>
      </c>
      <c r="G50" s="325">
        <f>SUM([3]KLM!$GP$19:$GS$19)</f>
        <v>80</v>
      </c>
      <c r="H50" s="324">
        <f>(F50-G50)/G50</f>
        <v>-1</v>
      </c>
      <c r="I50" s="326">
        <f>F50/$F$70</f>
        <v>0</v>
      </c>
      <c r="J50" s="322" t="s">
        <v>194</v>
      </c>
      <c r="K50" s="336"/>
      <c r="L50" s="323">
        <f>[3]KLM!$HG$41</f>
        <v>0</v>
      </c>
      <c r="M50" s="325">
        <f>[3]KLM!$GS$41</f>
        <v>0</v>
      </c>
      <c r="N50" s="326" t="e">
        <f>(L50-M50)/M50</f>
        <v>#DIV/0!</v>
      </c>
      <c r="O50" s="323">
        <f>SUM([3]KLM!$HD$41:$HG$41)</f>
        <v>0</v>
      </c>
      <c r="P50" s="325">
        <f>SUM([3]KLM!$GP$41:$GS$41)</f>
        <v>15968</v>
      </c>
      <c r="Q50" s="324">
        <f>(O50-P50)/P50</f>
        <v>-1</v>
      </c>
      <c r="R50" s="326">
        <f>O50/$O$70</f>
        <v>0</v>
      </c>
      <c r="S50" s="322" t="s">
        <v>194</v>
      </c>
      <c r="T50" s="54"/>
      <c r="U50" s="477">
        <f>[3]KLM!$HG$64</f>
        <v>0</v>
      </c>
      <c r="V50" s="469">
        <f>[3]KLM!$GS$64</f>
        <v>0</v>
      </c>
      <c r="W50" s="478" t="e">
        <f>(U50-V50)/V50</f>
        <v>#DIV/0!</v>
      </c>
      <c r="X50" s="477">
        <f>SUM([3]KLM!$HD$64:$HG$64)</f>
        <v>0</v>
      </c>
      <c r="Y50" s="469">
        <f>SUM([3]KLM!$GP$64:$GS$64)</f>
        <v>818409</v>
      </c>
      <c r="Z50" s="479">
        <f>(X50-Y50)/Y50</f>
        <v>-1</v>
      </c>
      <c r="AA50" s="478">
        <f>X50/$X$70</f>
        <v>0</v>
      </c>
    </row>
    <row r="51" spans="1:27" s="7" customFormat="1" ht="14.1" customHeight="1" x14ac:dyDescent="0.2">
      <c r="A51" s="322"/>
      <c r="B51" s="336"/>
      <c r="C51" s="323"/>
      <c r="D51" s="325"/>
      <c r="E51" s="326"/>
      <c r="F51" s="325"/>
      <c r="G51" s="325"/>
      <c r="H51" s="324"/>
      <c r="I51" s="326"/>
      <c r="J51" s="322"/>
      <c r="K51" s="336"/>
      <c r="L51" s="327"/>
      <c r="M51" s="9"/>
      <c r="N51" s="84"/>
      <c r="O51" s="327"/>
      <c r="P51" s="9"/>
      <c r="Q51" s="38"/>
      <c r="R51" s="84"/>
      <c r="S51" s="322"/>
      <c r="T51" s="54"/>
      <c r="U51" s="451"/>
      <c r="V51" s="2"/>
      <c r="W51" s="83"/>
      <c r="X51" s="451"/>
      <c r="Y51" s="2"/>
      <c r="Z51" s="3"/>
      <c r="AA51" s="83"/>
    </row>
    <row r="52" spans="1:27" ht="14.1" customHeight="1" x14ac:dyDescent="0.2">
      <c r="A52" s="334" t="s">
        <v>129</v>
      </c>
      <c r="B52" s="54"/>
      <c r="C52" s="323">
        <f>[3]Southwest!$HG$19</f>
        <v>726</v>
      </c>
      <c r="D52" s="325">
        <f>[3]Southwest!$GS$19</f>
        <v>540</v>
      </c>
      <c r="E52" s="326">
        <f>(C52-D52)/D52</f>
        <v>0.34444444444444444</v>
      </c>
      <c r="F52" s="325">
        <f>SUM([3]Southwest!$HD$19:$HG$19)</f>
        <v>2455</v>
      </c>
      <c r="G52" s="325">
        <f>SUM([3]Southwest!$GP$19:$GS$19)</f>
        <v>3856</v>
      </c>
      <c r="H52" s="324">
        <f>(F52-G52)/G52</f>
        <v>-0.36332987551867219</v>
      </c>
      <c r="I52" s="326">
        <f>F52/$F$70</f>
        <v>3.1525284433829008E-2</v>
      </c>
      <c r="J52" s="334" t="s">
        <v>129</v>
      </c>
      <c r="K52" s="54"/>
      <c r="L52" s="323">
        <f>[3]Southwest!$HG$41</f>
        <v>88628</v>
      </c>
      <c r="M52" s="325">
        <f>[3]Southwest!$GS$41</f>
        <v>5226</v>
      </c>
      <c r="N52" s="326">
        <f>(L52-M52)/M52</f>
        <v>15.959050899349407</v>
      </c>
      <c r="O52" s="323">
        <f>SUM([3]Southwest!$HD$41:$HG$41)</f>
        <v>280013</v>
      </c>
      <c r="P52" s="325">
        <f>SUM([3]Southwest!$GP$41:$GS$41)</f>
        <v>315101</v>
      </c>
      <c r="Q52" s="324">
        <f>(O52-P52)/P52</f>
        <v>-0.11135477196200583</v>
      </c>
      <c r="R52" s="326">
        <f>O52/$O$70</f>
        <v>5.1515326569930284E-2</v>
      </c>
      <c r="S52" s="322" t="s">
        <v>129</v>
      </c>
      <c r="T52" s="54"/>
      <c r="U52" s="477">
        <f>[3]Southwest!$HG$64</f>
        <v>281312</v>
      </c>
      <c r="V52" s="469">
        <f>[3]Southwest!$GS$64</f>
        <v>321396</v>
      </c>
      <c r="W52" s="478">
        <f>(U52-V52)/V52</f>
        <v>-0.12471841591059005</v>
      </c>
      <c r="X52" s="477">
        <f>SUM([3]Southwest!$HD$64:$HG$64)</f>
        <v>1046198</v>
      </c>
      <c r="Y52" s="469">
        <f>SUM([3]Southwest!$GP$64:$GS$64)</f>
        <v>1224775</v>
      </c>
      <c r="Z52" s="479">
        <f>(X52-Y52)/Y52</f>
        <v>-0.14580392316956176</v>
      </c>
      <c r="AA52" s="478">
        <f>X52/$X$70</f>
        <v>6.8584420621149736E-2</v>
      </c>
    </row>
    <row r="53" spans="1:27" ht="14.1" customHeight="1" x14ac:dyDescent="0.2">
      <c r="A53" s="322"/>
      <c r="B53" s="54"/>
      <c r="C53" s="323"/>
      <c r="D53" s="325"/>
      <c r="E53" s="326"/>
      <c r="F53" s="325"/>
      <c r="G53" s="325"/>
      <c r="H53" s="324"/>
      <c r="I53" s="326"/>
      <c r="J53" s="322"/>
      <c r="K53" s="54"/>
      <c r="L53" s="327"/>
      <c r="M53" s="9"/>
      <c r="N53" s="84"/>
      <c r="O53" s="327"/>
      <c r="P53" s="9"/>
      <c r="Q53" s="38"/>
      <c r="R53" s="84"/>
      <c r="S53" s="322"/>
      <c r="T53" s="54"/>
      <c r="U53" s="451"/>
      <c r="V53" s="2"/>
      <c r="W53" s="83"/>
      <c r="X53" s="451"/>
      <c r="Y53" s="2"/>
      <c r="Z53" s="3"/>
      <c r="AA53" s="83"/>
    </row>
    <row r="54" spans="1:27" ht="14.1" customHeight="1" x14ac:dyDescent="0.2">
      <c r="A54" s="322" t="s">
        <v>155</v>
      </c>
      <c r="B54" s="54"/>
      <c r="C54" s="323">
        <f>[3]Spirit!$HG$19</f>
        <v>410</v>
      </c>
      <c r="D54" s="325">
        <f>[3]Spirit!$GS$19</f>
        <v>136</v>
      </c>
      <c r="E54" s="326">
        <f>(C54-D54)/D54</f>
        <v>2.0147058823529411</v>
      </c>
      <c r="F54" s="325">
        <f>SUM([3]Spirit!$HD$19:$HG$19)</f>
        <v>1204</v>
      </c>
      <c r="G54" s="325">
        <f>SUM([3]Spirit!$GP$19:$GS$19)</f>
        <v>2001</v>
      </c>
      <c r="H54" s="324">
        <f>(F54-G54)/G54</f>
        <v>-0.39830084957521239</v>
      </c>
      <c r="I54" s="326">
        <f>F54/$F$70</f>
        <v>1.5460872691784163E-2</v>
      </c>
      <c r="J54" s="322" t="s">
        <v>155</v>
      </c>
      <c r="K54" s="54"/>
      <c r="L54" s="323">
        <f>[3]Spirit!$HG$41</f>
        <v>59364</v>
      </c>
      <c r="M54" s="325">
        <f>[3]Spirit!$GS$41</f>
        <v>3156</v>
      </c>
      <c r="N54" s="326">
        <f>(L54-M54)/M54</f>
        <v>17.809885931558934</v>
      </c>
      <c r="O54" s="323">
        <f>SUM([3]Spirit!$HD$41:$HG$41)</f>
        <v>178193</v>
      </c>
      <c r="P54" s="325">
        <f>SUM([3]Spirit!$GP$41:$GS$41)</f>
        <v>255564</v>
      </c>
      <c r="Q54" s="324">
        <f>(O54-P54)/P54</f>
        <v>-0.30274608317290386</v>
      </c>
      <c r="R54" s="326">
        <f>O54/$O$70</f>
        <v>3.2783015743824702E-2</v>
      </c>
      <c r="S54" s="322" t="s">
        <v>155</v>
      </c>
      <c r="T54" s="54"/>
      <c r="U54" s="477">
        <f>[3]Spirit!$HG$64</f>
        <v>0</v>
      </c>
      <c r="V54" s="469">
        <f>[3]Spirit!$GS$64</f>
        <v>0</v>
      </c>
      <c r="W54" s="478" t="e">
        <f>(U54-V54)/V54</f>
        <v>#DIV/0!</v>
      </c>
      <c r="X54" s="477">
        <f>SUM([3]Spirit!$HD$64:$HG$64)</f>
        <v>0</v>
      </c>
      <c r="Y54" s="469">
        <f>SUM([3]Spirit!$GP$64:$GS$64)</f>
        <v>0</v>
      </c>
      <c r="Z54" s="479" t="e">
        <f>(X54-Y54)/Y54</f>
        <v>#DIV/0!</v>
      </c>
      <c r="AA54" s="478">
        <f>X54/$X$70</f>
        <v>0</v>
      </c>
    </row>
    <row r="55" spans="1:27" ht="14.1" customHeight="1" x14ac:dyDescent="0.2">
      <c r="A55" s="322"/>
      <c r="B55" s="54"/>
      <c r="C55" s="323"/>
      <c r="D55" s="325"/>
      <c r="E55" s="326"/>
      <c r="F55" s="325"/>
      <c r="G55" s="325"/>
      <c r="H55" s="324"/>
      <c r="I55" s="326"/>
      <c r="J55" s="322"/>
      <c r="K55" s="54"/>
      <c r="L55" s="327"/>
      <c r="M55" s="9"/>
      <c r="N55" s="84"/>
      <c r="O55" s="327"/>
      <c r="P55" s="9"/>
      <c r="Q55" s="38"/>
      <c r="R55" s="84">
        <f>O55/$O$70</f>
        <v>0</v>
      </c>
      <c r="S55" s="322"/>
      <c r="T55" s="54"/>
      <c r="U55" s="451"/>
      <c r="V55" s="2"/>
      <c r="W55" s="83"/>
      <c r="X55" s="451"/>
      <c r="Y55" s="2"/>
      <c r="Z55" s="3"/>
      <c r="AA55" s="83">
        <f>X55/$X$70</f>
        <v>0</v>
      </c>
    </row>
    <row r="56" spans="1:27" s="7" customFormat="1" ht="14.1" customHeight="1" x14ac:dyDescent="0.2">
      <c r="A56" s="322" t="s">
        <v>49</v>
      </c>
      <c r="B56" s="336"/>
      <c r="C56" s="323">
        <f>'[3]Sun Country'!$HG$19</f>
        <v>1595</v>
      </c>
      <c r="D56" s="325">
        <f>'[3]Sun Country'!$GS$19</f>
        <v>241</v>
      </c>
      <c r="E56" s="326">
        <f>(C56-D56)/D56</f>
        <v>5.618257261410788</v>
      </c>
      <c r="F56" s="325">
        <f>SUM('[3]Sun Country'!$HD$19:$HG$19)</f>
        <v>6117</v>
      </c>
      <c r="G56" s="325">
        <f>SUM('[3]Sun Country'!$GP$19:$GS$19)</f>
        <v>5799</v>
      </c>
      <c r="H56" s="324">
        <f>(F56-G56)/G56</f>
        <v>5.4837040869115367E-2</v>
      </c>
      <c r="I56" s="326">
        <f>F56/$F$70</f>
        <v>7.8549965328607751E-2</v>
      </c>
      <c r="J56" s="322" t="s">
        <v>49</v>
      </c>
      <c r="K56" s="336"/>
      <c r="L56" s="323">
        <f>'[3]Sun Country'!$HG$41</f>
        <v>202635</v>
      </c>
      <c r="M56" s="325">
        <f>'[3]Sun Country'!$GS$41</f>
        <v>7400</v>
      </c>
      <c r="N56" s="326">
        <f>(L56-M56)/M56</f>
        <v>26.383108108108107</v>
      </c>
      <c r="O56" s="323">
        <f>SUM('[3]Sun Country'!$HD$41:$HG$41)</f>
        <v>728636</v>
      </c>
      <c r="P56" s="325">
        <f>SUM('[3]Sun Country'!$GP$41:$GS$41)</f>
        <v>728012</v>
      </c>
      <c r="Q56" s="324">
        <f>(O56-P56)/P56</f>
        <v>8.5712872864732994E-4</v>
      </c>
      <c r="R56" s="326">
        <f>O56/$O$70</f>
        <v>0.13405063868680284</v>
      </c>
      <c r="S56" s="322" t="s">
        <v>49</v>
      </c>
      <c r="T56" s="54"/>
      <c r="U56" s="477">
        <f>'[3]Sun Country'!$HG$64</f>
        <v>414989</v>
      </c>
      <c r="V56" s="469">
        <f>'[3]Sun Country'!$GS$64</f>
        <v>56442</v>
      </c>
      <c r="W56" s="478">
        <f>(U56-V56)/V56</f>
        <v>6.3524857375713122</v>
      </c>
      <c r="X56" s="477">
        <f>SUM('[3]Sun Country'!$HD$64:$HG$64)</f>
        <v>1529197</v>
      </c>
      <c r="Y56" s="469">
        <f>SUM('[3]Sun Country'!$GP$64:$GS$64)</f>
        <v>1479957</v>
      </c>
      <c r="Z56" s="479">
        <f>(X56-Y56)/Y56</f>
        <v>3.3271236934586612E-2</v>
      </c>
      <c r="AA56" s="478">
        <f>X56/$X$70</f>
        <v>0.10024784052406936</v>
      </c>
    </row>
    <row r="57" spans="1:27" s="7" customFormat="1" ht="14.1" customHeight="1" x14ac:dyDescent="0.2">
      <c r="A57" s="322"/>
      <c r="B57" s="336"/>
      <c r="C57" s="323"/>
      <c r="D57" s="325"/>
      <c r="E57" s="326"/>
      <c r="F57" s="325"/>
      <c r="G57" s="325"/>
      <c r="H57" s="324"/>
      <c r="I57" s="326"/>
      <c r="J57" s="322"/>
      <c r="K57" s="336"/>
      <c r="L57" s="327"/>
      <c r="M57" s="9"/>
      <c r="N57" s="84"/>
      <c r="O57" s="327"/>
      <c r="P57" s="9"/>
      <c r="Q57" s="38"/>
      <c r="R57" s="84"/>
      <c r="S57" s="322"/>
      <c r="T57" s="54"/>
      <c r="U57" s="451"/>
      <c r="V57" s="2"/>
      <c r="W57" s="83"/>
      <c r="X57" s="451"/>
      <c r="Y57" s="2"/>
      <c r="Z57" s="3"/>
      <c r="AA57" s="83"/>
    </row>
    <row r="58" spans="1:27" s="7" customFormat="1" ht="14.1" customHeight="1" x14ac:dyDescent="0.2">
      <c r="A58" s="322" t="s">
        <v>19</v>
      </c>
      <c r="B58" s="330"/>
      <c r="C58" s="323">
        <f>SUM(C59:C65)</f>
        <v>580</v>
      </c>
      <c r="D58" s="325">
        <f>SUM(D59:D65)</f>
        <v>298</v>
      </c>
      <c r="E58" s="326">
        <f t="shared" ref="E58:E65" si="21">(C58-D58)/D58</f>
        <v>0.94630872483221473</v>
      </c>
      <c r="F58" s="325">
        <f>SUM(F59:F65)</f>
        <v>2261</v>
      </c>
      <c r="G58" s="325">
        <f>SUM(G59:G65)</f>
        <v>4416</v>
      </c>
      <c r="H58" s="324">
        <f t="shared" ref="H58:H65" si="22">(F58-G58)/G58</f>
        <v>-0.48799818840579712</v>
      </c>
      <c r="I58" s="326">
        <f t="shared" ref="I58:I65" si="23">F58/$F$70</f>
        <v>2.9034080694455146E-2</v>
      </c>
      <c r="J58" s="322" t="s">
        <v>19</v>
      </c>
      <c r="K58" s="330"/>
      <c r="L58" s="323">
        <f>SUM(L59:L65)</f>
        <v>59892</v>
      </c>
      <c r="M58" s="325">
        <f>SUM(M59:M65)</f>
        <v>3389</v>
      </c>
      <c r="N58" s="326">
        <f t="shared" ref="N58:N65" si="24">(L58-M58)/M58</f>
        <v>16.672469755089995</v>
      </c>
      <c r="O58" s="323">
        <f>SUM(O59:O65)</f>
        <v>193680</v>
      </c>
      <c r="P58" s="325">
        <f>SUM(P59:P65)</f>
        <v>306736</v>
      </c>
      <c r="Q58" s="324">
        <f t="shared" ref="Q58:Q65" si="25">(O58-P58)/P58</f>
        <v>-0.36857753899118462</v>
      </c>
      <c r="R58" s="326">
        <f t="shared" ref="R58:R65" si="26">O58/$O$70</f>
        <v>3.5632232967983977E-2</v>
      </c>
      <c r="S58" s="322" t="s">
        <v>19</v>
      </c>
      <c r="T58" s="330"/>
      <c r="U58" s="477">
        <f>SUM(U59:U65)</f>
        <v>112833</v>
      </c>
      <c r="V58" s="469">
        <f>SUM(V59:V65)</f>
        <v>18573</v>
      </c>
      <c r="W58" s="478">
        <f t="shared" ref="W58:W65" si="27">(U58-V58)/V58</f>
        <v>5.0751090292359882</v>
      </c>
      <c r="X58" s="477">
        <f>SUM(X59:X65)</f>
        <v>320556</v>
      </c>
      <c r="Y58" s="469">
        <f>SUM(Y59:Y65)</f>
        <v>381603</v>
      </c>
      <c r="Z58" s="479">
        <f t="shared" ref="Z58:Z65" si="28">(X58-Y58)/Y58</f>
        <v>-0.15997515742800764</v>
      </c>
      <c r="AA58" s="478">
        <f t="shared" ref="AA58:AA65" si="29">X58/$X$70</f>
        <v>2.1014327628836298E-2</v>
      </c>
    </row>
    <row r="59" spans="1:27" s="7" customFormat="1" ht="14.1" customHeight="1" x14ac:dyDescent="0.2">
      <c r="A59" s="337"/>
      <c r="B59" s="396" t="s">
        <v>19</v>
      </c>
      <c r="C59" s="327">
        <f>[3]United!$HG$19</f>
        <v>346</v>
      </c>
      <c r="D59" s="9">
        <f>[3]United!$GS$19+[3]Continental!$GS$19</f>
        <v>72</v>
      </c>
      <c r="E59" s="84">
        <f t="shared" si="21"/>
        <v>3.8055555555555554</v>
      </c>
      <c r="F59" s="9">
        <f>SUM([3]United!$HD$19:$HG$19)</f>
        <v>1180</v>
      </c>
      <c r="G59" s="9">
        <f>SUM([3]United!$GP$19:$GS$19)+SUM([3]Continental!$GP$19:$GS$19)</f>
        <v>1562</v>
      </c>
      <c r="H59" s="38">
        <f t="shared" si="22"/>
        <v>-0.24455825864276567</v>
      </c>
      <c r="I59" s="84">
        <f t="shared" si="23"/>
        <v>1.5152682538459562E-2</v>
      </c>
      <c r="J59" s="337"/>
      <c r="K59" s="396" t="s">
        <v>19</v>
      </c>
      <c r="L59" s="327">
        <f>[3]United!$HG$41</f>
        <v>45731</v>
      </c>
      <c r="M59" s="9">
        <f>[3]United!$GS$41+[3]Continental!$GS$41</f>
        <v>983</v>
      </c>
      <c r="N59" s="84">
        <f t="shared" si="24"/>
        <v>45.521871820956257</v>
      </c>
      <c r="O59" s="327">
        <f>SUM([3]United!$HD$41:$HG$41)</f>
        <v>136607</v>
      </c>
      <c r="P59" s="9">
        <f>SUM([3]United!$GP$41:$GS$41)+SUM([3]Continental!$GP$41:$GS$41)</f>
        <v>163541</v>
      </c>
      <c r="Q59" s="38">
        <f t="shared" si="25"/>
        <v>-0.16469264588084945</v>
      </c>
      <c r="R59" s="84">
        <f t="shared" si="26"/>
        <v>2.5132241062873744E-2</v>
      </c>
      <c r="S59" s="52"/>
      <c r="T59" s="397" t="s">
        <v>19</v>
      </c>
      <c r="U59" s="451">
        <f>[3]United!$HG$64</f>
        <v>112833</v>
      </c>
      <c r="V59" s="2">
        <f>[3]United!$GS$64+[3]Continental!$GS$64</f>
        <v>18573</v>
      </c>
      <c r="W59" s="83">
        <f t="shared" si="27"/>
        <v>5.0751090292359882</v>
      </c>
      <c r="X59" s="451">
        <f>SUM([3]United!$HD$64:$HG$64)</f>
        <v>320556</v>
      </c>
      <c r="Y59" s="2">
        <f>SUM([3]United!$GP$64:$GS$64)+SUM([3]Continental!$GP$64:$GS$64)</f>
        <v>381603</v>
      </c>
      <c r="Z59" s="3">
        <f t="shared" si="28"/>
        <v>-0.15997515742800764</v>
      </c>
      <c r="AA59" s="83">
        <f t="shared" si="29"/>
        <v>2.1014327628836298E-2</v>
      </c>
    </row>
    <row r="60" spans="1:27" s="7" customFormat="1" ht="14.1" customHeight="1" x14ac:dyDescent="0.2">
      <c r="A60" s="337"/>
      <c r="B60" s="398" t="s">
        <v>166</v>
      </c>
      <c r="C60" s="327">
        <f>'[3]Continental Express'!$HG$19</f>
        <v>0</v>
      </c>
      <c r="D60" s="9">
        <f>'[3]Continental Express'!$GS$19</f>
        <v>0</v>
      </c>
      <c r="E60" s="84" t="e">
        <f t="shared" si="21"/>
        <v>#DIV/0!</v>
      </c>
      <c r="F60" s="9">
        <f>SUM('[3]Continental Express'!$HD$19:$HG$19)</f>
        <v>0</v>
      </c>
      <c r="G60" s="9">
        <f>SUM('[3]Continental Express'!$GP$19:$GS$19)</f>
        <v>236</v>
      </c>
      <c r="H60" s="38">
        <f t="shared" si="22"/>
        <v>-1</v>
      </c>
      <c r="I60" s="84">
        <f t="shared" si="23"/>
        <v>0</v>
      </c>
      <c r="J60" s="52"/>
      <c r="K60" s="396" t="s">
        <v>166</v>
      </c>
      <c r="L60" s="327">
        <f>'[3]Continental Express'!$HG$41</f>
        <v>0</v>
      </c>
      <c r="M60" s="9">
        <f>'[3]Continental Express'!$GS$41</f>
        <v>0</v>
      </c>
      <c r="N60" s="84" t="e">
        <f t="shared" si="24"/>
        <v>#DIV/0!</v>
      </c>
      <c r="O60" s="327">
        <f>SUM('[3]Continental Express'!$HD$41:$HG$41)</f>
        <v>0</v>
      </c>
      <c r="P60" s="9">
        <f>SUM('[3]Continental Express'!$GP$41:$GS$41)</f>
        <v>10983</v>
      </c>
      <c r="Q60" s="38">
        <f t="shared" si="25"/>
        <v>-1</v>
      </c>
      <c r="R60" s="84">
        <f t="shared" si="26"/>
        <v>0</v>
      </c>
      <c r="S60" s="52"/>
      <c r="T60" s="397" t="s">
        <v>166</v>
      </c>
      <c r="U60" s="451">
        <f>'[3]Continental Express'!$HG$64</f>
        <v>0</v>
      </c>
      <c r="V60" s="2">
        <f>'[3]Continental Express'!$GS$64</f>
        <v>0</v>
      </c>
      <c r="W60" s="83" t="e">
        <f t="shared" si="27"/>
        <v>#DIV/0!</v>
      </c>
      <c r="X60" s="451">
        <f>SUM('[3]Continental Express'!$HD$64:$HG$64)</f>
        <v>0</v>
      </c>
      <c r="Y60" s="2">
        <f>SUM('[3]Continental Express'!$GP$64:$GS$64)</f>
        <v>0</v>
      </c>
      <c r="Z60" s="3" t="e">
        <f t="shared" si="28"/>
        <v>#DIV/0!</v>
      </c>
      <c r="AA60" s="83">
        <f t="shared" si="29"/>
        <v>0</v>
      </c>
    </row>
    <row r="61" spans="1:27" s="7" customFormat="1" ht="14.1" customHeight="1" x14ac:dyDescent="0.2">
      <c r="A61" s="337"/>
      <c r="B61" s="332" t="s">
        <v>154</v>
      </c>
      <c r="C61" s="327">
        <f>'[3]Go Jet_UA'!$HG$19</f>
        <v>0</v>
      </c>
      <c r="D61" s="9">
        <f>'[3]Go Jet_UA'!$GS$19</f>
        <v>0</v>
      </c>
      <c r="E61" s="84" t="e">
        <f t="shared" si="21"/>
        <v>#DIV/0!</v>
      </c>
      <c r="F61" s="9">
        <f>SUM('[3]Go Jet_UA'!$HD$19:$HG$19)</f>
        <v>0</v>
      </c>
      <c r="G61" s="9">
        <f>SUM('[3]Go Jet_UA'!$GP$19:$GS$19)</f>
        <v>2</v>
      </c>
      <c r="H61" s="38">
        <f t="shared" si="22"/>
        <v>-1</v>
      </c>
      <c r="I61" s="84">
        <f t="shared" si="23"/>
        <v>0</v>
      </c>
      <c r="J61" s="337"/>
      <c r="K61" s="331" t="s">
        <v>154</v>
      </c>
      <c r="L61" s="327">
        <f>'[3]Go Jet_UA'!$HG$41</f>
        <v>0</v>
      </c>
      <c r="M61" s="9">
        <f>'[3]Go Jet_UA'!$GS$41</f>
        <v>0</v>
      </c>
      <c r="N61" s="84" t="e">
        <f t="shared" si="24"/>
        <v>#DIV/0!</v>
      </c>
      <c r="O61" s="327">
        <f>SUM('[3]Go Jet_UA'!$HD$41:$HG$41)</f>
        <v>0</v>
      </c>
      <c r="P61" s="9">
        <f>SUM('[3]Go Jet_UA'!$GP$41:$GS$41)</f>
        <v>83</v>
      </c>
      <c r="Q61" s="38">
        <f t="shared" si="25"/>
        <v>-1</v>
      </c>
      <c r="R61" s="84">
        <f t="shared" si="26"/>
        <v>0</v>
      </c>
      <c r="S61" s="52"/>
      <c r="T61" s="54" t="s">
        <v>154</v>
      </c>
      <c r="U61" s="451">
        <f>'[3]Go Jet_UA'!$HG$64</f>
        <v>0</v>
      </c>
      <c r="V61" s="2">
        <f>'[3]Go Jet_UA'!$GS$64</f>
        <v>0</v>
      </c>
      <c r="W61" s="83" t="e">
        <f t="shared" si="27"/>
        <v>#DIV/0!</v>
      </c>
      <c r="X61" s="451">
        <f>SUM('[3]Go Jet_UA'!$HD$64:$HG$64)</f>
        <v>0</v>
      </c>
      <c r="Y61" s="2">
        <f>SUM('[3]Go Jet_UA'!$GP$64:$GS$64)</f>
        <v>0</v>
      </c>
      <c r="Z61" s="3" t="e">
        <f t="shared" si="28"/>
        <v>#DIV/0!</v>
      </c>
      <c r="AA61" s="83">
        <f t="shared" si="29"/>
        <v>0</v>
      </c>
    </row>
    <row r="62" spans="1:27" s="7" customFormat="1" ht="14.1" customHeight="1" x14ac:dyDescent="0.2">
      <c r="A62" s="337"/>
      <c r="B62" s="332" t="s">
        <v>51</v>
      </c>
      <c r="C62" s="327">
        <f>[3]MESA_UA!$HG$19</f>
        <v>62</v>
      </c>
      <c r="D62" s="9">
        <f>[3]MESA_UA!$GS$19</f>
        <v>66</v>
      </c>
      <c r="E62" s="84">
        <f t="shared" si="21"/>
        <v>-6.0606060606060608E-2</v>
      </c>
      <c r="F62" s="9">
        <f>SUM([3]MESA_UA!$HD$19:$HG$19)</f>
        <v>323</v>
      </c>
      <c r="G62" s="9">
        <f>SUM([3]MESA_UA!$GP$19:$GS$19)</f>
        <v>804</v>
      </c>
      <c r="H62" s="38">
        <f>(F62-G62)/G62</f>
        <v>-0.59825870646766166</v>
      </c>
      <c r="I62" s="84">
        <f t="shared" si="23"/>
        <v>4.1477258134935925E-3</v>
      </c>
      <c r="J62" s="337"/>
      <c r="K62" s="331" t="s">
        <v>51</v>
      </c>
      <c r="L62" s="327">
        <f>[3]MESA_UA!$HG$41</f>
        <v>3739</v>
      </c>
      <c r="M62" s="9">
        <f>[3]MESA_UA!$GS$41</f>
        <v>689</v>
      </c>
      <c r="N62" s="84">
        <f t="shared" si="24"/>
        <v>4.4267053701015966</v>
      </c>
      <c r="O62" s="327">
        <f>SUM([3]MESA_UA!$HD$41:$HG$41)</f>
        <v>16878</v>
      </c>
      <c r="P62" s="9">
        <f>SUM([3]MESA_UA!$GP$41:$GS$41)</f>
        <v>40703</v>
      </c>
      <c r="Q62" s="38">
        <f t="shared" si="25"/>
        <v>-0.58533769009655312</v>
      </c>
      <c r="R62" s="84">
        <f t="shared" si="26"/>
        <v>3.1051261257416022E-3</v>
      </c>
      <c r="S62" s="52"/>
      <c r="T62" s="54" t="s">
        <v>51</v>
      </c>
      <c r="U62" s="451">
        <f>[3]MESA_UA!$HG$64</f>
        <v>0</v>
      </c>
      <c r="V62" s="2">
        <f>[3]MESA_UA!$GS$64</f>
        <v>0</v>
      </c>
      <c r="W62" s="83" t="e">
        <f t="shared" si="27"/>
        <v>#DIV/0!</v>
      </c>
      <c r="X62" s="451">
        <f>SUM([3]MESA_UA!$HD$64:$HG$64)</f>
        <v>0</v>
      </c>
      <c r="Y62" s="2">
        <f>SUM([3]MESA_UA!$GP$64:$GS$64)</f>
        <v>0</v>
      </c>
      <c r="Z62" s="3" t="e">
        <f t="shared" si="28"/>
        <v>#DIV/0!</v>
      </c>
      <c r="AA62" s="83">
        <f t="shared" si="29"/>
        <v>0</v>
      </c>
    </row>
    <row r="63" spans="1:27" s="7" customFormat="1" ht="14.1" customHeight="1" x14ac:dyDescent="0.2">
      <c r="A63" s="337"/>
      <c r="B63" s="398" t="s">
        <v>52</v>
      </c>
      <c r="C63" s="327">
        <f>[3]Republic_UA!$HG$19</f>
        <v>116</v>
      </c>
      <c r="D63" s="9">
        <f>[3]Republic_UA!$GS$19</f>
        <v>98</v>
      </c>
      <c r="E63" s="84">
        <f t="shared" si="21"/>
        <v>0.18367346938775511</v>
      </c>
      <c r="F63" s="9">
        <f>SUM([3]Republic_UA!$HD$19:$HG$19)</f>
        <v>541</v>
      </c>
      <c r="G63" s="9">
        <f>SUM([3]Republic_UA!$GP$19:$GS$19)</f>
        <v>1346</v>
      </c>
      <c r="H63" s="38">
        <f t="shared" ref="H63" si="30">(F63-G63)/G63</f>
        <v>-0.59806835066864783</v>
      </c>
      <c r="I63" s="84">
        <f t="shared" si="23"/>
        <v>6.9471197061920535E-3</v>
      </c>
      <c r="J63" s="337"/>
      <c r="K63" s="398" t="s">
        <v>52</v>
      </c>
      <c r="L63" s="327">
        <f>[3]Republic_UA!$HG$41</f>
        <v>7085</v>
      </c>
      <c r="M63" s="9">
        <f>[3]Republic_UA!$GS$41</f>
        <v>907</v>
      </c>
      <c r="N63" s="84">
        <f t="shared" si="24"/>
        <v>6.8114663726571116</v>
      </c>
      <c r="O63" s="327">
        <f>SUM([3]Republic_UA!$HD$41:$HG$41)</f>
        <v>28169</v>
      </c>
      <c r="P63" s="9">
        <f>SUM([3]Republic_UA!$GP$41:$GS$41)</f>
        <v>65094</v>
      </c>
      <c r="Q63" s="38">
        <f t="shared" si="25"/>
        <v>-0.5672565827879682</v>
      </c>
      <c r="R63" s="84">
        <f t="shared" si="26"/>
        <v>5.1823852255015517E-3</v>
      </c>
      <c r="S63" s="52"/>
      <c r="T63" s="397" t="s">
        <v>52</v>
      </c>
      <c r="U63" s="451">
        <f>[3]Republic_UA!$HG$64</f>
        <v>0</v>
      </c>
      <c r="V63" s="2">
        <f>[3]Republic_UA!$GS$64</f>
        <v>0</v>
      </c>
      <c r="W63" s="83" t="e">
        <f t="shared" si="27"/>
        <v>#DIV/0!</v>
      </c>
      <c r="X63" s="451">
        <f>SUM([3]Republic_UA!$HD$64:$HG$64)</f>
        <v>0</v>
      </c>
      <c r="Y63" s="2">
        <f>SUM([3]Republic_UA!$GP$64:$GS$64)</f>
        <v>0</v>
      </c>
      <c r="Z63" s="3" t="e">
        <f t="shared" si="28"/>
        <v>#DIV/0!</v>
      </c>
      <c r="AA63" s="83">
        <f t="shared" si="29"/>
        <v>0</v>
      </c>
    </row>
    <row r="64" spans="1:27" s="7" customFormat="1" ht="14.1" customHeight="1" x14ac:dyDescent="0.2">
      <c r="A64" s="337"/>
      <c r="B64" s="332" t="s">
        <v>97</v>
      </c>
      <c r="C64" s="327">
        <f>'[3]Sky West_UA'!$HG$19</f>
        <v>56</v>
      </c>
      <c r="D64" s="9">
        <f>'[3]Sky West_UA'!$GS$19+'[3]Sky West_CO'!$GS$19</f>
        <v>62</v>
      </c>
      <c r="E64" s="84">
        <f t="shared" si="21"/>
        <v>-9.6774193548387094E-2</v>
      </c>
      <c r="F64" s="9">
        <f>SUM('[3]Sky West_UA'!$HD$19:$HG$19)</f>
        <v>217</v>
      </c>
      <c r="G64" s="9">
        <f>SUM('[3]Sky West_UA'!$GP$19:$GS$19)+SUM('[3]Sky West_CO'!$GP$19:$GS$19)</f>
        <v>466</v>
      </c>
      <c r="H64" s="38">
        <f t="shared" si="22"/>
        <v>-0.53433476394849788</v>
      </c>
      <c r="I64" s="84">
        <f t="shared" si="23"/>
        <v>2.7865526363099365E-3</v>
      </c>
      <c r="J64" s="337"/>
      <c r="K64" s="331" t="s">
        <v>97</v>
      </c>
      <c r="L64" s="327">
        <f>'[3]Sky West_UA'!$HG$41</f>
        <v>3337</v>
      </c>
      <c r="M64" s="9">
        <f>'[3]Sky West_UA'!$GS$41+'[3]Sky West_CO'!$GS$41</f>
        <v>810</v>
      </c>
      <c r="N64" s="84">
        <f t="shared" si="24"/>
        <v>3.1197530864197529</v>
      </c>
      <c r="O64" s="327">
        <f>SUM('[3]Sky West_UA'!$HD$41:$HG$41)</f>
        <v>12026</v>
      </c>
      <c r="P64" s="9">
        <f>SUM('[3]Sky West_UA'!$GP$41:$GS$41)+SUM('[3]Sky West_CO'!$GP$41:$GS$41)</f>
        <v>26332</v>
      </c>
      <c r="Q64" s="38">
        <f t="shared" si="25"/>
        <v>-0.54329333130791435</v>
      </c>
      <c r="R64" s="84">
        <f t="shared" si="26"/>
        <v>2.2124805538670761E-3</v>
      </c>
      <c r="S64" s="52"/>
      <c r="T64" s="54" t="s">
        <v>97</v>
      </c>
      <c r="U64" s="451">
        <f>'[3]Sky West_UA'!$HG$64</f>
        <v>0</v>
      </c>
      <c r="V64" s="2">
        <f>'[3]Sky West_UA'!$GS$64+'[3]Sky West_CO'!$GS$64</f>
        <v>0</v>
      </c>
      <c r="W64" s="83" t="e">
        <f t="shared" si="27"/>
        <v>#DIV/0!</v>
      </c>
      <c r="X64" s="451">
        <f>SUM('[3]Sky West_UA'!$HD$64:$HG$64)</f>
        <v>0</v>
      </c>
      <c r="Y64" s="2">
        <f>SUM('[3]Sky West_UA'!$GP$64:$GS$64)+SUM('[3]Sky West_CO'!$GP$64:$GS$64)</f>
        <v>0</v>
      </c>
      <c r="Z64" s="3" t="e">
        <f t="shared" si="28"/>
        <v>#DIV/0!</v>
      </c>
      <c r="AA64" s="83">
        <f t="shared" si="29"/>
        <v>0</v>
      </c>
    </row>
    <row r="65" spans="1:27" s="7" customFormat="1" ht="14.1" customHeight="1" x14ac:dyDescent="0.2">
      <c r="A65" s="337"/>
      <c r="B65" s="333" t="s">
        <v>131</v>
      </c>
      <c r="C65" s="327">
        <f>'[3]Shuttle America'!$HG$19</f>
        <v>0</v>
      </c>
      <c r="D65" s="9">
        <f>'[3]Shuttle America'!$GS$19</f>
        <v>0</v>
      </c>
      <c r="E65" s="84" t="e">
        <f t="shared" si="21"/>
        <v>#DIV/0!</v>
      </c>
      <c r="F65" s="9">
        <f>SUM('[3]Shuttle America'!$HD$19:$HG$19)</f>
        <v>0</v>
      </c>
      <c r="G65" s="9">
        <f>SUM('[3]Shuttle America'!$GP$19:$GS$19)</f>
        <v>0</v>
      </c>
      <c r="H65" s="38" t="e">
        <f t="shared" si="22"/>
        <v>#DIV/0!</v>
      </c>
      <c r="I65" s="84">
        <f t="shared" si="23"/>
        <v>0</v>
      </c>
      <c r="J65" s="337"/>
      <c r="K65" s="333" t="s">
        <v>131</v>
      </c>
      <c r="L65" s="327">
        <f>'[3]Shuttle America'!$HG$41</f>
        <v>0</v>
      </c>
      <c r="M65" s="9">
        <f>'[3]Shuttle America'!$GS$41</f>
        <v>0</v>
      </c>
      <c r="N65" s="84" t="e">
        <f t="shared" si="24"/>
        <v>#DIV/0!</v>
      </c>
      <c r="O65" s="327">
        <f>SUM('[3]Shuttle America'!$HD$41:$HG$41)</f>
        <v>0</v>
      </c>
      <c r="P65" s="9">
        <f>SUM('[3]Shuttle America'!$GP$41:$GS$41)</f>
        <v>0</v>
      </c>
      <c r="Q65" s="38" t="e">
        <f t="shared" si="25"/>
        <v>#DIV/0!</v>
      </c>
      <c r="R65" s="84">
        <f t="shared" si="26"/>
        <v>0</v>
      </c>
      <c r="S65" s="52"/>
      <c r="T65" s="399" t="s">
        <v>131</v>
      </c>
      <c r="U65" s="451">
        <f>'[3]Shuttle America'!$HG$64</f>
        <v>0</v>
      </c>
      <c r="V65" s="2">
        <f>'[3]Shuttle America'!$GS$64</f>
        <v>0</v>
      </c>
      <c r="W65" s="83" t="e">
        <f t="shared" si="27"/>
        <v>#DIV/0!</v>
      </c>
      <c r="X65" s="451">
        <f>SUM('[3]Shuttle America'!$HD$64:$HG$64)</f>
        <v>0</v>
      </c>
      <c r="Y65" s="2">
        <f>SUM('[3]Shuttle America'!$GP$64:$GS$64)</f>
        <v>0</v>
      </c>
      <c r="Z65" s="3" t="e">
        <f t="shared" si="28"/>
        <v>#DIV/0!</v>
      </c>
      <c r="AA65" s="83">
        <f t="shared" si="29"/>
        <v>0</v>
      </c>
    </row>
    <row r="66" spans="1:27" s="7" customFormat="1" ht="14.1" customHeight="1" thickBot="1" x14ac:dyDescent="0.25">
      <c r="A66" s="401"/>
      <c r="B66" s="402"/>
      <c r="C66" s="338"/>
      <c r="D66" s="340"/>
      <c r="E66" s="341"/>
      <c r="F66" s="342"/>
      <c r="G66" s="342"/>
      <c r="H66" s="339"/>
      <c r="I66" s="341"/>
      <c r="J66" s="401"/>
      <c r="K66" s="402"/>
      <c r="L66" s="338"/>
      <c r="M66" s="342"/>
      <c r="N66" s="341"/>
      <c r="O66" s="338"/>
      <c r="P66" s="342"/>
      <c r="Q66" s="339"/>
      <c r="R66" s="435"/>
      <c r="S66" s="529"/>
      <c r="T66" s="530"/>
      <c r="U66" s="518"/>
      <c r="V66" s="340"/>
      <c r="W66" s="519"/>
      <c r="X66" s="518"/>
      <c r="Y66" s="340"/>
      <c r="Z66" s="520"/>
      <c r="AA66" s="513"/>
    </row>
    <row r="67" spans="1:27" s="202" customFormat="1" ht="14.1" customHeight="1" thickBot="1" x14ac:dyDescent="0.25">
      <c r="B67" s="237"/>
      <c r="C67" s="325"/>
      <c r="D67" s="325"/>
      <c r="E67" s="324"/>
      <c r="F67" s="400"/>
      <c r="G67" s="325"/>
      <c r="H67" s="324"/>
      <c r="I67" s="324"/>
      <c r="J67" s="343"/>
      <c r="K67" s="237"/>
      <c r="L67" s="344"/>
      <c r="M67" s="345"/>
      <c r="N67" s="343"/>
      <c r="O67" s="203"/>
      <c r="P67" s="203"/>
      <c r="Q67" s="203"/>
      <c r="R67" s="448"/>
      <c r="S67" s="531"/>
      <c r="T67" s="200"/>
      <c r="U67" s="532"/>
      <c r="V67" s="533"/>
      <c r="W67" s="531"/>
    </row>
    <row r="68" spans="1:27" ht="14.1" customHeight="1" x14ac:dyDescent="0.2">
      <c r="B68" s="346" t="s">
        <v>133</v>
      </c>
      <c r="C68" s="411">
        <f>+C70-C69</f>
        <v>11644</v>
      </c>
      <c r="D68" s="411">
        <f>+D70-D69</f>
        <v>4479</v>
      </c>
      <c r="E68" s="412">
        <f>(C68-D68)/D68</f>
        <v>1.599687430229962</v>
      </c>
      <c r="F68" s="411">
        <f>+F70-F69</f>
        <v>42066</v>
      </c>
      <c r="G68" s="411">
        <f>+G70-G69</f>
        <v>53944</v>
      </c>
      <c r="H68" s="416">
        <f>(F68-G68)/G68</f>
        <v>-0.22019130950615454</v>
      </c>
      <c r="I68" s="457">
        <f>F68/$F$70</f>
        <v>0.54018029123969491</v>
      </c>
      <c r="K68" s="346" t="s">
        <v>133</v>
      </c>
      <c r="L68" s="411">
        <f>+L70-L69</f>
        <v>1268096</v>
      </c>
      <c r="M68" s="411">
        <f>+M70-M69</f>
        <v>87707</v>
      </c>
      <c r="N68" s="412">
        <f>(L68-M68)/M68</f>
        <v>13.458321456668225</v>
      </c>
      <c r="O68" s="411">
        <f>+O70-O69</f>
        <v>4187690</v>
      </c>
      <c r="P68" s="411">
        <f>+P70-P69</f>
        <v>5895327</v>
      </c>
      <c r="Q68" s="446">
        <f>(O68-P68)/P68</f>
        <v>-0.2896594200796665</v>
      </c>
      <c r="R68" s="452">
        <f>+O68/O70</f>
        <v>0.7704292940814581</v>
      </c>
      <c r="S68" s="3"/>
      <c r="T68" s="534" t="s">
        <v>133</v>
      </c>
      <c r="U68" s="411">
        <f>+U70-U69</f>
        <v>4711925</v>
      </c>
      <c r="V68" s="411">
        <f>+V70-V69</f>
        <v>2157449</v>
      </c>
      <c r="W68" s="412">
        <f>(U68-V68)/V68</f>
        <v>1.1840261345691139</v>
      </c>
      <c r="X68" s="411">
        <f>+X70-X69</f>
        <v>15243317</v>
      </c>
      <c r="Y68" s="411">
        <f>+Y70-Y69</f>
        <v>25690699</v>
      </c>
      <c r="Z68" s="535">
        <f>(X68-Y68)/Y68</f>
        <v>-0.40666009126493602</v>
      </c>
      <c r="AA68" s="452">
        <f>+X68/X70</f>
        <v>0.99928891547252274</v>
      </c>
    </row>
    <row r="69" spans="1:27" ht="14.1" customHeight="1" x14ac:dyDescent="0.2">
      <c r="B69" s="300" t="s">
        <v>134</v>
      </c>
      <c r="C69" s="413">
        <f>C65+C42+C40+C38+C37+C41+C22+C64+C61+C39+C60+C62+C27+C26+C23+C17+C8+C63+C24+C25+C9+C18</f>
        <v>9249</v>
      </c>
      <c r="D69" s="413">
        <f>D65+D42+D40+D38+D37+D41+D22+D64+D61+D39+D60+D62+D27+D26+D23+D17+D8+D63+D24+D25+D9+D18</f>
        <v>4398</v>
      </c>
      <c r="E69" s="347">
        <f>(C69-D69)/D69</f>
        <v>1.1030013642564802</v>
      </c>
      <c r="F69" s="413">
        <f>F65+F42+F40+F38+F37+F41+F22+F64+F61+F39+F60+F62+F27+F26+F23+F17+F8+F63+F24+F25+F9+F18</f>
        <v>35808</v>
      </c>
      <c r="G69" s="413">
        <f>G65+G42+G40+G38+G37+G41+G22+G64+G61+G39+G60+G62+G27+G26+G23+G17+G8+G63+G24+G25+G9+G18</f>
        <v>38880</v>
      </c>
      <c r="H69" s="417">
        <f>(F69-G69)/G69</f>
        <v>-7.9012345679012344E-2</v>
      </c>
      <c r="I69" s="458">
        <f>F69/$F$70</f>
        <v>0.45981970876030509</v>
      </c>
      <c r="K69" s="300" t="s">
        <v>134</v>
      </c>
      <c r="L69" s="413">
        <f>L65+L42+L40+L38+L37+L41+L22+L64+L61+L39+L60+L62+L27+L26+L23+L17+L8+L63+L24+L25+L9+L18</f>
        <v>361996</v>
      </c>
      <c r="M69" s="413">
        <f>M65+M42+M40+M38+M37+M41+M22+M64+M61+M39+M60+M62+M27+M26+M23+M17+M8+M63+M24+M25+M9+M18</f>
        <v>37837</v>
      </c>
      <c r="N69" s="347">
        <f>(L69-M69)/M69</f>
        <v>8.5672489890847583</v>
      </c>
      <c r="O69" s="413">
        <f>O65+O42+O40+O38+O37+O41+O22+O64+O61+O39+O60+O62+O27+O26+O23+O17+O8+O63+O24+O25+O9+O18</f>
        <v>1247838</v>
      </c>
      <c r="P69" s="413">
        <f>P65+P42+P40+P38+P37+P41+P22+P64+P61+P39+P60+P62+P27+P26+P23+P17+P8+P63+P24+P25+P9+P18</f>
        <v>1543451</v>
      </c>
      <c r="Q69" s="444">
        <f>(O69-P69)/P69</f>
        <v>-0.19152729824270417</v>
      </c>
      <c r="R69" s="453">
        <f>+O69/O70</f>
        <v>0.22957070591854187</v>
      </c>
      <c r="S69" s="3"/>
      <c r="T69" s="200" t="s">
        <v>134</v>
      </c>
      <c r="U69" s="413">
        <f>U65+U42+U40+U38+U37+U41+U22+U64+U61+U39+U60+U62+U27+U26+U23+U17+U8+U63+U24+U25+U9+U18</f>
        <v>6039</v>
      </c>
      <c r="V69" s="413">
        <f>V65+V42+V40+V38+V37+V41+V22+V64+V61+V39+V60+V62+V27+V26+V23+V17+V8+V63+V24+V25+V9+V18</f>
        <v>355</v>
      </c>
      <c r="W69" s="347">
        <f>(U69-V69)/V69</f>
        <v>16.011267605633805</v>
      </c>
      <c r="X69" s="413">
        <f>X65+X42+X40+X38+X37+X41+X22+X64+X61+X39+X60+X62+X27+X26+X23+X17+X8+X63+X24+X25+X9+X18</f>
        <v>10847</v>
      </c>
      <c r="Y69" s="413">
        <f>Y65+Y42+Y40+Y38+Y37+Y41+Y22+Y64+Y61+Y39+Y60+Y62+Y27+Y26+Y23+Y17+Y8+Y63+Y24+Y25+Y9+Y18</f>
        <v>16049</v>
      </c>
      <c r="Z69" s="536">
        <f>(X69-Y69)/Y69</f>
        <v>-0.32413234469437346</v>
      </c>
      <c r="AA69" s="453">
        <f>+X69/X70</f>
        <v>7.1108452747721865E-4</v>
      </c>
    </row>
    <row r="70" spans="1:27" ht="14.1" customHeight="1" thickBot="1" x14ac:dyDescent="0.25">
      <c r="B70" s="300" t="s">
        <v>135</v>
      </c>
      <c r="C70" s="414">
        <f>C58+C56+C52+C46+C44+C35+C20+C15+C6+C54+C31+C29+C11+C50+C13+C48+C4+C33</f>
        <v>20893</v>
      </c>
      <c r="D70" s="414">
        <f>D58+D56+D52+D46+D44+D35+D20+D15+D6+D54+D31+D29+D11+D50+D13+D48+D4+D33</f>
        <v>8877</v>
      </c>
      <c r="E70" s="415">
        <f>(C70-D70)/D70</f>
        <v>1.3536104539822011</v>
      </c>
      <c r="F70" s="414">
        <f>F58+F56+F52+F46+F44+F35+F20+F15+F6+F54+F31+F29+F11+F50+F13+F48+F4+F33</f>
        <v>77874</v>
      </c>
      <c r="G70" s="414">
        <f>G58+G56+G52+G46+G44+G35+G20+G15+G6+G54+G31+G29+G11+G50+G13+G48+G4+G33</f>
        <v>92824</v>
      </c>
      <c r="H70" s="418">
        <f>(F70-G70)/G70</f>
        <v>-0.16105748513315521</v>
      </c>
      <c r="I70" s="459">
        <f>+H70/H70</f>
        <v>1</v>
      </c>
      <c r="K70" s="300" t="s">
        <v>135</v>
      </c>
      <c r="L70" s="414">
        <f>L58+L56+L52+L46+L44+L35+L20+L15+L6+L54+L31+L29+L11+L50+L13+L48+L4+L33</f>
        <v>1630092</v>
      </c>
      <c r="M70" s="414">
        <f>M58+M56+M52+M46+M44+M35+M20+M15+M6+M54+M31+M29+M11+M50+M13+M48+M4+M33</f>
        <v>125544</v>
      </c>
      <c r="N70" s="415">
        <f>(L70-M70)/M70</f>
        <v>11.984228636971899</v>
      </c>
      <c r="O70" s="414">
        <f>O58+O56+O52+O46+O44+O35+O20+O15+O6+O54+O31+O29+O11+O50+O13+O48+O4+O33</f>
        <v>5435528</v>
      </c>
      <c r="P70" s="414">
        <f>P58+P56+P52+P46+P44+P35+P20+P15+P6+P54+P31+P29+P11+P50+P13+P48+P4+P33</f>
        <v>7438778</v>
      </c>
      <c r="Q70" s="447">
        <f>(O70-P70)/P70</f>
        <v>-0.26929826377396932</v>
      </c>
      <c r="R70" s="454">
        <f>+O70/O70</f>
        <v>1</v>
      </c>
      <c r="S70" s="3"/>
      <c r="T70" s="200" t="s">
        <v>135</v>
      </c>
      <c r="U70" s="414">
        <f>U58+U56+U52+U46+U44+U35+U20+U15+U6+U54+U31+U29+U11+U50+U13+U48+U4+U33</f>
        <v>4717964</v>
      </c>
      <c r="V70" s="414">
        <f>V58+V56+V52+V46+V44+V35+V20+V15+V6+V54+V31+V29+V11+V50+V13+V48+V4+V33</f>
        <v>2157804</v>
      </c>
      <c r="W70" s="415">
        <f>(U70-V70)/V70</f>
        <v>1.1864654991834291</v>
      </c>
      <c r="X70" s="414">
        <f>X58+X56+X52+X46+X44+X35+X20+X15+X6+X54+X31+X29+X11+X50+X13+X48+X4+X33</f>
        <v>15254164</v>
      </c>
      <c r="Y70" s="414">
        <f>Y58+Y56+Y52+Y46+Y44+Y35+Y20+Y15+Y6+Y54+Y31+Y29+Y11+Y50+Y13+Y48+Y4+Y33</f>
        <v>25706748</v>
      </c>
      <c r="Z70" s="537">
        <f>(X70-Y70)/Y70</f>
        <v>-0.40660856830276626</v>
      </c>
      <c r="AA70" s="454">
        <f>+X70/X70</f>
        <v>1</v>
      </c>
    </row>
    <row r="71" spans="1:27" x14ac:dyDescent="0.2">
      <c r="D71" s="201"/>
      <c r="E71" s="201"/>
      <c r="F71" s="4"/>
      <c r="G71" s="7"/>
      <c r="H71"/>
      <c r="I71"/>
      <c r="J71"/>
      <c r="K71"/>
      <c r="M71"/>
      <c r="N71"/>
    </row>
    <row r="72" spans="1:27" x14ac:dyDescent="0.2">
      <c r="C72"/>
      <c r="D72"/>
      <c r="E72"/>
      <c r="F72"/>
      <c r="G72"/>
      <c r="H72"/>
      <c r="I72"/>
      <c r="J72"/>
      <c r="K72"/>
      <c r="N72"/>
      <c r="O72" s="2"/>
      <c r="P72" s="2"/>
      <c r="U72" s="128"/>
    </row>
    <row r="73" spans="1:27" x14ac:dyDescent="0.2">
      <c r="C73"/>
      <c r="D73"/>
      <c r="E73"/>
      <c r="F73"/>
      <c r="G73"/>
      <c r="H73"/>
      <c r="I73"/>
      <c r="J73"/>
      <c r="K73"/>
      <c r="N73"/>
      <c r="O73" s="2"/>
      <c r="P73" s="2"/>
      <c r="U73" s="128"/>
    </row>
    <row r="74" spans="1:27" x14ac:dyDescent="0.2">
      <c r="C74"/>
      <c r="D74"/>
      <c r="E74"/>
      <c r="F74"/>
      <c r="G74"/>
      <c r="H74"/>
      <c r="I74"/>
      <c r="J74"/>
      <c r="K74"/>
      <c r="L74"/>
      <c r="M74"/>
      <c r="N74"/>
      <c r="U74" s="128"/>
    </row>
    <row r="75" spans="1:27" x14ac:dyDescent="0.2">
      <c r="C75"/>
      <c r="D75"/>
      <c r="E75"/>
      <c r="F75"/>
      <c r="G75"/>
      <c r="H75"/>
      <c r="I75"/>
      <c r="J75"/>
      <c r="K75"/>
      <c r="L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E142" s="36"/>
      <c r="F142" s="204"/>
      <c r="G142" s="5"/>
      <c r="H142" s="36"/>
      <c r="I142" s="36"/>
      <c r="K142" s="11"/>
    </row>
    <row r="143" spans="4:14" x14ac:dyDescent="0.2">
      <c r="E143" s="36"/>
      <c r="F143" s="204"/>
      <c r="G143" s="5"/>
      <c r="H143" s="36"/>
      <c r="I143" s="36"/>
      <c r="K143" s="11"/>
    </row>
    <row r="144" spans="4:14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F1195" s="204"/>
      <c r="G1195" s="5"/>
      <c r="H1195" s="36"/>
      <c r="I1195" s="36"/>
      <c r="K1195" s="11"/>
    </row>
    <row r="1196" spans="5:11" x14ac:dyDescent="0.2">
      <c r="F1196" s="204"/>
      <c r="G1196" s="5"/>
      <c r="H1196" s="36"/>
      <c r="I1196" s="36"/>
      <c r="K1196" s="11"/>
    </row>
    <row r="1197" spans="5:11" x14ac:dyDescent="0.2"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April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E44" sqref="E4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44287</v>
      </c>
      <c r="B1" s="409" t="s">
        <v>17</v>
      </c>
      <c r="C1" s="409" t="s">
        <v>18</v>
      </c>
      <c r="D1" s="409" t="s">
        <v>19</v>
      </c>
      <c r="E1" s="409" t="s">
        <v>155</v>
      </c>
      <c r="F1" s="409" t="s">
        <v>161</v>
      </c>
      <c r="G1" s="409" t="s">
        <v>156</v>
      </c>
      <c r="H1" s="461" t="s">
        <v>199</v>
      </c>
      <c r="I1" s="461" t="s">
        <v>194</v>
      </c>
      <c r="J1" s="409" t="s">
        <v>20</v>
      </c>
      <c r="K1" s="410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60"/>
      <c r="I2" s="460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[3]American!$HG22</f>
        <v>46028</v>
      </c>
      <c r="C4" s="20">
        <f>[3]Delta!$HG22+[3]Delta!$HG32</f>
        <v>390273</v>
      </c>
      <c r="D4" s="20">
        <f>[3]United!$HG22</f>
        <v>24542</v>
      </c>
      <c r="E4" s="20">
        <f>[3]Spirit!$HG22</f>
        <v>32066</v>
      </c>
      <c r="F4" s="20">
        <f>[3]Condor!$HG22</f>
        <v>0</v>
      </c>
      <c r="G4" s="20">
        <f>'[3]Air France'!$HG22</f>
        <v>0</v>
      </c>
      <c r="H4" s="20">
        <f>'[3]Jet Blue'!$HG22</f>
        <v>700</v>
      </c>
      <c r="I4" s="20">
        <f>[3]KLM!$HG22+[3]KLM!$HG32</f>
        <v>0</v>
      </c>
      <c r="J4" s="20">
        <f>'Other Major Airline Stats'!K5</f>
        <v>177875</v>
      </c>
      <c r="K4" s="254">
        <f>SUM(B4:J4)</f>
        <v>671484</v>
      </c>
    </row>
    <row r="5" spans="1:20" x14ac:dyDescent="0.2">
      <c r="A5" s="60" t="s">
        <v>31</v>
      </c>
      <c r="B5" s="13">
        <f>[3]American!$HG23</f>
        <v>40019</v>
      </c>
      <c r="C5" s="13">
        <f>[3]Delta!$HG23+[3]Delta!$HG33</f>
        <v>359499</v>
      </c>
      <c r="D5" s="13">
        <f>[3]United!$HG23</f>
        <v>21189</v>
      </c>
      <c r="E5" s="13">
        <f>[3]Spirit!$HG23</f>
        <v>27298</v>
      </c>
      <c r="F5" s="13">
        <f>[3]Condor!$HG23</f>
        <v>0</v>
      </c>
      <c r="G5" s="13">
        <f>'[3]Air France'!$HG23</f>
        <v>0</v>
      </c>
      <c r="H5" s="13">
        <f>'[3]Jet Blue'!$HG23</f>
        <v>579</v>
      </c>
      <c r="I5" s="13">
        <f>[3]KLM!$HG23+[3]KLM!$HG33</f>
        <v>0</v>
      </c>
      <c r="J5" s="13">
        <f>'Other Major Airline Stats'!K6</f>
        <v>148028</v>
      </c>
      <c r="K5" s="255">
        <f>SUM(B5:J5)</f>
        <v>596612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86047</v>
      </c>
      <c r="C6" s="33">
        <f t="shared" si="0"/>
        <v>749772</v>
      </c>
      <c r="D6" s="33">
        <f t="shared" si="0"/>
        <v>45731</v>
      </c>
      <c r="E6" s="33">
        <f t="shared" si="0"/>
        <v>59364</v>
      </c>
      <c r="F6" s="33">
        <f t="shared" ref="F6:I6" si="1">SUM(F4:F5)</f>
        <v>0</v>
      </c>
      <c r="G6" s="33">
        <f t="shared" si="1"/>
        <v>0</v>
      </c>
      <c r="H6" s="33">
        <f t="shared" ref="H6" si="2">SUM(H4:H5)</f>
        <v>1279</v>
      </c>
      <c r="I6" s="33">
        <f t="shared" si="1"/>
        <v>0</v>
      </c>
      <c r="J6" s="33">
        <f>SUM(J4:J5)</f>
        <v>325903</v>
      </c>
      <c r="K6" s="256">
        <f>SUM(B6:J6)</f>
        <v>1268096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[3]American!$HG27</f>
        <v>1156</v>
      </c>
      <c r="C9" s="20">
        <f>[3]Delta!$HG27+[3]Delta!$HG37</f>
        <v>14440</v>
      </c>
      <c r="D9" s="20">
        <f>[3]United!$HG27</f>
        <v>893</v>
      </c>
      <c r="E9" s="20">
        <f>[3]Spirit!$HG27</f>
        <v>128</v>
      </c>
      <c r="F9" s="20">
        <f>[3]Condor!$HG27</f>
        <v>0</v>
      </c>
      <c r="G9" s="20">
        <f>'[3]Air France'!$HG27</f>
        <v>0</v>
      </c>
      <c r="H9" s="20">
        <f>'[3]Jet Blue'!$HG27</f>
        <v>21</v>
      </c>
      <c r="I9" s="20">
        <f>[3]KLM!$HG27+[3]KLM!$HG37</f>
        <v>0</v>
      </c>
      <c r="J9" s="20">
        <f>'Other Major Airline Stats'!K10</f>
        <v>3103</v>
      </c>
      <c r="K9" s="254">
        <f>SUM(B9:J9)</f>
        <v>19741</v>
      </c>
    </row>
    <row r="10" spans="1:20" x14ac:dyDescent="0.2">
      <c r="A10" s="60" t="s">
        <v>33</v>
      </c>
      <c r="B10" s="13">
        <f>[3]American!$HG28</f>
        <v>1368</v>
      </c>
      <c r="C10" s="13">
        <f>[3]Delta!$HG28+[3]Delta!$HG38</f>
        <v>14308</v>
      </c>
      <c r="D10" s="13">
        <f>[3]United!$HG28</f>
        <v>1052</v>
      </c>
      <c r="E10" s="13">
        <f>[3]Spirit!$HG28</f>
        <v>117</v>
      </c>
      <c r="F10" s="13">
        <f>[3]Condor!$HG28</f>
        <v>0</v>
      </c>
      <c r="G10" s="13">
        <f>'[3]Air France'!$HG28</f>
        <v>0</v>
      </c>
      <c r="H10" s="13">
        <f>'[3]Jet Blue'!$HG28</f>
        <v>11</v>
      </c>
      <c r="I10" s="13">
        <f>[3]KLM!$HG28+[3]KLM!$HG38</f>
        <v>0</v>
      </c>
      <c r="J10" s="13">
        <f>'Other Major Airline Stats'!K11</f>
        <v>3010</v>
      </c>
      <c r="K10" s="255">
        <f>SUM(B10:J10)</f>
        <v>19866</v>
      </c>
    </row>
    <row r="11" spans="1:20" ht="15.75" thickBot="1" x14ac:dyDescent="0.3">
      <c r="A11" s="61" t="s">
        <v>34</v>
      </c>
      <c r="B11" s="257">
        <f t="shared" ref="B11:J11" si="3">SUM(B9:B10)</f>
        <v>2524</v>
      </c>
      <c r="C11" s="257">
        <f t="shared" si="3"/>
        <v>28748</v>
      </c>
      <c r="D11" s="257">
        <f t="shared" si="3"/>
        <v>1945</v>
      </c>
      <c r="E11" s="257">
        <f t="shared" si="3"/>
        <v>245</v>
      </c>
      <c r="F11" s="257">
        <f t="shared" ref="F11:I11" si="4">SUM(F9:F10)</f>
        <v>0</v>
      </c>
      <c r="G11" s="257">
        <f t="shared" si="4"/>
        <v>0</v>
      </c>
      <c r="H11" s="257">
        <f t="shared" ref="H11" si="5">SUM(H9:H10)</f>
        <v>32</v>
      </c>
      <c r="I11" s="257">
        <f t="shared" si="4"/>
        <v>0</v>
      </c>
      <c r="J11" s="257">
        <f t="shared" si="3"/>
        <v>6113</v>
      </c>
      <c r="K11" s="258">
        <f>SUM(B11:J11)</f>
        <v>39607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[3]American!$HG4</f>
        <v>366</v>
      </c>
      <c r="C15" s="20">
        <f>[3]Delta!$HG4+[3]Delta!$HG15</f>
        <v>3705</v>
      </c>
      <c r="D15" s="20">
        <f>[3]United!$HG4</f>
        <v>173</v>
      </c>
      <c r="E15" s="20">
        <f>[3]Spirit!$HG4</f>
        <v>204</v>
      </c>
      <c r="F15" s="20">
        <f>[3]Condor!$HG4</f>
        <v>0</v>
      </c>
      <c r="G15" s="20">
        <f>'[3]Air France'!$HG4</f>
        <v>0</v>
      </c>
      <c r="H15" s="20">
        <f>'[3]Jet Blue'!$HG4</f>
        <v>9</v>
      </c>
      <c r="I15" s="20">
        <f>[3]KLM!$HG4+[3]KLM!$HG15</f>
        <v>0</v>
      </c>
      <c r="J15" s="20">
        <f>'Other Major Airline Stats'!K16</f>
        <v>1270</v>
      </c>
      <c r="K15" s="26">
        <f>SUM(B15:J15)</f>
        <v>5727</v>
      </c>
    </row>
    <row r="16" spans="1:20" x14ac:dyDescent="0.2">
      <c r="A16" s="60" t="s">
        <v>23</v>
      </c>
      <c r="B16" s="13">
        <f>[3]American!$HG5</f>
        <v>365</v>
      </c>
      <c r="C16" s="13">
        <f>[3]Delta!$HG5+[3]Delta!$HG16</f>
        <v>3704</v>
      </c>
      <c r="D16" s="13">
        <f>[3]United!$HG5</f>
        <v>173</v>
      </c>
      <c r="E16" s="13">
        <f>[3]Spirit!$HG5</f>
        <v>206</v>
      </c>
      <c r="F16" s="13">
        <f>[3]Condor!$HG5</f>
        <v>0</v>
      </c>
      <c r="G16" s="13">
        <f>'[3]Air France'!$HG5</f>
        <v>0</v>
      </c>
      <c r="H16" s="13">
        <f>'[3]Jet Blue'!$HG5</f>
        <v>9</v>
      </c>
      <c r="I16" s="13">
        <f>[3]KLM!$HG5+[3]KLM!$HG16</f>
        <v>0</v>
      </c>
      <c r="J16" s="13">
        <f>'Other Major Airline Stats'!K17</f>
        <v>1272</v>
      </c>
      <c r="K16" s="32">
        <f>SUM(B16:J16)</f>
        <v>5729</v>
      </c>
    </row>
    <row r="17" spans="1:11" x14ac:dyDescent="0.2">
      <c r="A17" s="60" t="s">
        <v>24</v>
      </c>
      <c r="B17" s="261">
        <f t="shared" ref="B17:J17" si="6">SUM(B15:B16)</f>
        <v>731</v>
      </c>
      <c r="C17" s="259">
        <f t="shared" si="6"/>
        <v>7409</v>
      </c>
      <c r="D17" s="259">
        <f t="shared" si="6"/>
        <v>346</v>
      </c>
      <c r="E17" s="259">
        <f t="shared" si="6"/>
        <v>410</v>
      </c>
      <c r="F17" s="259">
        <f t="shared" ref="F17:I17" si="7">SUM(F15:F16)</f>
        <v>0</v>
      </c>
      <c r="G17" s="259">
        <f t="shared" si="7"/>
        <v>0</v>
      </c>
      <c r="H17" s="259">
        <f t="shared" ref="H17" si="8">SUM(H15:H16)</f>
        <v>18</v>
      </c>
      <c r="I17" s="259">
        <f t="shared" si="7"/>
        <v>0</v>
      </c>
      <c r="J17" s="259">
        <f t="shared" si="6"/>
        <v>2542</v>
      </c>
      <c r="K17" s="260">
        <f>SUM(B17:J17)</f>
        <v>11456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[3]American!$HG8</f>
        <v>0</v>
      </c>
      <c r="C19" s="20">
        <f>[3]Delta!$HG8</f>
        <v>3</v>
      </c>
      <c r="D19" s="20">
        <f>[3]United!$HG8</f>
        <v>0</v>
      </c>
      <c r="E19" s="20">
        <f>[3]Spirit!$HG8</f>
        <v>0</v>
      </c>
      <c r="F19" s="20">
        <f>[3]Condor!$HG8</f>
        <v>0</v>
      </c>
      <c r="G19" s="20">
        <f>'[3]Air France'!$HG8</f>
        <v>0</v>
      </c>
      <c r="H19" s="20">
        <f>'[3]Jet Blue'!$HG8</f>
        <v>0</v>
      </c>
      <c r="I19" s="20">
        <f>[3]KLM!$HG8</f>
        <v>0</v>
      </c>
      <c r="J19" s="20">
        <f>'Other Major Airline Stats'!K20</f>
        <v>87</v>
      </c>
      <c r="K19" s="26">
        <f>SUM(B19:J19)</f>
        <v>90</v>
      </c>
    </row>
    <row r="20" spans="1:11" x14ac:dyDescent="0.2">
      <c r="A20" s="60" t="s">
        <v>26</v>
      </c>
      <c r="B20" s="13">
        <f>[3]American!$HG9</f>
        <v>0</v>
      </c>
      <c r="C20" s="13">
        <f>[3]Delta!$HG9</f>
        <v>5</v>
      </c>
      <c r="D20" s="13">
        <f>[3]United!$HG9</f>
        <v>0</v>
      </c>
      <c r="E20" s="13">
        <f>[3]Spirit!$HG9</f>
        <v>0</v>
      </c>
      <c r="F20" s="13">
        <f>[3]Condor!$HG9</f>
        <v>0</v>
      </c>
      <c r="G20" s="13">
        <f>'[3]Air France'!$HG9</f>
        <v>0</v>
      </c>
      <c r="H20" s="13">
        <f>'[3]Jet Blue'!$HG9</f>
        <v>0</v>
      </c>
      <c r="I20" s="13">
        <f>[3]KLM!$HG9</f>
        <v>0</v>
      </c>
      <c r="J20" s="13">
        <f>'Other Major Airline Stats'!K21</f>
        <v>93</v>
      </c>
      <c r="K20" s="32">
        <f>SUM(B20:J20)</f>
        <v>98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8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0</v>
      </c>
      <c r="I21" s="259">
        <f t="shared" si="10"/>
        <v>0</v>
      </c>
      <c r="J21" s="259">
        <f t="shared" si="9"/>
        <v>180</v>
      </c>
      <c r="K21" s="173">
        <f>SUM(B21:J21)</f>
        <v>188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731</v>
      </c>
      <c r="C23" s="27">
        <f t="shared" si="12"/>
        <v>7417</v>
      </c>
      <c r="D23" s="27">
        <f t="shared" si="12"/>
        <v>346</v>
      </c>
      <c r="E23" s="27">
        <f>E17+E21</f>
        <v>410</v>
      </c>
      <c r="F23" s="27">
        <f t="shared" ref="F23:I23" si="13">F17+F21</f>
        <v>0</v>
      </c>
      <c r="G23" s="27">
        <f t="shared" si="13"/>
        <v>0</v>
      </c>
      <c r="H23" s="27">
        <f t="shared" ref="H23" si="14">H17+H21</f>
        <v>18</v>
      </c>
      <c r="I23" s="27">
        <f t="shared" si="13"/>
        <v>0</v>
      </c>
      <c r="J23" s="27">
        <f t="shared" si="12"/>
        <v>2722</v>
      </c>
      <c r="K23" s="28">
        <f>SUM(B23:J23)</f>
        <v>11644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[3]American!$HG47</f>
        <v>34845</v>
      </c>
      <c r="C28" s="20">
        <f>[3]Delta!$HG47</f>
        <v>1019504</v>
      </c>
      <c r="D28" s="20">
        <f>[3]United!$HG47</f>
        <v>45446</v>
      </c>
      <c r="E28" s="20">
        <f>[3]Spirit!$HG47</f>
        <v>0</v>
      </c>
      <c r="F28" s="20">
        <f>[3]Condor!$HG47</f>
        <v>0</v>
      </c>
      <c r="G28" s="20">
        <f>'[3]Air France'!$HG47</f>
        <v>0</v>
      </c>
      <c r="H28" s="20">
        <f>'[3]Jet Blue'!$HG47</f>
        <v>0</v>
      </c>
      <c r="I28" s="20">
        <f>[3]KLM!$HG47</f>
        <v>0</v>
      </c>
      <c r="J28" s="20">
        <f>'Other Major Airline Stats'!K28</f>
        <v>279614</v>
      </c>
      <c r="K28" s="26">
        <f>SUM(B28:J28)</f>
        <v>1379409</v>
      </c>
    </row>
    <row r="29" spans="1:11" x14ac:dyDescent="0.2">
      <c r="A29" s="60" t="s">
        <v>38</v>
      </c>
      <c r="B29" s="13">
        <f>[3]American!$HG48</f>
        <v>58973</v>
      </c>
      <c r="C29" s="13">
        <f>[3]Delta!$HG48</f>
        <v>1016198</v>
      </c>
      <c r="D29" s="13">
        <f>[3]United!$HG48</f>
        <v>3946</v>
      </c>
      <c r="E29" s="13">
        <f>[3]Spirit!$HG48</f>
        <v>0</v>
      </c>
      <c r="F29" s="13">
        <f>[3]Condor!$HG48</f>
        <v>0</v>
      </c>
      <c r="G29" s="13">
        <f>'[3]Air France'!$HG48</f>
        <v>0</v>
      </c>
      <c r="H29" s="13">
        <f>'[3]Jet Blue'!$HG48</f>
        <v>0</v>
      </c>
      <c r="I29" s="13">
        <f>[3]KLM!$HG48</f>
        <v>0</v>
      </c>
      <c r="J29" s="13">
        <f>'Other Major Airline Stats'!K29</f>
        <v>157333</v>
      </c>
      <c r="K29" s="32">
        <f>SUM(B29:J29)</f>
        <v>1236450</v>
      </c>
    </row>
    <row r="30" spans="1:11" x14ac:dyDescent="0.2">
      <c r="A30" s="64" t="s">
        <v>39</v>
      </c>
      <c r="B30" s="261">
        <f t="shared" ref="B30:J30" si="15">SUM(B28:B29)</f>
        <v>93818</v>
      </c>
      <c r="C30" s="261">
        <f t="shared" si="15"/>
        <v>2035702</v>
      </c>
      <c r="D30" s="261">
        <f t="shared" si="15"/>
        <v>49392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0</v>
      </c>
      <c r="H30" s="261">
        <f t="shared" ref="H30" si="17">SUM(H28:H29)</f>
        <v>0</v>
      </c>
      <c r="I30" s="261">
        <f t="shared" si="16"/>
        <v>0</v>
      </c>
      <c r="J30" s="261">
        <f t="shared" si="15"/>
        <v>436947</v>
      </c>
      <c r="K30" s="26">
        <f>SUM(B30:J30)</f>
        <v>2615859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[3]American!$HG52</f>
        <v>8363</v>
      </c>
      <c r="C33" s="20">
        <f>[3]Delta!$HG52</f>
        <v>615361</v>
      </c>
      <c r="D33" s="20">
        <f>[3]United!$HG52</f>
        <v>14936</v>
      </c>
      <c r="E33" s="20">
        <f>[3]Spirit!$HG52</f>
        <v>0</v>
      </c>
      <c r="F33" s="20">
        <f>[3]Condor!$HG52</f>
        <v>0</v>
      </c>
      <c r="G33" s="20">
        <f>'[3]Air France'!$HG52</f>
        <v>0</v>
      </c>
      <c r="H33" s="20">
        <f>'[3]Jet Blue'!$HG52</f>
        <v>0</v>
      </c>
      <c r="I33" s="20">
        <f>[3]KLM!$HG52</f>
        <v>0</v>
      </c>
      <c r="J33" s="20">
        <f>'Other Major Airline Stats'!K33</f>
        <v>51382</v>
      </c>
      <c r="K33" s="26">
        <f t="shared" si="18"/>
        <v>690042</v>
      </c>
    </row>
    <row r="34" spans="1:11" x14ac:dyDescent="0.2">
      <c r="A34" s="60" t="s">
        <v>38</v>
      </c>
      <c r="B34" s="13">
        <f>[3]American!$HG53</f>
        <v>115160</v>
      </c>
      <c r="C34" s="13">
        <f>[3]Delta!$HG53</f>
        <v>987633</v>
      </c>
      <c r="D34" s="13">
        <f>[3]United!$HG53</f>
        <v>48505</v>
      </c>
      <c r="E34" s="13">
        <f>[3]Spirit!$HG53</f>
        <v>0</v>
      </c>
      <c r="F34" s="13">
        <f>[3]Condor!$HG53</f>
        <v>0</v>
      </c>
      <c r="G34" s="13">
        <f>'[3]Air France'!$HG53</f>
        <v>0</v>
      </c>
      <c r="H34" s="13">
        <f>'[3]Jet Blue'!$HG53</f>
        <v>0</v>
      </c>
      <c r="I34" s="13">
        <f>[3]KLM!$HG53</f>
        <v>0</v>
      </c>
      <c r="J34" s="13">
        <f>'Other Major Airline Stats'!K34</f>
        <v>254726</v>
      </c>
      <c r="K34" s="32">
        <f t="shared" si="18"/>
        <v>1406024</v>
      </c>
    </row>
    <row r="35" spans="1:11" x14ac:dyDescent="0.2">
      <c r="A35" s="64" t="s">
        <v>41</v>
      </c>
      <c r="B35" s="261">
        <f t="shared" ref="B35:J35" si="19">SUM(B33:B34)</f>
        <v>123523</v>
      </c>
      <c r="C35" s="261">
        <f t="shared" si="19"/>
        <v>1602994</v>
      </c>
      <c r="D35" s="261">
        <f t="shared" si="19"/>
        <v>63441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0</v>
      </c>
      <c r="H35" s="261">
        <f t="shared" ref="H35" si="21">SUM(H33:H34)</f>
        <v>0</v>
      </c>
      <c r="I35" s="261">
        <f t="shared" si="20"/>
        <v>0</v>
      </c>
      <c r="J35" s="261">
        <f t="shared" si="19"/>
        <v>306108</v>
      </c>
      <c r="K35" s="26">
        <f t="shared" si="18"/>
        <v>2096066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[3]American!$HG57</f>
        <v>0</v>
      </c>
      <c r="C38" s="20">
        <f>[3]Delta!$HG57</f>
        <v>0</v>
      </c>
      <c r="D38" s="20">
        <f>[3]United!$HG57</f>
        <v>0</v>
      </c>
      <c r="E38" s="20">
        <f>[3]Spirit!$HG57</f>
        <v>0</v>
      </c>
      <c r="F38" s="20">
        <f>[3]Condor!$HG57</f>
        <v>0</v>
      </c>
      <c r="G38" s="20">
        <f>'[3]Air France'!$HG57</f>
        <v>0</v>
      </c>
      <c r="H38" s="20">
        <f>'[3]Jet Blue'!$HG57</f>
        <v>0</v>
      </c>
      <c r="I38" s="20">
        <f>[3]KLM!$HG57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[3]American!$HG58</f>
        <v>0</v>
      </c>
      <c r="C39" s="13">
        <f>[3]Delta!$HG58</f>
        <v>0</v>
      </c>
      <c r="D39" s="13">
        <f>[3]United!$HG58</f>
        <v>0</v>
      </c>
      <c r="E39" s="13">
        <f>[3]Spirit!$HG58</f>
        <v>0</v>
      </c>
      <c r="F39" s="13">
        <f>[3]Condor!$HG58</f>
        <v>0</v>
      </c>
      <c r="G39" s="13">
        <f>'[3]Air France'!$HG58</f>
        <v>0</v>
      </c>
      <c r="H39" s="13">
        <f>'[3]Jet Blue'!$HG58</f>
        <v>0</v>
      </c>
      <c r="I39" s="13">
        <f>[3]KLM!$HG58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43208</v>
      </c>
      <c r="C43" s="20">
        <f t="shared" si="25"/>
        <v>1634865</v>
      </c>
      <c r="D43" s="20">
        <f t="shared" si="25"/>
        <v>60382</v>
      </c>
      <c r="E43" s="20">
        <f>E28+E33+E38</f>
        <v>0</v>
      </c>
      <c r="F43" s="20">
        <f t="shared" ref="F43:I43" si="26">F28+F33+F38</f>
        <v>0</v>
      </c>
      <c r="G43" s="20">
        <f t="shared" si="26"/>
        <v>0</v>
      </c>
      <c r="H43" s="20">
        <f t="shared" ref="H43" si="27">H28+H33+H38</f>
        <v>0</v>
      </c>
      <c r="I43" s="20">
        <f t="shared" si="26"/>
        <v>0</v>
      </c>
      <c r="J43" s="20">
        <f t="shared" si="25"/>
        <v>330996</v>
      </c>
      <c r="K43" s="26">
        <f>SUM(B43:J43)</f>
        <v>2069451</v>
      </c>
    </row>
    <row r="44" spans="1:11" x14ac:dyDescent="0.2">
      <c r="A44" s="60" t="s">
        <v>38</v>
      </c>
      <c r="B44" s="13">
        <f t="shared" si="25"/>
        <v>174133</v>
      </c>
      <c r="C44" s="13">
        <f t="shared" si="25"/>
        <v>2003831</v>
      </c>
      <c r="D44" s="13">
        <f t="shared" si="25"/>
        <v>52451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412059</v>
      </c>
      <c r="K44" s="26">
        <f>SUM(B44:J44)</f>
        <v>2642474</v>
      </c>
    </row>
    <row r="45" spans="1:11" ht="15.75" thickBot="1" x14ac:dyDescent="0.3">
      <c r="A45" s="61" t="s">
        <v>46</v>
      </c>
      <c r="B45" s="262">
        <f t="shared" ref="B45:J45" si="30">SUM(B43:B44)</f>
        <v>217341</v>
      </c>
      <c r="C45" s="262">
        <f t="shared" si="30"/>
        <v>3638696</v>
      </c>
      <c r="D45" s="262">
        <f t="shared" si="30"/>
        <v>112833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0</v>
      </c>
      <c r="H45" s="262">
        <f t="shared" ref="H45" si="32">SUM(H43:H44)</f>
        <v>0</v>
      </c>
      <c r="I45" s="262">
        <f t="shared" si="31"/>
        <v>0</v>
      </c>
      <c r="J45" s="262">
        <f t="shared" si="30"/>
        <v>743055</v>
      </c>
      <c r="K45" s="263">
        <f>SUM(B45:J45)</f>
        <v>4711925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[3]Delta!$HG70+[3]Delta!$HG73</f>
        <v>251860</v>
      </c>
      <c r="D47" s="278"/>
      <c r="E47" s="278"/>
      <c r="F47" s="278"/>
      <c r="G47" s="278"/>
      <c r="H47" s="278"/>
      <c r="I47" s="278"/>
      <c r="J47" s="278"/>
      <c r="K47" s="279">
        <f>SUM(B47:J47)</f>
        <v>251860</v>
      </c>
    </row>
    <row r="48" spans="1:11" hidden="1" x14ac:dyDescent="0.2">
      <c r="A48" s="349" t="s">
        <v>122</v>
      </c>
      <c r="C48" s="291">
        <f>[3]Delta!$HG71+[3]Delta!$HG74</f>
        <v>107639</v>
      </c>
      <c r="D48" s="278"/>
      <c r="E48" s="278"/>
      <c r="F48" s="278"/>
      <c r="G48" s="278"/>
      <c r="H48" s="278"/>
      <c r="I48" s="278"/>
      <c r="J48" s="278"/>
      <c r="K48" s="279">
        <f>SUM(B48:J48)</f>
        <v>107639</v>
      </c>
    </row>
    <row r="49" spans="1:11" hidden="1" x14ac:dyDescent="0.2">
      <c r="A49" s="350" t="s">
        <v>123</v>
      </c>
      <c r="C49" s="292">
        <f>SUM(C47:C48)</f>
        <v>359499</v>
      </c>
      <c r="K49" s="279">
        <f>SUM(B49:J49)</f>
        <v>359499</v>
      </c>
    </row>
    <row r="50" spans="1:11" x14ac:dyDescent="0.2">
      <c r="A50" s="348" t="s">
        <v>121</v>
      </c>
      <c r="B50" s="360"/>
      <c r="C50" s="294">
        <f>[3]Delta!$HG70+[3]Delta!$HG73</f>
        <v>251860</v>
      </c>
      <c r="D50" s="360"/>
      <c r="E50" s="294">
        <f>[3]Spirit!$HG70+[3]Spirit!$HG73</f>
        <v>0</v>
      </c>
      <c r="F50" s="360"/>
      <c r="G50" s="360"/>
      <c r="H50" s="360"/>
      <c r="I50" s="360"/>
      <c r="J50" s="293">
        <f>'Other Major Airline Stats'!K48</f>
        <v>131643</v>
      </c>
      <c r="K50" s="282">
        <f>SUM(B50:J50)</f>
        <v>383503</v>
      </c>
    </row>
    <row r="51" spans="1:11" x14ac:dyDescent="0.2">
      <c r="A51" s="362" t="s">
        <v>122</v>
      </c>
      <c r="B51" s="360"/>
      <c r="C51" s="294">
        <f>[3]Delta!$HG71+[3]Delta!$HG74</f>
        <v>107639</v>
      </c>
      <c r="D51" s="360"/>
      <c r="E51" s="294">
        <f>[3]Spirit!$HG71+[3]Spirit!$HG74</f>
        <v>0</v>
      </c>
      <c r="F51" s="360"/>
      <c r="G51" s="360"/>
      <c r="H51" s="360"/>
      <c r="I51" s="360"/>
      <c r="J51" s="293">
        <f>+'Other Major Airline Stats'!K49</f>
        <v>198</v>
      </c>
      <c r="K51" s="282">
        <f>SUM(B51:J51)</f>
        <v>107837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F43" sqref="F43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44287</v>
      </c>
      <c r="B2" s="408" t="s">
        <v>47</v>
      </c>
      <c r="C2" s="407" t="s">
        <v>178</v>
      </c>
      <c r="D2" s="410" t="s">
        <v>211</v>
      </c>
      <c r="E2" s="410" t="s">
        <v>239</v>
      </c>
      <c r="F2" s="407" t="s">
        <v>179</v>
      </c>
      <c r="G2" s="408" t="s">
        <v>48</v>
      </c>
      <c r="H2" s="407" t="s">
        <v>129</v>
      </c>
      <c r="I2" s="407" t="s">
        <v>49</v>
      </c>
      <c r="J2" s="407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[3]Frontier!$HG22</f>
        <v>10448</v>
      </c>
      <c r="C5" s="116">
        <f>'[3]Air Choice One'!$HG22</f>
        <v>0</v>
      </c>
      <c r="D5" s="128">
        <f>'[3]Aer Lingus'!$HG22+'[3]Aer Lingus'!$HG32</f>
        <v>0</v>
      </c>
      <c r="E5" s="116">
        <f>'[3]Denver Air'!$HG22+'[3]Denver Air'!$HG32</f>
        <v>307</v>
      </c>
      <c r="F5" s="116">
        <f>'[3]Boutique Air'!$HG22</f>
        <v>139</v>
      </c>
      <c r="G5" s="144">
        <f>[3]Icelandair!$HG32</f>
        <v>0</v>
      </c>
      <c r="H5" s="116">
        <f>[3]Southwest!$HG22</f>
        <v>48146</v>
      </c>
      <c r="I5" s="116">
        <f>'[3]Sun Country'!$HG22+'[3]Sun Country'!$HG32</f>
        <v>111276</v>
      </c>
      <c r="J5" s="116">
        <f>[3]Alaska!$HG22</f>
        <v>7559</v>
      </c>
      <c r="K5" s="145">
        <f>SUM(B5:J5)</f>
        <v>177875</v>
      </c>
      <c r="N5" s="128"/>
    </row>
    <row r="6" spans="1:14" x14ac:dyDescent="0.2">
      <c r="A6" s="60" t="s">
        <v>31</v>
      </c>
      <c r="B6" s="144">
        <f>[3]Frontier!$HG23</f>
        <v>8277</v>
      </c>
      <c r="C6" s="116">
        <f>'[3]Air Choice One'!$HG23</f>
        <v>0</v>
      </c>
      <c r="D6" s="128">
        <f>'[3]Aer Lingus'!$HG23+'[3]Aer Lingus'!$HG33</f>
        <v>0</v>
      </c>
      <c r="E6" s="116">
        <f>'[3]Denver Air'!$HG23+'[3]Denver Air'!$HG33</f>
        <v>349</v>
      </c>
      <c r="F6" s="116">
        <f>'[3]Boutique Air'!$HG23</f>
        <v>96</v>
      </c>
      <c r="G6" s="144">
        <f>[3]Icelandair!$HG33</f>
        <v>0</v>
      </c>
      <c r="H6" s="116">
        <f>[3]Southwest!$HG23</f>
        <v>40482</v>
      </c>
      <c r="I6" s="116">
        <f>'[3]Sun Country'!$HG23+'[3]Sun Country'!$HG33</f>
        <v>91359</v>
      </c>
      <c r="J6" s="116">
        <f>[3]Alaska!$HG23</f>
        <v>7465</v>
      </c>
      <c r="K6" s="145">
        <f>SUM(B6:J6)</f>
        <v>148028</v>
      </c>
    </row>
    <row r="7" spans="1:14" ht="15" x14ac:dyDescent="0.25">
      <c r="A7" s="58" t="s">
        <v>7</v>
      </c>
      <c r="B7" s="153">
        <f t="shared" ref="B7:J7" si="0">SUM(B5:B6)</f>
        <v>18725</v>
      </c>
      <c r="C7" s="153">
        <f t="shared" ref="C7:F7" si="1">SUM(C5:C6)</f>
        <v>0</v>
      </c>
      <c r="D7" s="153">
        <f>SUM(D5:D6)</f>
        <v>0</v>
      </c>
      <c r="E7" s="153">
        <f>SUM(E5:E6)</f>
        <v>656</v>
      </c>
      <c r="F7" s="153">
        <f t="shared" si="1"/>
        <v>235</v>
      </c>
      <c r="G7" s="153">
        <f t="shared" si="0"/>
        <v>0</v>
      </c>
      <c r="H7" s="153">
        <f t="shared" si="0"/>
        <v>88628</v>
      </c>
      <c r="I7" s="153">
        <f>SUM(I5:I6)</f>
        <v>202635</v>
      </c>
      <c r="J7" s="153">
        <f t="shared" si="0"/>
        <v>15024</v>
      </c>
      <c r="K7" s="154">
        <f>SUM(B7:J7)</f>
        <v>325903</v>
      </c>
    </row>
    <row r="8" spans="1:14" x14ac:dyDescent="0.2">
      <c r="A8" s="60"/>
      <c r="B8" s="152"/>
      <c r="C8" s="152"/>
      <c r="D8" s="470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70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[3]Frontier!$HG27</f>
        <v>64</v>
      </c>
      <c r="C10" s="152">
        <f>'[3]Air Choice One'!$HG27</f>
        <v>0</v>
      </c>
      <c r="D10" s="470">
        <f>'[3]Aer Lingus'!$HG27+'[3]Aer Lingus'!$HG37</f>
        <v>0</v>
      </c>
      <c r="E10" s="152">
        <f>'[3]Denver Air'!$HG27+'[3]Denver Air'!$HG37</f>
        <v>17</v>
      </c>
      <c r="F10" s="152">
        <f>'[3]Boutique Air'!$HG27</f>
        <v>0</v>
      </c>
      <c r="G10" s="152">
        <f>[3]Icelandair!$HG37</f>
        <v>0</v>
      </c>
      <c r="H10" s="152">
        <f>[3]Southwest!$HG27</f>
        <v>915</v>
      </c>
      <c r="I10" s="152">
        <f>'[3]Sun Country'!$HG27+'[3]Sun Country'!$HG37</f>
        <v>1925</v>
      </c>
      <c r="J10" s="152">
        <f>[3]Alaska!$HG27</f>
        <v>182</v>
      </c>
      <c r="K10" s="145">
        <f>SUM(B10:J10)</f>
        <v>3103</v>
      </c>
    </row>
    <row r="11" spans="1:14" x14ac:dyDescent="0.2">
      <c r="A11" s="60" t="s">
        <v>33</v>
      </c>
      <c r="B11" s="155">
        <f>[3]Frontier!$HG28</f>
        <v>69</v>
      </c>
      <c r="C11" s="155">
        <f>'[3]Air Choice One'!$HG28</f>
        <v>0</v>
      </c>
      <c r="D11" s="155">
        <f>'[3]Aer Lingus'!$HG28+'[3]Aer Lingus'!$HG38</f>
        <v>0</v>
      </c>
      <c r="E11" s="155">
        <f>'[3]Denver Air'!$HG28+'[3]Denver Air'!$HG38</f>
        <v>23</v>
      </c>
      <c r="F11" s="155">
        <f>'[3]Boutique Air'!$HG28</f>
        <v>0</v>
      </c>
      <c r="G11" s="155">
        <f>[3]Icelandair!$HG38</f>
        <v>0</v>
      </c>
      <c r="H11" s="155">
        <f>[3]Southwest!$HG28</f>
        <v>992</v>
      </c>
      <c r="I11" s="155">
        <f>'[3]Sun Country'!$HG28+'[3]Sun Country'!$HG38</f>
        <v>1737</v>
      </c>
      <c r="J11" s="155">
        <f>[3]Alaska!$HG28</f>
        <v>189</v>
      </c>
      <c r="K11" s="145">
        <f>SUM(B11:J11)</f>
        <v>3010</v>
      </c>
    </row>
    <row r="12" spans="1:14" ht="15.75" thickBot="1" x14ac:dyDescent="0.3">
      <c r="A12" s="61" t="s">
        <v>34</v>
      </c>
      <c r="B12" s="148">
        <f t="shared" ref="B12:J12" si="2">SUM(B10:B11)</f>
        <v>133</v>
      </c>
      <c r="C12" s="148">
        <f t="shared" ref="C12:F12" si="3">SUM(C10:C11)</f>
        <v>0</v>
      </c>
      <c r="D12" s="148">
        <f>SUM(D10:D11)</f>
        <v>0</v>
      </c>
      <c r="E12" s="148">
        <f>SUM(E10:E11)</f>
        <v>40</v>
      </c>
      <c r="F12" s="148">
        <f t="shared" si="3"/>
        <v>0</v>
      </c>
      <c r="G12" s="148">
        <f t="shared" si="2"/>
        <v>0</v>
      </c>
      <c r="H12" s="148">
        <f t="shared" si="2"/>
        <v>1907</v>
      </c>
      <c r="I12" s="148">
        <f>SUM(I10:I11)</f>
        <v>3662</v>
      </c>
      <c r="J12" s="148">
        <f t="shared" si="2"/>
        <v>371</v>
      </c>
      <c r="K12" s="156">
        <f>SUM(B12:J12)</f>
        <v>6113</v>
      </c>
      <c r="N12" s="128"/>
    </row>
    <row r="13" spans="1:14" ht="15" x14ac:dyDescent="0.25">
      <c r="A13" s="57"/>
      <c r="B13" s="264"/>
      <c r="C13" s="264"/>
      <c r="D13" s="471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[3]Frontier!$HG4</f>
        <v>63</v>
      </c>
      <c r="C16" s="104">
        <f>'[3]Air Choice One'!$HG4</f>
        <v>0</v>
      </c>
      <c r="D16" s="128">
        <f>'[3]Aer Lingus'!$HG4+'[3]Aer Lingus'!$HG15</f>
        <v>0</v>
      </c>
      <c r="E16" s="116">
        <f>'[3]Denver Air'!$HG4+'[3]Denver Air'!$HG15</f>
        <v>52</v>
      </c>
      <c r="F16" s="104">
        <f>'[3]Boutique Air'!$HG4</f>
        <v>25</v>
      </c>
      <c r="G16" s="144">
        <f>[3]Icelandair!$HG15</f>
        <v>0</v>
      </c>
      <c r="H16" s="104">
        <f>[3]Southwest!$HG4</f>
        <v>362</v>
      </c>
      <c r="I16" s="116">
        <f>'[3]Sun Country'!$HG4+'[3]Sun Country'!$HG15</f>
        <v>712</v>
      </c>
      <c r="J16" s="116">
        <f>[3]Alaska!$HG4</f>
        <v>56</v>
      </c>
      <c r="K16" s="145">
        <f>SUM(B16:J16)</f>
        <v>1270</v>
      </c>
    </row>
    <row r="17" spans="1:258" x14ac:dyDescent="0.2">
      <c r="A17" s="60" t="s">
        <v>23</v>
      </c>
      <c r="B17" s="144">
        <f>[3]Frontier!$HG5</f>
        <v>63</v>
      </c>
      <c r="C17" s="104">
        <f>'[3]Air Choice One'!$HG5</f>
        <v>0</v>
      </c>
      <c r="D17" s="128">
        <f>'[3]Aer Lingus'!$HG5+'[3]Aer Lingus'!$HG16</f>
        <v>0</v>
      </c>
      <c r="E17" s="116">
        <f>'[3]Denver Air'!$HG5+'[3]Denver Air'!$HG16</f>
        <v>52</v>
      </c>
      <c r="F17" s="104">
        <f>'[3]Boutique Air'!$HG5</f>
        <v>24</v>
      </c>
      <c r="G17" s="144">
        <f>[3]Icelandair!$HG16</f>
        <v>0</v>
      </c>
      <c r="H17" s="104">
        <f>[3]Southwest!$HG5</f>
        <v>364</v>
      </c>
      <c r="I17" s="116">
        <f>'[3]Sun Country'!$HG5+'[3]Sun Country'!$HG16</f>
        <v>713</v>
      </c>
      <c r="J17" s="116">
        <f>[3]Alaska!$HG5</f>
        <v>56</v>
      </c>
      <c r="K17" s="145">
        <f>SUM(B17:J17)</f>
        <v>1272</v>
      </c>
    </row>
    <row r="18" spans="1:258" x14ac:dyDescent="0.2">
      <c r="A18" s="64" t="s">
        <v>24</v>
      </c>
      <c r="B18" s="146">
        <f t="shared" ref="B18:J18" si="4">SUM(B16:B17)</f>
        <v>126</v>
      </c>
      <c r="C18" s="146">
        <f t="shared" ref="C18:F18" si="5">SUM(C16:C17)</f>
        <v>0</v>
      </c>
      <c r="D18" s="162">
        <f t="shared" si="5"/>
        <v>0</v>
      </c>
      <c r="E18" s="146">
        <f t="shared" si="5"/>
        <v>104</v>
      </c>
      <c r="F18" s="146">
        <f t="shared" si="5"/>
        <v>49</v>
      </c>
      <c r="G18" s="146">
        <f t="shared" si="4"/>
        <v>0</v>
      </c>
      <c r="H18" s="146">
        <f t="shared" si="4"/>
        <v>726</v>
      </c>
      <c r="I18" s="146">
        <f t="shared" si="4"/>
        <v>1425</v>
      </c>
      <c r="J18" s="146">
        <f t="shared" si="4"/>
        <v>112</v>
      </c>
      <c r="K18" s="147">
        <f>SUM(B18:J18)</f>
        <v>2542</v>
      </c>
    </row>
    <row r="19" spans="1:258" x14ac:dyDescent="0.2">
      <c r="A19" s="64"/>
      <c r="B19" s="114"/>
      <c r="C19" s="114"/>
      <c r="D19" s="468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[3]Frontier!$HG8</f>
        <v>0</v>
      </c>
      <c r="C20" s="116">
        <f>'[3]Air Choice One'!$HG8</f>
        <v>0</v>
      </c>
      <c r="D20" s="128">
        <f>'[3]Aer Lingus'!$HG8</f>
        <v>0</v>
      </c>
      <c r="E20" s="116">
        <f>'[3]Denver Air'!$HG8</f>
        <v>5</v>
      </c>
      <c r="F20" s="116">
        <f>'[3]Boutique Air'!$HG8</f>
        <v>0</v>
      </c>
      <c r="G20" s="144">
        <f>[3]Icelandair!$HG8</f>
        <v>0</v>
      </c>
      <c r="H20" s="116">
        <f>[3]Southwest!$HG8</f>
        <v>0</v>
      </c>
      <c r="I20" s="116">
        <f>'[3]Sun Country'!$HG8</f>
        <v>82</v>
      </c>
      <c r="J20" s="116">
        <f>[3]Alaska!$HG8</f>
        <v>0</v>
      </c>
      <c r="K20" s="145">
        <f>SUM(B20:J20)</f>
        <v>87</v>
      </c>
    </row>
    <row r="21" spans="1:258" x14ac:dyDescent="0.2">
      <c r="A21" s="60" t="s">
        <v>26</v>
      </c>
      <c r="B21" s="144">
        <f>[3]Frontier!$HG9</f>
        <v>0</v>
      </c>
      <c r="C21" s="116">
        <f>'[3]Air Choice One'!$HG9</f>
        <v>0</v>
      </c>
      <c r="D21" s="128">
        <f>'[3]Aer Lingus'!$HG9</f>
        <v>0</v>
      </c>
      <c r="E21" s="116">
        <f>'[3]Denver Air'!$HG9</f>
        <v>5</v>
      </c>
      <c r="F21" s="116">
        <f>'[3]Boutique Air'!$HG9</f>
        <v>0</v>
      </c>
      <c r="G21" s="144">
        <f>[3]Icelandair!$HG9</f>
        <v>0</v>
      </c>
      <c r="H21" s="116">
        <f>[3]Southwest!$HG9</f>
        <v>0</v>
      </c>
      <c r="I21" s="116">
        <f>'[3]Sun Country'!$HG9</f>
        <v>88</v>
      </c>
      <c r="J21" s="116">
        <f>[3]Alaska!$HG9</f>
        <v>0</v>
      </c>
      <c r="K21" s="145">
        <f>SUM(B21:J21)</f>
        <v>93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10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170</v>
      </c>
      <c r="J22" s="146">
        <f t="shared" si="6"/>
        <v>0</v>
      </c>
      <c r="K22" s="147">
        <f>SUM(B22:J22)</f>
        <v>180</v>
      </c>
    </row>
    <row r="23" spans="1:258" ht="15.75" thickBot="1" x14ac:dyDescent="0.3">
      <c r="A23" s="61" t="s">
        <v>28</v>
      </c>
      <c r="B23" s="148">
        <f t="shared" ref="B23:J23" si="8">B22+B18</f>
        <v>126</v>
      </c>
      <c r="C23" s="148">
        <f t="shared" ref="C23:F23" si="9">C22+C18</f>
        <v>0</v>
      </c>
      <c r="D23" s="148">
        <f t="shared" si="9"/>
        <v>0</v>
      </c>
      <c r="E23" s="148">
        <f t="shared" si="9"/>
        <v>114</v>
      </c>
      <c r="F23" s="148">
        <f t="shared" si="9"/>
        <v>49</v>
      </c>
      <c r="G23" s="148">
        <f t="shared" si="8"/>
        <v>0</v>
      </c>
      <c r="H23" s="148">
        <f t="shared" si="8"/>
        <v>726</v>
      </c>
      <c r="I23" s="148">
        <f t="shared" si="8"/>
        <v>1595</v>
      </c>
      <c r="J23" s="148">
        <f t="shared" si="8"/>
        <v>112</v>
      </c>
      <c r="K23" s="149">
        <f>SUM(B23:J23)</f>
        <v>2722</v>
      </c>
    </row>
    <row r="24" spans="1:258" x14ac:dyDescent="0.2">
      <c r="A24" s="20"/>
      <c r="B24" s="20"/>
      <c r="C24" s="20"/>
      <c r="D24" s="47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73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[3]Frontier!$HG47</f>
        <v>0</v>
      </c>
      <c r="C28" s="116">
        <f>'[3]Air Choice One'!$HG47</f>
        <v>0</v>
      </c>
      <c r="D28" s="128">
        <f>'[3]Aer Lingus'!$HG47</f>
        <v>0</v>
      </c>
      <c r="E28" s="116">
        <f>'[3]Denver Air'!$HG47</f>
        <v>0</v>
      </c>
      <c r="F28" s="116">
        <f>'[3]Boutique Air'!$HG47</f>
        <v>0</v>
      </c>
      <c r="G28" s="144">
        <f>[3]Icelandair!$HG47</f>
        <v>0</v>
      </c>
      <c r="H28" s="116">
        <f>[3]Southwest!$HG47</f>
        <v>237755</v>
      </c>
      <c r="I28" s="116">
        <f>'[3]Sun Country'!$HG47</f>
        <v>10447</v>
      </c>
      <c r="J28" s="116">
        <f>[3]Alaska!$HG47</f>
        <v>31412</v>
      </c>
      <c r="K28" s="145">
        <f>SUM(B28:J28)</f>
        <v>279614</v>
      </c>
    </row>
    <row r="29" spans="1:258" x14ac:dyDescent="0.2">
      <c r="A29" s="60" t="s">
        <v>38</v>
      </c>
      <c r="B29" s="144">
        <f>[3]Frontier!$HG48</f>
        <v>0</v>
      </c>
      <c r="C29" s="116">
        <f>'[3]Air Choice One'!$HG48</f>
        <v>0</v>
      </c>
      <c r="D29" s="128">
        <f>'[3]Aer Lingus'!$HG48</f>
        <v>0</v>
      </c>
      <c r="E29" s="116">
        <f>'[3]Denver Air'!$HG48</f>
        <v>0</v>
      </c>
      <c r="F29" s="116">
        <f>'[3]Boutique Air'!$HG48</f>
        <v>0</v>
      </c>
      <c r="G29" s="144">
        <f>[3]Icelandair!$HG48</f>
        <v>0</v>
      </c>
      <c r="H29" s="116">
        <f>[3]Southwest!$HG48</f>
        <v>0</v>
      </c>
      <c r="I29" s="116">
        <f>'[3]Sun Country'!$HG48</f>
        <v>151258</v>
      </c>
      <c r="J29" s="116">
        <f>[3]Alaska!$HG48</f>
        <v>6075</v>
      </c>
      <c r="K29" s="145">
        <f>SUM(B29:J29)</f>
        <v>157333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0</v>
      </c>
      <c r="H30" s="160">
        <f t="shared" si="10"/>
        <v>237755</v>
      </c>
      <c r="I30" s="160">
        <f t="shared" si="10"/>
        <v>161705</v>
      </c>
      <c r="J30" s="160">
        <f t="shared" si="10"/>
        <v>37487</v>
      </c>
      <c r="K30" s="163">
        <f>SUM(B30:J30)</f>
        <v>436947</v>
      </c>
    </row>
    <row r="31" spans="1:258" x14ac:dyDescent="0.2">
      <c r="A31" s="60"/>
      <c r="B31" s="152"/>
      <c r="C31" s="152"/>
      <c r="D31" s="470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[3]Frontier!$HG52</f>
        <v>0</v>
      </c>
      <c r="C33" s="116">
        <f>'[3]Air Choice One'!$HG52</f>
        <v>0</v>
      </c>
      <c r="D33" s="128">
        <f>'[3]Aer Lingus'!$HG52</f>
        <v>0</v>
      </c>
      <c r="E33" s="116">
        <f>'[3]Denver Air'!$HG52</f>
        <v>0</v>
      </c>
      <c r="F33" s="116">
        <f>'[3]Boutique Air'!$HG52</f>
        <v>0</v>
      </c>
      <c r="G33" s="144">
        <f>[3]Icelandair!$HG52</f>
        <v>0</v>
      </c>
      <c r="H33" s="116">
        <f>[3]Southwest!$HG52</f>
        <v>43557</v>
      </c>
      <c r="I33" s="116">
        <f>'[3]Sun Country'!$HG52</f>
        <v>0</v>
      </c>
      <c r="J33" s="116">
        <f>[3]Alaska!$HG52</f>
        <v>7825</v>
      </c>
      <c r="K33" s="145">
        <f>SUM(B33:J33)</f>
        <v>51382</v>
      </c>
    </row>
    <row r="34" spans="1:11" x14ac:dyDescent="0.2">
      <c r="A34" s="60" t="s">
        <v>38</v>
      </c>
      <c r="B34" s="144">
        <f>[3]Frontier!$HG53</f>
        <v>0</v>
      </c>
      <c r="C34" s="116">
        <f>'[3]Air Choice One'!$HG53</f>
        <v>0</v>
      </c>
      <c r="D34" s="128">
        <f>'[3]Aer Lingus'!$HG53</f>
        <v>0</v>
      </c>
      <c r="E34" s="116">
        <f>'[3]Denver Air'!$HG53</f>
        <v>0</v>
      </c>
      <c r="F34" s="116">
        <f>'[3]Boutique Air'!$HG53</f>
        <v>0</v>
      </c>
      <c r="G34" s="144">
        <f>[3]Icelandair!$HG53</f>
        <v>0</v>
      </c>
      <c r="H34" s="116">
        <f>[3]Southwest!$HG53</f>
        <v>0</v>
      </c>
      <c r="I34" s="116">
        <f>'[3]Sun Country'!$HG53</f>
        <v>253284</v>
      </c>
      <c r="J34" s="116">
        <f>[3]Alaska!$HG53</f>
        <v>1442</v>
      </c>
      <c r="K34" s="161">
        <f>SUM(B34:J34)</f>
        <v>254726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0</v>
      </c>
      <c r="H35" s="162">
        <f t="shared" si="12"/>
        <v>43557</v>
      </c>
      <c r="I35" s="162">
        <f t="shared" si="12"/>
        <v>253284</v>
      </c>
      <c r="J35" s="162">
        <f t="shared" si="12"/>
        <v>9267</v>
      </c>
      <c r="K35" s="163">
        <f>SUM(B35:J35)</f>
        <v>306108</v>
      </c>
    </row>
    <row r="36" spans="1:11" hidden="1" x14ac:dyDescent="0.2">
      <c r="A36" s="60"/>
      <c r="B36" s="152"/>
      <c r="C36" s="152"/>
      <c r="D36" s="470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70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[3]Frontier!$HG57</f>
        <v>0</v>
      </c>
      <c r="C38" s="152">
        <f>'[3]Air Choice One'!$HG57</f>
        <v>0</v>
      </c>
      <c r="D38" s="470">
        <f>'[3]Aer Lingus'!$HG57</f>
        <v>0</v>
      </c>
      <c r="E38" s="152">
        <f>'[3]Denver Air'!$HG57</f>
        <v>0</v>
      </c>
      <c r="F38" s="152">
        <f>'[3]Boutique Air'!$HG57</f>
        <v>0</v>
      </c>
      <c r="G38" s="152">
        <f>[3]Icelandair!$HG57</f>
        <v>0</v>
      </c>
      <c r="H38" s="152">
        <f>[3]Southwest!$HG57</f>
        <v>0</v>
      </c>
      <c r="I38" s="152">
        <f>'[3]Sun Country'!$HG57</f>
        <v>0</v>
      </c>
      <c r="J38" s="152">
        <f>[3]Alaska!$HG57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[3]Frontier!$HG58</f>
        <v>0</v>
      </c>
      <c r="C39" s="155">
        <f>'[3]Air Choice One'!$HG58</f>
        <v>0</v>
      </c>
      <c r="D39" s="155">
        <f>'[3]Aer Lingus'!$HG58</f>
        <v>0</v>
      </c>
      <c r="E39" s="155">
        <f>'[3]Denver Air'!$HG58</f>
        <v>0</v>
      </c>
      <c r="F39" s="155">
        <f>'[3]Boutique Air'!$HG58</f>
        <v>0</v>
      </c>
      <c r="G39" s="155">
        <f>[3]Icelandair!$HG58</f>
        <v>0</v>
      </c>
      <c r="H39" s="155">
        <f>[3]Southwest!$HG58</f>
        <v>0</v>
      </c>
      <c r="I39" s="155">
        <f>'[3]Sun Country'!$HG58</f>
        <v>0</v>
      </c>
      <c r="J39" s="155">
        <f>[3]Alaska!$HG58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4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70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70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70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0</v>
      </c>
      <c r="H43" s="152">
        <f t="shared" si="16"/>
        <v>281312</v>
      </c>
      <c r="I43" s="152">
        <f t="shared" si="16"/>
        <v>10447</v>
      </c>
      <c r="J43" s="152">
        <f t="shared" si="16"/>
        <v>39237</v>
      </c>
      <c r="K43" s="145">
        <f>SUM(B43:J43)</f>
        <v>330996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404542</v>
      </c>
      <c r="J44" s="155">
        <f t="shared" si="18"/>
        <v>7517</v>
      </c>
      <c r="K44" s="145">
        <f>SUM(B44:J44)</f>
        <v>412059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0</v>
      </c>
      <c r="H45" s="165">
        <f t="shared" si="20"/>
        <v>281312</v>
      </c>
      <c r="I45" s="165">
        <f t="shared" si="20"/>
        <v>414989</v>
      </c>
      <c r="J45" s="165">
        <f t="shared" si="20"/>
        <v>46754</v>
      </c>
      <c r="K45" s="166">
        <f>SUM(B45:J45)</f>
        <v>743055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[3]Southwest!$HG70+[3]Southwest!$HG73</f>
        <v>40284</v>
      </c>
      <c r="I48" s="294">
        <f>'[3]Sun Country'!$HG70+'[3]Sun Country'!$HG73</f>
        <v>91359</v>
      </c>
      <c r="J48" s="360"/>
      <c r="K48" s="282">
        <f>SUM(B48:J48)</f>
        <v>131643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[3]Southwest!$HG71+[3]Southwest!$HG74</f>
        <v>198</v>
      </c>
      <c r="I49" s="294">
        <f>'[3]Sun Country'!$HG71+'[3]Sun Country'!$HG74</f>
        <v>0</v>
      </c>
      <c r="J49" s="360"/>
      <c r="K49" s="282">
        <f>SUM(B49:J49)</f>
        <v>198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April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K11" activeCellId="1" sqref="K6 K1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58"/>
    </row>
    <row r="2" spans="1:13" s="7" customFormat="1" ht="51.75" thickBot="1" x14ac:dyDescent="0.25">
      <c r="A2" s="351">
        <v>44287</v>
      </c>
      <c r="B2" s="406" t="s">
        <v>157</v>
      </c>
      <c r="C2" s="406" t="s">
        <v>160</v>
      </c>
      <c r="D2" s="406" t="s">
        <v>168</v>
      </c>
      <c r="E2" s="406" t="s">
        <v>167</v>
      </c>
      <c r="F2" s="406" t="s">
        <v>169</v>
      </c>
      <c r="G2" s="406" t="s">
        <v>198</v>
      </c>
      <c r="H2" s="406" t="s">
        <v>173</v>
      </c>
      <c r="I2" s="406" t="s">
        <v>180</v>
      </c>
      <c r="J2" s="406" t="s">
        <v>196</v>
      </c>
      <c r="K2" s="406" t="s">
        <v>172</v>
      </c>
      <c r="L2" s="18" t="s">
        <v>115</v>
      </c>
      <c r="M2" s="18" t="s">
        <v>21</v>
      </c>
    </row>
    <row r="3" spans="1:13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3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3" x14ac:dyDescent="0.2">
      <c r="A5" s="60" t="s">
        <v>30</v>
      </c>
      <c r="B5" s="129">
        <f>[3]Pinnacle!$HG22+[3]Pinnacle!$HG32</f>
        <v>56784</v>
      </c>
      <c r="C5" s="130">
        <f>[3]MESA_UA!$HG22</f>
        <v>1983</v>
      </c>
      <c r="D5" s="128">
        <f>'[3]Sky West'!$HG22+'[3]Sky West'!$HG32</f>
        <v>107260</v>
      </c>
      <c r="E5" s="128">
        <f>'[3]Sky West_UA'!$HG22</f>
        <v>1626</v>
      </c>
      <c r="F5" s="128">
        <f>'[3]Sky West_AS'!$HG22</f>
        <v>0</v>
      </c>
      <c r="G5" s="128">
        <f>'[3]Sky West_AA'!$HG22</f>
        <v>2933</v>
      </c>
      <c r="H5" s="128">
        <f>[3]Republic!$HG22</f>
        <v>1848</v>
      </c>
      <c r="I5" s="128">
        <f>[3]Republic_UA!$HG22</f>
        <v>3609</v>
      </c>
      <c r="J5" s="128">
        <f>'[3]Sky Regional'!$HG32</f>
        <v>0</v>
      </c>
      <c r="K5" s="128">
        <f>'[3]American Eagle'!$HG22</f>
        <v>1643</v>
      </c>
      <c r="L5" s="128">
        <f>'Other Regional'!K5</f>
        <v>3071</v>
      </c>
      <c r="M5" s="108">
        <f>SUM(B5:L5)</f>
        <v>180757</v>
      </c>
    </row>
    <row r="6" spans="1:13" s="10" customFormat="1" x14ac:dyDescent="0.2">
      <c r="A6" s="60" t="s">
        <v>31</v>
      </c>
      <c r="B6" s="129">
        <f>[3]Pinnacle!$HG23+[3]Pinnacle!$HG33</f>
        <v>56548</v>
      </c>
      <c r="C6" s="130">
        <f>[3]MESA_UA!$HG23</f>
        <v>1756</v>
      </c>
      <c r="D6" s="128">
        <f>'[3]Sky West'!$HG23+'[3]Sky West'!$HG33</f>
        <v>108208</v>
      </c>
      <c r="E6" s="128">
        <f>'[3]Sky West_UA'!$HG23</f>
        <v>1711</v>
      </c>
      <c r="F6" s="128">
        <f>'[3]Sky West_AS'!$HG23</f>
        <v>0</v>
      </c>
      <c r="G6" s="128">
        <f>'[3]Sky West_AA'!$HG23</f>
        <v>2935</v>
      </c>
      <c r="H6" s="128">
        <f>[3]Republic!$HG23</f>
        <v>1917</v>
      </c>
      <c r="I6" s="128">
        <f>[3]Republic_UA!$HG23</f>
        <v>3476</v>
      </c>
      <c r="J6" s="128">
        <f>'[3]Sky Regional'!$HG33</f>
        <v>0</v>
      </c>
      <c r="K6" s="128">
        <f>'[3]American Eagle'!$HG23</f>
        <v>1823</v>
      </c>
      <c r="L6" s="128">
        <f>'Other Regional'!K6</f>
        <v>2865</v>
      </c>
      <c r="M6" s="113">
        <f>SUM(B6:L6)</f>
        <v>181239</v>
      </c>
    </row>
    <row r="7" spans="1:13" ht="15" thickBot="1" x14ac:dyDescent="0.25">
      <c r="A7" s="71" t="s">
        <v>7</v>
      </c>
      <c r="B7" s="131">
        <f>SUM(B5:B6)</f>
        <v>113332</v>
      </c>
      <c r="C7" s="131">
        <f t="shared" ref="C7:L7" si="0">SUM(C5:C6)</f>
        <v>3739</v>
      </c>
      <c r="D7" s="131">
        <f t="shared" si="0"/>
        <v>215468</v>
      </c>
      <c r="E7" s="131">
        <f t="shared" si="0"/>
        <v>3337</v>
      </c>
      <c r="F7" s="131">
        <f t="shared" ref="F7:G7" si="1">SUM(F5:F6)</f>
        <v>0</v>
      </c>
      <c r="G7" s="131">
        <f t="shared" si="1"/>
        <v>5868</v>
      </c>
      <c r="H7" s="131">
        <f t="shared" si="0"/>
        <v>3765</v>
      </c>
      <c r="I7" s="131">
        <f t="shared" si="0"/>
        <v>7085</v>
      </c>
      <c r="J7" s="131">
        <f t="shared" si="0"/>
        <v>0</v>
      </c>
      <c r="K7" s="131">
        <f t="shared" si="0"/>
        <v>3466</v>
      </c>
      <c r="L7" s="131">
        <f t="shared" si="0"/>
        <v>5936</v>
      </c>
      <c r="M7" s="132">
        <f>SUM(B7:L7)</f>
        <v>361996</v>
      </c>
    </row>
    <row r="8" spans="1:13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3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3" x14ac:dyDescent="0.2">
      <c r="A10" s="60" t="s">
        <v>30</v>
      </c>
      <c r="B10" s="129">
        <f>[3]Pinnacle!$HG27+[3]Pinnacle!$HG37</f>
        <v>2323</v>
      </c>
      <c r="C10" s="130">
        <f>[3]MESA_UA!$HG27</f>
        <v>65</v>
      </c>
      <c r="D10" s="128">
        <f>'[3]Sky West'!$HG27+'[3]Sky West'!$HG37</f>
        <v>4348</v>
      </c>
      <c r="E10" s="128">
        <f>'[3]Sky West_UA'!$HG27</f>
        <v>95</v>
      </c>
      <c r="F10" s="128">
        <f>'[3]Sky West_AS'!$HG27</f>
        <v>0</v>
      </c>
      <c r="G10" s="128">
        <f>'[3]Sky West_AA'!$HG27</f>
        <v>154</v>
      </c>
      <c r="H10" s="128">
        <f>[3]Republic!$HG27</f>
        <v>75</v>
      </c>
      <c r="I10" s="128">
        <f>[3]Republic_UA!$HG27</f>
        <v>95</v>
      </c>
      <c r="J10" s="128">
        <f>'[3]Sky Regional'!$HG37</f>
        <v>0</v>
      </c>
      <c r="K10" s="128">
        <f>'[3]American Eagle'!$HG27</f>
        <v>89</v>
      </c>
      <c r="L10" s="128">
        <f>'Other Regional'!K10</f>
        <v>74</v>
      </c>
      <c r="M10" s="108">
        <f>SUM(B10:L10)</f>
        <v>7318</v>
      </c>
    </row>
    <row r="11" spans="1:13" x14ac:dyDescent="0.2">
      <c r="A11" s="60" t="s">
        <v>33</v>
      </c>
      <c r="B11" s="129">
        <f>[3]Pinnacle!$HG28+[3]Pinnacle!$HG38</f>
        <v>2140</v>
      </c>
      <c r="C11" s="130">
        <f>[3]MESA_UA!$HG28</f>
        <v>61</v>
      </c>
      <c r="D11" s="128">
        <f>'[3]Sky West'!$HG28+'[3]Sky West'!$HG38</f>
        <v>4415</v>
      </c>
      <c r="E11" s="128">
        <f>'[3]Sky West_UA'!$HG28</f>
        <v>66</v>
      </c>
      <c r="F11" s="128">
        <f>'[3]Sky West_AS'!$HG28</f>
        <v>0</v>
      </c>
      <c r="G11" s="128">
        <f>'[3]Sky West_AA'!$HG28</f>
        <v>193</v>
      </c>
      <c r="H11" s="128">
        <f>[3]Republic!$HG28</f>
        <v>81</v>
      </c>
      <c r="I11" s="128">
        <f>[3]Republic_UA!$HG28</f>
        <v>134</v>
      </c>
      <c r="J11" s="128">
        <f>'[3]Sky Regional'!$HG38</f>
        <v>0</v>
      </c>
      <c r="K11" s="128">
        <f>'[3]American Eagle'!$HG28</f>
        <v>70</v>
      </c>
      <c r="L11" s="128">
        <f>'Other Regional'!K11</f>
        <v>92</v>
      </c>
      <c r="M11" s="113">
        <f>SUM(B11:L11)</f>
        <v>7252</v>
      </c>
    </row>
    <row r="12" spans="1:13" ht="15" thickBot="1" x14ac:dyDescent="0.25">
      <c r="A12" s="72" t="s">
        <v>34</v>
      </c>
      <c r="B12" s="134">
        <f t="shared" ref="B12:L12" si="2">SUM(B10:B11)</f>
        <v>4463</v>
      </c>
      <c r="C12" s="134">
        <f t="shared" si="2"/>
        <v>126</v>
      </c>
      <c r="D12" s="134">
        <f t="shared" si="2"/>
        <v>8763</v>
      </c>
      <c r="E12" s="134">
        <f t="shared" si="2"/>
        <v>161</v>
      </c>
      <c r="F12" s="134">
        <f t="shared" ref="F12:G12" si="3">SUM(F10:F11)</f>
        <v>0</v>
      </c>
      <c r="G12" s="134">
        <f t="shared" si="3"/>
        <v>347</v>
      </c>
      <c r="H12" s="134">
        <f t="shared" si="2"/>
        <v>156</v>
      </c>
      <c r="I12" s="134">
        <f t="shared" si="2"/>
        <v>229</v>
      </c>
      <c r="J12" s="134">
        <f t="shared" si="2"/>
        <v>0</v>
      </c>
      <c r="K12" s="134">
        <f t="shared" si="2"/>
        <v>159</v>
      </c>
      <c r="L12" s="134">
        <f t="shared" si="2"/>
        <v>166</v>
      </c>
      <c r="M12" s="135">
        <f>SUM(B12:L12)</f>
        <v>14570</v>
      </c>
    </row>
    <row r="13" spans="1:13" ht="13.5" thickBot="1" x14ac:dyDescent="0.25"/>
    <row r="14" spans="1:13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3" x14ac:dyDescent="0.2">
      <c r="A15" s="60" t="s">
        <v>53</v>
      </c>
      <c r="B15" s="20">
        <f>[3]Pinnacle!$HG4+[3]Pinnacle!$HG15</f>
        <v>1599</v>
      </c>
      <c r="C15" s="106">
        <f>[3]MESA_UA!$HG4</f>
        <v>31</v>
      </c>
      <c r="D15" s="104">
        <f>'[3]Sky West'!$HG4+'[3]Sky West'!$HG15</f>
        <v>2750</v>
      </c>
      <c r="E15" s="104">
        <f>'[3]Sky West_UA'!$HG4</f>
        <v>28</v>
      </c>
      <c r="F15" s="104">
        <f>'[3]Sky West_AS'!$HG4</f>
        <v>0</v>
      </c>
      <c r="G15" s="104">
        <f>'[3]Sky West_AA'!$HG4</f>
        <v>51</v>
      </c>
      <c r="H15" s="107">
        <f>[3]Republic!$HG4</f>
        <v>32</v>
      </c>
      <c r="I15" s="425">
        <f>[3]Republic_UA!$HG4</f>
        <v>58</v>
      </c>
      <c r="J15" s="425">
        <f>'[3]Sky Regional'!$HG15</f>
        <v>0</v>
      </c>
      <c r="K15" s="107">
        <f>'[3]American Eagle'!$HG4</f>
        <v>24</v>
      </c>
      <c r="L15" s="105">
        <f>'Other Regional'!K15</f>
        <v>51</v>
      </c>
      <c r="M15" s="108">
        <f t="shared" ref="M15:M21" si="5">SUM(B15:L15)</f>
        <v>4624</v>
      </c>
    </row>
    <row r="16" spans="1:13" x14ac:dyDescent="0.2">
      <c r="A16" s="60" t="s">
        <v>54</v>
      </c>
      <c r="B16" s="13">
        <f>[3]Pinnacle!$HG5+[3]Pinnacle!$HG16</f>
        <v>1600</v>
      </c>
      <c r="C16" s="111">
        <f>[3]MESA_UA!$HG5</f>
        <v>31</v>
      </c>
      <c r="D16" s="109">
        <f>'[3]Sky West'!$HG5+'[3]Sky West'!$HG16</f>
        <v>2746</v>
      </c>
      <c r="E16" s="109">
        <f>'[3]Sky West_UA'!$HG5</f>
        <v>28</v>
      </c>
      <c r="F16" s="109">
        <f>'[3]Sky West_AS'!$HG5</f>
        <v>0</v>
      </c>
      <c r="G16" s="109">
        <f>'[3]Sky West_AA'!$HG5</f>
        <v>51</v>
      </c>
      <c r="H16" s="112">
        <f>[3]Republic!$HG5</f>
        <v>32</v>
      </c>
      <c r="I16" s="269">
        <f>[3]Republic_UA!$HG5</f>
        <v>58</v>
      </c>
      <c r="J16" s="269">
        <f>'[3]Sky Regional'!$HG16</f>
        <v>0</v>
      </c>
      <c r="K16" s="112">
        <f>'[3]American Eagle'!$HG5</f>
        <v>26</v>
      </c>
      <c r="L16" s="110">
        <f>'Other Regional'!K16</f>
        <v>51</v>
      </c>
      <c r="M16" s="113">
        <f t="shared" si="5"/>
        <v>4623</v>
      </c>
    </row>
    <row r="17" spans="1:13" x14ac:dyDescent="0.2">
      <c r="A17" s="69" t="s">
        <v>55</v>
      </c>
      <c r="B17" s="114">
        <f t="shared" ref="B17:K17" si="6">SUM(B15:B16)</f>
        <v>3199</v>
      </c>
      <c r="C17" s="114">
        <f t="shared" si="6"/>
        <v>62</v>
      </c>
      <c r="D17" s="114">
        <f t="shared" si="6"/>
        <v>5496</v>
      </c>
      <c r="E17" s="114">
        <f t="shared" si="6"/>
        <v>56</v>
      </c>
      <c r="F17" s="114">
        <f t="shared" ref="F17:G17" si="7">SUM(F15:F16)</f>
        <v>0</v>
      </c>
      <c r="G17" s="114">
        <f t="shared" si="7"/>
        <v>102</v>
      </c>
      <c r="H17" s="114">
        <f t="shared" si="6"/>
        <v>64</v>
      </c>
      <c r="I17" s="114">
        <f t="shared" ref="I17:J17" si="8">SUM(I15:I16)</f>
        <v>116</v>
      </c>
      <c r="J17" s="114">
        <f t="shared" si="8"/>
        <v>0</v>
      </c>
      <c r="K17" s="114">
        <f t="shared" si="6"/>
        <v>50</v>
      </c>
      <c r="L17" s="114">
        <f>SUM(L15:L16)</f>
        <v>102</v>
      </c>
      <c r="M17" s="115">
        <f t="shared" si="5"/>
        <v>9247</v>
      </c>
    </row>
    <row r="18" spans="1:13" x14ac:dyDescent="0.2">
      <c r="A18" s="60" t="s">
        <v>56</v>
      </c>
      <c r="B18" s="116">
        <f>[3]Pinnacle!$HG8</f>
        <v>0</v>
      </c>
      <c r="C18" s="117">
        <f>[3]MESA_UA!$HG8</f>
        <v>0</v>
      </c>
      <c r="D18" s="116">
        <f>'[3]Sky West'!$HG8</f>
        <v>0</v>
      </c>
      <c r="E18" s="116">
        <f>'[3]Sky West_UA'!$HG8</f>
        <v>0</v>
      </c>
      <c r="F18" s="116">
        <f>'[3]Sky West_AS'!$HG8</f>
        <v>0</v>
      </c>
      <c r="G18" s="116">
        <f>'[3]Sky West_AA'!$HG8</f>
        <v>0</v>
      </c>
      <c r="H18" s="116">
        <f>[3]Republic!$HG8</f>
        <v>0</v>
      </c>
      <c r="I18" s="116">
        <f>[3]Republic_UA!$HG8</f>
        <v>0</v>
      </c>
      <c r="J18" s="116">
        <f>'[3]Sky Regional'!$HG8</f>
        <v>0</v>
      </c>
      <c r="K18" s="116">
        <f>'[3]American Eagle'!$HG8</f>
        <v>0</v>
      </c>
      <c r="L18" s="116">
        <f>'Other Regional'!K18</f>
        <v>0</v>
      </c>
      <c r="M18" s="108">
        <f t="shared" si="5"/>
        <v>0</v>
      </c>
    </row>
    <row r="19" spans="1:13" x14ac:dyDescent="0.2">
      <c r="A19" s="60" t="s">
        <v>57</v>
      </c>
      <c r="B19" s="118">
        <f>[3]Pinnacle!$HG9</f>
        <v>0</v>
      </c>
      <c r="C19" s="119">
        <f>[3]MESA_UA!$HG9</f>
        <v>0</v>
      </c>
      <c r="D19" s="118">
        <f>'[3]Sky West'!$HG9</f>
        <v>2</v>
      </c>
      <c r="E19" s="118">
        <f>'[3]Sky West_UA'!$HG9</f>
        <v>0</v>
      </c>
      <c r="F19" s="118">
        <f>'[3]Sky West_AS'!$HG9</f>
        <v>0</v>
      </c>
      <c r="G19" s="118">
        <f>'[3]Sky West_AA'!$HG9</f>
        <v>0</v>
      </c>
      <c r="H19" s="118">
        <f>[3]Republic!$HG9</f>
        <v>0</v>
      </c>
      <c r="I19" s="118">
        <f>[3]Republic_UA!$HG9</f>
        <v>0</v>
      </c>
      <c r="J19" s="118">
        <f>'[3]Sky Regional'!$HG9</f>
        <v>0</v>
      </c>
      <c r="K19" s="118">
        <f>'[3]American Eagle'!$HG9</f>
        <v>0</v>
      </c>
      <c r="L19" s="118">
        <f>'Other Regional'!K19</f>
        <v>0</v>
      </c>
      <c r="M19" s="113">
        <f t="shared" si="5"/>
        <v>2</v>
      </c>
    </row>
    <row r="20" spans="1:13" x14ac:dyDescent="0.2">
      <c r="A20" s="69" t="s">
        <v>58</v>
      </c>
      <c r="B20" s="114">
        <f t="shared" ref="B20:L20" si="9">SUM(B18:B19)</f>
        <v>0</v>
      </c>
      <c r="C20" s="114">
        <f t="shared" si="9"/>
        <v>0</v>
      </c>
      <c r="D20" s="114">
        <f t="shared" si="9"/>
        <v>2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2</v>
      </c>
    </row>
    <row r="21" spans="1:13" ht="15.75" thickBot="1" x14ac:dyDescent="0.3">
      <c r="A21" s="70" t="s">
        <v>28</v>
      </c>
      <c r="B21" s="120">
        <f>SUM(B20,B17)</f>
        <v>3199</v>
      </c>
      <c r="C21" s="120">
        <f t="shared" ref="C21:K21" si="11">SUM(C20,C17)</f>
        <v>62</v>
      </c>
      <c r="D21" s="120">
        <f t="shared" si="11"/>
        <v>5498</v>
      </c>
      <c r="E21" s="120">
        <f t="shared" si="11"/>
        <v>56</v>
      </c>
      <c r="F21" s="120">
        <f t="shared" ref="F21:G21" si="12">SUM(F20,F17)</f>
        <v>0</v>
      </c>
      <c r="G21" s="120">
        <f t="shared" si="12"/>
        <v>102</v>
      </c>
      <c r="H21" s="120">
        <f t="shared" si="11"/>
        <v>64</v>
      </c>
      <c r="I21" s="120">
        <f t="shared" si="11"/>
        <v>116</v>
      </c>
      <c r="J21" s="120">
        <f t="shared" si="11"/>
        <v>0</v>
      </c>
      <c r="K21" s="120">
        <f t="shared" si="11"/>
        <v>50</v>
      </c>
      <c r="L21" s="120">
        <f>SUM(L20,L17)</f>
        <v>102</v>
      </c>
      <c r="M21" s="121">
        <f t="shared" si="5"/>
        <v>9249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[3]Pinnacle!$HG47</f>
        <v>0</v>
      </c>
      <c r="C25" s="130">
        <f>[3]MESA_UA!$HG47</f>
        <v>0</v>
      </c>
      <c r="D25" s="128">
        <f>'[3]Sky West'!$HG47</f>
        <v>0</v>
      </c>
      <c r="E25" s="128">
        <f>'[3]Sky West_UA'!$HG47</f>
        <v>0</v>
      </c>
      <c r="F25" s="128">
        <f>'[3]Sky West_AS'!$HG47</f>
        <v>0</v>
      </c>
      <c r="G25" s="128">
        <f>'[3]Sky West_AA'!$HG47</f>
        <v>71</v>
      </c>
      <c r="H25" s="128">
        <f>[3]Republic!$HG47</f>
        <v>324</v>
      </c>
      <c r="I25" s="128">
        <f>[3]Republic_UA!$HG47</f>
        <v>0</v>
      </c>
      <c r="J25" s="128">
        <f>'[3]Sky Regional'!$HG47</f>
        <v>0</v>
      </c>
      <c r="K25" s="128">
        <f>'[3]American Eagle'!$HG47</f>
        <v>276</v>
      </c>
      <c r="L25" s="128">
        <f>'Other Regional'!K25</f>
        <v>2217</v>
      </c>
      <c r="M25" s="108">
        <f>SUM(B25:L25)</f>
        <v>2888</v>
      </c>
    </row>
    <row r="26" spans="1:13" x14ac:dyDescent="0.2">
      <c r="A26" s="73" t="s">
        <v>38</v>
      </c>
      <c r="B26" s="128">
        <f>[3]Pinnacle!$HG48</f>
        <v>0</v>
      </c>
      <c r="C26" s="130">
        <f>[3]MESA_UA!$HG48</f>
        <v>0</v>
      </c>
      <c r="D26" s="128">
        <f>'[3]Sky West'!$HG48</f>
        <v>0</v>
      </c>
      <c r="E26" s="128">
        <f>'[3]Sky West_UA'!$HG48</f>
        <v>0</v>
      </c>
      <c r="F26" s="128">
        <f>'[3]Sky West_AS'!$HG48</f>
        <v>0</v>
      </c>
      <c r="G26" s="128">
        <f>'[3]Sky West_AA'!$HG48</f>
        <v>0</v>
      </c>
      <c r="H26" s="128">
        <f>[3]Republic!$HG48</f>
        <v>0</v>
      </c>
      <c r="I26" s="128">
        <f>[3]Republic_UA!$HG48</f>
        <v>0</v>
      </c>
      <c r="J26" s="128">
        <f>'[3]Sky Regional'!$HG48</f>
        <v>0</v>
      </c>
      <c r="K26" s="128">
        <f>'[3]American Eagle'!$HG48</f>
        <v>0</v>
      </c>
      <c r="L26" s="128">
        <f>'Other Regional'!K26</f>
        <v>559</v>
      </c>
      <c r="M26" s="108">
        <f>SUM(B26:L26)</f>
        <v>559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0</v>
      </c>
      <c r="G27" s="131">
        <f t="shared" si="14"/>
        <v>71</v>
      </c>
      <c r="H27" s="131">
        <f t="shared" si="13"/>
        <v>324</v>
      </c>
      <c r="I27" s="131">
        <f t="shared" si="13"/>
        <v>0</v>
      </c>
      <c r="J27" s="131">
        <f t="shared" si="13"/>
        <v>0</v>
      </c>
      <c r="K27" s="131">
        <f t="shared" si="13"/>
        <v>276</v>
      </c>
      <c r="L27" s="131">
        <f t="shared" si="13"/>
        <v>2776</v>
      </c>
      <c r="M27" s="132">
        <f>SUM(B27:L27)</f>
        <v>3447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[3]Pinnacle!$HG52</f>
        <v>0</v>
      </c>
      <c r="C30" s="130">
        <f>[3]MESA_UA!$HG52</f>
        <v>0</v>
      </c>
      <c r="D30" s="128">
        <f>'[3]Sky West'!$HG52</f>
        <v>0</v>
      </c>
      <c r="E30" s="128">
        <f>'[3]Sky West_UA'!$HG52</f>
        <v>0</v>
      </c>
      <c r="F30" s="128">
        <f>'[3]Sky West_AS'!$HG52</f>
        <v>0</v>
      </c>
      <c r="G30" s="128">
        <f>'[3]Sky West_AA'!$HG52</f>
        <v>2</v>
      </c>
      <c r="H30" s="128">
        <f>[3]Republic!$HG52</f>
        <v>0</v>
      </c>
      <c r="I30" s="128">
        <f>[3]Republic_UA!$HG52</f>
        <v>0</v>
      </c>
      <c r="J30" s="128">
        <f>'[3]Sky Regional'!$HG52</f>
        <v>0</v>
      </c>
      <c r="K30" s="128">
        <f>'[3]American Eagle'!$HG52</f>
        <v>0</v>
      </c>
      <c r="L30" s="128">
        <f>'Other Regional'!K30</f>
        <v>178</v>
      </c>
      <c r="M30" s="108">
        <f t="shared" ref="M30:M37" si="15">SUM(B30:L30)</f>
        <v>180</v>
      </c>
    </row>
    <row r="31" spans="1:13" x14ac:dyDescent="0.2">
      <c r="A31" s="73" t="s">
        <v>60</v>
      </c>
      <c r="B31" s="128">
        <f>[3]Pinnacle!$HG53</f>
        <v>0</v>
      </c>
      <c r="C31" s="130">
        <f>[3]MESA_UA!$HG53</f>
        <v>0</v>
      </c>
      <c r="D31" s="128">
        <f>'[3]Sky West'!$HG53</f>
        <v>0</v>
      </c>
      <c r="E31" s="128">
        <f>'[3]Sky West_UA'!$HG53</f>
        <v>0</v>
      </c>
      <c r="F31" s="128">
        <f>'[3]Sky West_AS'!$HG53</f>
        <v>0</v>
      </c>
      <c r="G31" s="128">
        <f>'[3]Sky West_AA'!$HG53</f>
        <v>0</v>
      </c>
      <c r="H31" s="128">
        <f>[3]Republic!$HG53</f>
        <v>0</v>
      </c>
      <c r="I31" s="128">
        <f>[3]Republic_UA!$HG53</f>
        <v>0</v>
      </c>
      <c r="J31" s="128">
        <f>'[3]Sky Regional'!$HG53</f>
        <v>0</v>
      </c>
      <c r="K31" s="128">
        <f>'[3]American Eagle'!$HG53</f>
        <v>0</v>
      </c>
      <c r="L31" s="128">
        <f>'Other Regional'!K31</f>
        <v>2412</v>
      </c>
      <c r="M31" s="108">
        <f t="shared" si="15"/>
        <v>2412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0</v>
      </c>
      <c r="G32" s="131">
        <f t="shared" si="17"/>
        <v>2</v>
      </c>
      <c r="H32" s="131">
        <f t="shared" si="16"/>
        <v>0</v>
      </c>
      <c r="I32" s="131">
        <f t="shared" si="16"/>
        <v>0</v>
      </c>
      <c r="J32" s="131">
        <f t="shared" si="16"/>
        <v>0</v>
      </c>
      <c r="K32" s="131">
        <f t="shared" si="16"/>
        <v>0</v>
      </c>
      <c r="L32" s="131">
        <f>SUM(L30:L31)</f>
        <v>2590</v>
      </c>
      <c r="M32" s="132">
        <f t="shared" si="15"/>
        <v>2592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[3]Pinnacle!$HG57</f>
        <v>0</v>
      </c>
      <c r="C35" s="130">
        <f>[3]MESA_UA!$HG57</f>
        <v>0</v>
      </c>
      <c r="D35" s="128">
        <f>'[3]Sky West'!$HG57</f>
        <v>0</v>
      </c>
      <c r="E35" s="128">
        <f>'[3]Sky West_UA'!$HG57</f>
        <v>0</v>
      </c>
      <c r="F35" s="128">
        <f>'[3]Sky West_AS'!$HG57</f>
        <v>0</v>
      </c>
      <c r="G35" s="128">
        <f>'[3]Sky West_AA'!$HG57</f>
        <v>0</v>
      </c>
      <c r="H35" s="128">
        <f>[3]Republic!$HG57</f>
        <v>0</v>
      </c>
      <c r="I35" s="128">
        <f>[3]Republic!$HG57</f>
        <v>0</v>
      </c>
      <c r="J35" s="128">
        <f>[3]Republic!$HG57</f>
        <v>0</v>
      </c>
      <c r="K35" s="128">
        <f>'[3]American Eagle'!$HG57</f>
        <v>0</v>
      </c>
      <c r="L35" s="128">
        <f>'Other Regional'!K35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[3]Pinnacle!$HG58</f>
        <v>0</v>
      </c>
      <c r="C36" s="130">
        <f>[3]MESA_UA!$HG58</f>
        <v>0</v>
      </c>
      <c r="D36" s="128">
        <f>'[3]Sky West'!$HG58</f>
        <v>0</v>
      </c>
      <c r="E36" s="128">
        <f>'[3]Sky West_UA'!$HG58</f>
        <v>0</v>
      </c>
      <c r="F36" s="128">
        <f>'[3]Sky West_AS'!$HG58</f>
        <v>0</v>
      </c>
      <c r="G36" s="128">
        <f>'[3]Sky West_AA'!$HG58</f>
        <v>0</v>
      </c>
      <c r="H36" s="128">
        <f>[3]Republic!$HG58</f>
        <v>0</v>
      </c>
      <c r="I36" s="128">
        <f>[3]Republic!$HG58</f>
        <v>0</v>
      </c>
      <c r="J36" s="128">
        <f>[3]Republic!$HG58</f>
        <v>0</v>
      </c>
      <c r="K36" s="128">
        <f>'[3]American Eagle'!$HG58</f>
        <v>0</v>
      </c>
      <c r="L36" s="128">
        <f>'Other Regional'!K36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0</v>
      </c>
      <c r="G40" s="128">
        <f t="shared" ref="G40" si="22">SUM(G35,G30,G25)</f>
        <v>73</v>
      </c>
      <c r="H40" s="128">
        <f t="shared" si="20"/>
        <v>324</v>
      </c>
      <c r="I40" s="128">
        <f t="shared" si="20"/>
        <v>0</v>
      </c>
      <c r="J40" s="128">
        <f t="shared" si="20"/>
        <v>0</v>
      </c>
      <c r="K40" s="128">
        <f>SUM(K35,K30,K25)</f>
        <v>276</v>
      </c>
      <c r="L40" s="128">
        <f>L35+L30+L25</f>
        <v>2395</v>
      </c>
      <c r="M40" s="108">
        <f>SUM(B40:L40)</f>
        <v>3068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0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2971</v>
      </c>
      <c r="M41" s="108">
        <f>SUM(B41:L41)</f>
        <v>2971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0</v>
      </c>
      <c r="G42" s="134">
        <f t="shared" ref="G42" si="24">SUM(G37,G32,G27)</f>
        <v>73</v>
      </c>
      <c r="H42" s="134">
        <f t="shared" si="20"/>
        <v>324</v>
      </c>
      <c r="I42" s="134">
        <f t="shared" si="20"/>
        <v>0</v>
      </c>
      <c r="J42" s="134">
        <f t="shared" si="20"/>
        <v>0</v>
      </c>
      <c r="K42" s="134">
        <f>SUM(K37,K32,K27)</f>
        <v>276</v>
      </c>
      <c r="L42" s="134">
        <f>SUM(L37,L32,L27)</f>
        <v>5366</v>
      </c>
      <c r="M42" s="135">
        <f>SUM(B42:L42)</f>
        <v>6039</v>
      </c>
    </row>
    <row r="44" spans="1:13" x14ac:dyDescent="0.2">
      <c r="A44" s="348" t="s">
        <v>121</v>
      </c>
      <c r="B44" s="293">
        <f>[3]Pinnacle!$HG70+[3]Pinnacle!$HG73</f>
        <v>15811</v>
      </c>
      <c r="D44" s="294">
        <f>'[3]Sky West'!$HG70+'[3]Sky West'!$HG73</f>
        <v>42108</v>
      </c>
      <c r="E44" s="5"/>
      <c r="F44" s="5"/>
      <c r="G44" s="5"/>
      <c r="L44" s="294">
        <f>+'Other Regional'!K46</f>
        <v>0</v>
      </c>
      <c r="M44" s="282">
        <f>SUM(B44:L44)</f>
        <v>57919</v>
      </c>
    </row>
    <row r="45" spans="1:13" x14ac:dyDescent="0.2">
      <c r="A45" s="362" t="s">
        <v>122</v>
      </c>
      <c r="B45" s="293">
        <f>[3]Pinnacle!$HG71+[3]Pinnacle!$HG74</f>
        <v>40737</v>
      </c>
      <c r="D45" s="294">
        <f>'[3]Sky West'!$HG71+'[3]Sky West'!$HG74</f>
        <v>66100</v>
      </c>
      <c r="E45" s="5"/>
      <c r="F45" s="5"/>
      <c r="G45" s="5"/>
      <c r="L45" s="294">
        <f>+'Other Regional'!K47</f>
        <v>0</v>
      </c>
      <c r="M45" s="282">
        <f>SUM(B45:L45)</f>
        <v>106837</v>
      </c>
    </row>
    <row r="46" spans="1:13" x14ac:dyDescent="0.2">
      <c r="A46" s="284" t="s">
        <v>123</v>
      </c>
      <c r="B46" s="285">
        <f>SUM(B44:B45)</f>
        <v>56548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April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zoomScaleNormal="100" zoomScaleSheetLayoutView="100" workbookViewId="0">
      <selection activeCell="F11" activeCellId="1" sqref="F6 F1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5" width="12.140625" customWidth="1"/>
    <col min="6" max="6" width="10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2.140625" customWidth="1"/>
  </cols>
  <sheetData>
    <row r="1" spans="1:11" s="7" customFormat="1" ht="36" customHeight="1" x14ac:dyDescent="0.2">
      <c r="A1" s="358"/>
    </row>
    <row r="2" spans="1:11" s="7" customFormat="1" ht="55.5" customHeight="1" thickBot="1" x14ac:dyDescent="0.25">
      <c r="A2" s="351">
        <v>44287</v>
      </c>
      <c r="B2" s="464" t="s">
        <v>171</v>
      </c>
      <c r="C2" s="464" t="s">
        <v>170</v>
      </c>
      <c r="D2" s="464" t="s">
        <v>197</v>
      </c>
      <c r="E2" s="538" t="s">
        <v>240</v>
      </c>
      <c r="F2" s="464" t="s">
        <v>181</v>
      </c>
      <c r="G2" s="464" t="s">
        <v>175</v>
      </c>
      <c r="H2" s="464" t="s">
        <v>174</v>
      </c>
      <c r="I2" s="464" t="s">
        <v>159</v>
      </c>
      <c r="J2" s="464" t="s">
        <v>162</v>
      </c>
      <c r="K2" s="465" t="s">
        <v>21</v>
      </c>
    </row>
    <row r="3" spans="1:11" ht="15" x14ac:dyDescent="0.25">
      <c r="A3" s="252" t="s">
        <v>3</v>
      </c>
      <c r="B3" s="374"/>
      <c r="C3" s="374"/>
      <c r="D3" s="374"/>
      <c r="E3" s="374"/>
      <c r="F3" s="374"/>
      <c r="G3" s="375"/>
      <c r="H3" s="375"/>
      <c r="I3" s="375"/>
      <c r="J3" s="375"/>
      <c r="K3" s="463"/>
    </row>
    <row r="4" spans="1:11" x14ac:dyDescent="0.2">
      <c r="A4" s="60" t="s">
        <v>29</v>
      </c>
      <c r="B4" s="126"/>
      <c r="C4" s="126"/>
      <c r="D4" s="126"/>
      <c r="E4" s="126"/>
      <c r="F4" s="127"/>
      <c r="G4" s="129"/>
      <c r="H4" s="129"/>
      <c r="I4" s="129"/>
      <c r="J4" s="129"/>
      <c r="K4" s="108"/>
    </row>
    <row r="5" spans="1:11" x14ac:dyDescent="0.2">
      <c r="A5" s="60" t="s">
        <v>30</v>
      </c>
      <c r="B5" s="129">
        <f>'[3]Shuttle America'!$HG22</f>
        <v>0</v>
      </c>
      <c r="C5" s="129">
        <f>'[3]Shuttle America_Delta'!$HG22</f>
        <v>0</v>
      </c>
      <c r="D5" s="426">
        <f>[3]Horizon_AS!$HG22+[3]Horizon_AS!$HG32</f>
        <v>1721</v>
      </c>
      <c r="E5" s="426">
        <f>'[3]Air Wisconsin'!$HG22</f>
        <v>0</v>
      </c>
      <c r="F5" s="426">
        <f>[3]PSA!$HG22</f>
        <v>1350</v>
      </c>
      <c r="G5" s="129">
        <f>'[3]Atlantic Southeast'!$HG22+'[3]Atlantic Southeast'!$HG32</f>
        <v>0</v>
      </c>
      <c r="H5" s="129">
        <f>'[3]Continental Express'!$HG22</f>
        <v>0</v>
      </c>
      <c r="I5" s="128">
        <f>'[3]Go Jet_UA'!$HG22</f>
        <v>0</v>
      </c>
      <c r="J5" s="20">
        <f>'[3]Go Jet'!$HG22+'[3]Go Jet'!$HG32</f>
        <v>0</v>
      </c>
      <c r="K5" s="108">
        <f>SUM(B5:J5)</f>
        <v>3071</v>
      </c>
    </row>
    <row r="6" spans="1:11" s="10" customFormat="1" x14ac:dyDescent="0.2">
      <c r="A6" s="60" t="s">
        <v>31</v>
      </c>
      <c r="B6" s="129">
        <f>'[3]Shuttle America'!$HG23</f>
        <v>0</v>
      </c>
      <c r="C6" s="129">
        <f>'[3]Shuttle America_Delta'!$HG23</f>
        <v>0</v>
      </c>
      <c r="D6" s="426">
        <f>[3]Horizon_AS!$HG23+[3]Horizon_AS!$HG33</f>
        <v>1785</v>
      </c>
      <c r="E6" s="426">
        <f>'[3]Air Wisconsin'!$HG23</f>
        <v>0</v>
      </c>
      <c r="F6" s="426">
        <f>[3]PSA!$HG23</f>
        <v>1080</v>
      </c>
      <c r="G6" s="129">
        <f>'[3]Atlantic Southeast'!$HG23+'[3]Atlantic Southeast'!$HG33</f>
        <v>0</v>
      </c>
      <c r="H6" s="129">
        <f>'[3]Continental Express'!$HG23</f>
        <v>0</v>
      </c>
      <c r="I6" s="128">
        <f>'[3]Go Jet_UA'!$HG23</f>
        <v>0</v>
      </c>
      <c r="J6" s="13">
        <f>'[3]Go Jet'!$HG23+'[3]Go Jet'!$HG33</f>
        <v>0</v>
      </c>
      <c r="K6" s="113">
        <f>SUM(B6:J6)</f>
        <v>2865</v>
      </c>
    </row>
    <row r="7" spans="1:11" ht="15" thickBot="1" x14ac:dyDescent="0.25">
      <c r="A7" s="71" t="s">
        <v>7</v>
      </c>
      <c r="B7" s="131">
        <f t="shared" ref="B7:I7" si="0">SUM(B5:B6)</f>
        <v>0</v>
      </c>
      <c r="C7" s="131">
        <f t="shared" si="0"/>
        <v>0</v>
      </c>
      <c r="D7" s="131">
        <f t="shared" ref="D7:E7" si="1">SUM(D5:D6)</f>
        <v>3506</v>
      </c>
      <c r="E7" s="131">
        <f t="shared" si="1"/>
        <v>0</v>
      </c>
      <c r="F7" s="131">
        <f t="shared" si="0"/>
        <v>2430</v>
      </c>
      <c r="G7" s="131">
        <f t="shared" si="0"/>
        <v>0</v>
      </c>
      <c r="H7" s="131">
        <f t="shared" si="0"/>
        <v>0</v>
      </c>
      <c r="I7" s="131">
        <f t="shared" si="0"/>
        <v>0</v>
      </c>
      <c r="J7" s="131">
        <f>SUM(J5:J6)</f>
        <v>0</v>
      </c>
      <c r="K7" s="132">
        <f>SUM(B7:J7)</f>
        <v>5936</v>
      </c>
    </row>
    <row r="8" spans="1:11" ht="13.5" thickTop="1" x14ac:dyDescent="0.2">
      <c r="A8" s="60"/>
      <c r="B8" s="129"/>
      <c r="C8" s="129"/>
      <c r="D8" s="426"/>
      <c r="E8" s="426"/>
      <c r="F8" s="426"/>
      <c r="G8" s="129"/>
      <c r="H8" s="129"/>
      <c r="I8" s="128"/>
      <c r="J8" s="313"/>
      <c r="K8" s="133"/>
    </row>
    <row r="9" spans="1:11" s="10" customFormat="1" x14ac:dyDescent="0.2">
      <c r="A9" s="60" t="s">
        <v>32</v>
      </c>
      <c r="B9" s="129"/>
      <c r="C9" s="129"/>
      <c r="D9" s="426"/>
      <c r="E9" s="426"/>
      <c r="F9" s="426"/>
      <c r="G9" s="129"/>
      <c r="H9" s="129"/>
      <c r="I9" s="128"/>
      <c r="J9" s="20"/>
      <c r="K9" s="108"/>
    </row>
    <row r="10" spans="1:11" x14ac:dyDescent="0.2">
      <c r="A10" s="60" t="s">
        <v>30</v>
      </c>
      <c r="B10" s="129">
        <f>'[3]Shuttle America'!$HG27</f>
        <v>0</v>
      </c>
      <c r="C10" s="129">
        <f>'[3]Shuttle America_Delta'!$HG27</f>
        <v>0</v>
      </c>
      <c r="D10" s="426">
        <f>[3]Horizon_AS!$HG27+[3]Horizon_AS!$HG37</f>
        <v>40</v>
      </c>
      <c r="E10" s="426">
        <f>'[3]Air Wisconsin'!$HG27</f>
        <v>0</v>
      </c>
      <c r="F10" s="426">
        <f>[3]PSA!$HG27</f>
        <v>34</v>
      </c>
      <c r="G10" s="20">
        <f>'[3]Atlantic Southeast'!$HG27+'[3]Atlantic Southeast'!$HG37</f>
        <v>0</v>
      </c>
      <c r="H10" s="129">
        <f>'[3]Continental Express'!$HG27</f>
        <v>0</v>
      </c>
      <c r="I10" s="128">
        <f>'[3]Go Jet_UA'!$HG27</f>
        <v>0</v>
      </c>
      <c r="J10" s="20">
        <f>'[3]Go Jet'!$HG27+'[3]Go Jet'!$HG37</f>
        <v>0</v>
      </c>
      <c r="K10" s="108">
        <f>SUM(B10:J10)</f>
        <v>74</v>
      </c>
    </row>
    <row r="11" spans="1:11" x14ac:dyDescent="0.2">
      <c r="A11" s="60" t="s">
        <v>33</v>
      </c>
      <c r="B11" s="129">
        <f>'[3]Shuttle America'!$HG28</f>
        <v>0</v>
      </c>
      <c r="C11" s="129">
        <f>'[3]Shuttle America_Delta'!$HG28</f>
        <v>0</v>
      </c>
      <c r="D11" s="426">
        <f>[3]Horizon_AS!$HG28+[3]Horizon_AS!$HG38</f>
        <v>47</v>
      </c>
      <c r="E11" s="426">
        <f>'[3]Air Wisconsin'!$HG28</f>
        <v>0</v>
      </c>
      <c r="F11" s="426">
        <f>[3]PSA!$HG28</f>
        <v>45</v>
      </c>
      <c r="G11" s="13">
        <f>'[3]Atlantic Southeast'!$HG28+'[3]Atlantic Southeast'!$HG38</f>
        <v>0</v>
      </c>
      <c r="H11" s="129">
        <f>'[3]Continental Express'!$HG28</f>
        <v>0</v>
      </c>
      <c r="I11" s="128">
        <f>'[3]Go Jet_UA'!$HG28</f>
        <v>0</v>
      </c>
      <c r="J11" s="13">
        <f>'[3]Go Jet'!$HG28+'[3]Go Jet'!$HG38</f>
        <v>0</v>
      </c>
      <c r="K11" s="113">
        <f>SUM(B11:J11)</f>
        <v>92</v>
      </c>
    </row>
    <row r="12" spans="1:11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F12" si="2">SUM(D10:D11)</f>
        <v>87</v>
      </c>
      <c r="E12" s="134">
        <f t="shared" ref="E12" si="3">SUM(E10:E11)</f>
        <v>0</v>
      </c>
      <c r="F12" s="134">
        <f t="shared" si="2"/>
        <v>79</v>
      </c>
      <c r="G12" s="134">
        <f t="shared" ref="G12:I12" si="4">SUM(G10:G11)</f>
        <v>0</v>
      </c>
      <c r="H12" s="134">
        <f t="shared" si="4"/>
        <v>0</v>
      </c>
      <c r="I12" s="134">
        <f t="shared" si="4"/>
        <v>0</v>
      </c>
      <c r="J12" s="134">
        <f t="shared" ref="J12" si="5">SUM(J10:J11)</f>
        <v>0</v>
      </c>
      <c r="K12" s="135">
        <f>SUM(B12:J12)</f>
        <v>166</v>
      </c>
    </row>
    <row r="13" spans="1:11" ht="6" customHeight="1" thickBot="1" x14ac:dyDescent="0.25"/>
    <row r="14" spans="1:11" ht="15.75" thickTop="1" x14ac:dyDescent="0.25">
      <c r="A14" s="59" t="s">
        <v>9</v>
      </c>
      <c r="B14" s="101"/>
      <c r="C14" s="101"/>
      <c r="D14" s="101"/>
      <c r="E14" s="101"/>
      <c r="F14" s="101"/>
      <c r="G14" s="102"/>
      <c r="H14" s="102"/>
      <c r="I14" s="101"/>
      <c r="J14" s="101"/>
      <c r="K14" s="103"/>
    </row>
    <row r="15" spans="1:11" x14ac:dyDescent="0.2">
      <c r="A15" s="60" t="s">
        <v>53</v>
      </c>
      <c r="B15" s="104">
        <f>'[3]Shuttle America'!$HG4</f>
        <v>0</v>
      </c>
      <c r="C15" s="104">
        <f>'[3]Shuttle America_Delta'!$HG4</f>
        <v>0</v>
      </c>
      <c r="D15" s="427">
        <f>[3]Horizon_AS!$HG4</f>
        <v>26</v>
      </c>
      <c r="E15" s="427">
        <f>'[3]Air Wisconsin'!$HG4</f>
        <v>0</v>
      </c>
      <c r="F15" s="427">
        <f>[3]PSA!$HG4</f>
        <v>25</v>
      </c>
      <c r="G15" s="105">
        <f>'[3]Atlantic Southeast'!$HG4+'[3]Atlantic Southeast'!$HG15</f>
        <v>0</v>
      </c>
      <c r="H15" s="105">
        <f>'[3]Continental Express'!$HG4</f>
        <v>0</v>
      </c>
      <c r="I15" s="104">
        <f>'[3]Go Jet_UA'!$HG4</f>
        <v>0</v>
      </c>
      <c r="J15" s="20">
        <f>'[3]Go Jet'!$HG4+'[3]Go Jet'!$HG15</f>
        <v>0</v>
      </c>
      <c r="K15" s="108">
        <f t="shared" ref="K15:K21" si="6">SUM(B15:J15)</f>
        <v>51</v>
      </c>
    </row>
    <row r="16" spans="1:11" x14ac:dyDescent="0.2">
      <c r="A16" s="60" t="s">
        <v>54</v>
      </c>
      <c r="B16" s="109">
        <f>'[3]Shuttle America'!$HG5</f>
        <v>0</v>
      </c>
      <c r="C16" s="109">
        <f>'[3]Shuttle America_Delta'!$HG5</f>
        <v>0</v>
      </c>
      <c r="D16" s="428">
        <f>[3]Horizon_AS!$HG5</f>
        <v>26</v>
      </c>
      <c r="E16" s="428">
        <f>'[3]Air Wisconsin'!$HG5</f>
        <v>0</v>
      </c>
      <c r="F16" s="428">
        <f>[3]PSA!$HG5</f>
        <v>25</v>
      </c>
      <c r="G16" s="110">
        <f>'[3]Atlantic Southeast'!$HG5+'[3]Atlantic Southeast'!$HG16</f>
        <v>0</v>
      </c>
      <c r="H16" s="110">
        <f>'[3]Continental Express'!$HG5</f>
        <v>0</v>
      </c>
      <c r="I16" s="109">
        <f>'[3]Go Jet_UA'!$HG5</f>
        <v>0</v>
      </c>
      <c r="J16" s="13">
        <f>'[3]Go Jet'!$HG5+'[3]Go Jet'!$HG16</f>
        <v>0</v>
      </c>
      <c r="K16" s="113">
        <f t="shared" si="6"/>
        <v>51</v>
      </c>
    </row>
    <row r="17" spans="1:14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F17" si="7">SUM(D15:D16)</f>
        <v>52</v>
      </c>
      <c r="E17" s="114">
        <f t="shared" ref="E17" si="8">SUM(E15:E16)</f>
        <v>0</v>
      </c>
      <c r="F17" s="114">
        <f t="shared" si="7"/>
        <v>50</v>
      </c>
      <c r="G17" s="114">
        <f t="shared" ref="G17:I17" si="9">SUM(G15:G16)</f>
        <v>0</v>
      </c>
      <c r="H17" s="114">
        <f t="shared" si="9"/>
        <v>0</v>
      </c>
      <c r="I17" s="114">
        <f t="shared" si="9"/>
        <v>0</v>
      </c>
      <c r="J17" s="259">
        <f>SUM(J15:J16)</f>
        <v>0</v>
      </c>
      <c r="K17" s="115">
        <f t="shared" si="6"/>
        <v>102</v>
      </c>
    </row>
    <row r="18" spans="1:14" x14ac:dyDescent="0.2">
      <c r="A18" s="60" t="s">
        <v>56</v>
      </c>
      <c r="B18" s="116">
        <f>'[3]Shuttle America'!$HG8</f>
        <v>0</v>
      </c>
      <c r="C18" s="116">
        <f>'[3]Shuttle America_Delta'!$HG8</f>
        <v>0</v>
      </c>
      <c r="D18" s="116">
        <f>[3]Horizon_AS!$HG8</f>
        <v>0</v>
      </c>
      <c r="E18" s="116">
        <f>'[3]Air Wisconsin'!$HG8</f>
        <v>0</v>
      </c>
      <c r="F18" s="116">
        <f>[3]PSA!$HG8</f>
        <v>0</v>
      </c>
      <c r="G18" s="107">
        <f>'[3]Atlantic Southeast'!$HG8</f>
        <v>0</v>
      </c>
      <c r="H18" s="107">
        <f>'[3]Continental Express'!$HG8</f>
        <v>0</v>
      </c>
      <c r="I18" s="116">
        <f>'[3]Go Jet_UA'!$HG8</f>
        <v>0</v>
      </c>
      <c r="J18" s="20">
        <f>'[3]Go Jet'!$HG8</f>
        <v>0</v>
      </c>
      <c r="K18" s="108">
        <f t="shared" si="6"/>
        <v>0</v>
      </c>
      <c r="N18" s="351"/>
    </row>
    <row r="19" spans="1:14" x14ac:dyDescent="0.2">
      <c r="A19" s="60" t="s">
        <v>57</v>
      </c>
      <c r="B19" s="118">
        <f>'[3]Shuttle America'!$HG9</f>
        <v>0</v>
      </c>
      <c r="C19" s="118">
        <f>'[3]Shuttle America_Delta'!$HG9</f>
        <v>0</v>
      </c>
      <c r="D19" s="118">
        <f>[3]Horizon_AS!$HG9</f>
        <v>0</v>
      </c>
      <c r="E19" s="118">
        <f>'[3]Air Wisconsin'!$HG9</f>
        <v>0</v>
      </c>
      <c r="F19" s="118">
        <f>[3]PSA!$HG9</f>
        <v>0</v>
      </c>
      <c r="G19" s="112">
        <f>'[3]Atlantic Southeast'!$HG9</f>
        <v>0</v>
      </c>
      <c r="H19" s="112">
        <f>'[3]Continental Express'!$HG9</f>
        <v>0</v>
      </c>
      <c r="I19" s="118">
        <f>'[3]Go Jet_UA'!$HG9</f>
        <v>0</v>
      </c>
      <c r="J19" s="13">
        <f>'[3]Go Jet'!$HG9</f>
        <v>0</v>
      </c>
      <c r="K19" s="113">
        <f t="shared" si="6"/>
        <v>0</v>
      </c>
    </row>
    <row r="20" spans="1:14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F20" si="10">SUM(D18:D19)</f>
        <v>0</v>
      </c>
      <c r="E20" s="114">
        <f t="shared" ref="E20" si="11">SUM(E18:E19)</f>
        <v>0</v>
      </c>
      <c r="F20" s="114">
        <f t="shared" si="10"/>
        <v>0</v>
      </c>
      <c r="G20" s="114">
        <f t="shared" ref="G20:I20" si="12">SUM(G18:G19)</f>
        <v>0</v>
      </c>
      <c r="H20" s="114">
        <f t="shared" si="12"/>
        <v>0</v>
      </c>
      <c r="I20" s="114">
        <f t="shared" si="12"/>
        <v>0</v>
      </c>
      <c r="J20" s="259">
        <f>SUM(J18:J19)</f>
        <v>0</v>
      </c>
      <c r="K20" s="115">
        <f t="shared" si="6"/>
        <v>0</v>
      </c>
    </row>
    <row r="21" spans="1:14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F21" si="13">SUM(D20,D17)</f>
        <v>52</v>
      </c>
      <c r="E21" s="120">
        <f t="shared" ref="E21" si="14">SUM(E20,E17)</f>
        <v>0</v>
      </c>
      <c r="F21" s="120">
        <f t="shared" si="13"/>
        <v>50</v>
      </c>
      <c r="G21" s="120">
        <f t="shared" ref="G21:I21" si="15">SUM(G20,G17)</f>
        <v>0</v>
      </c>
      <c r="H21" s="120">
        <f t="shared" si="15"/>
        <v>0</v>
      </c>
      <c r="I21" s="120">
        <f t="shared" si="15"/>
        <v>0</v>
      </c>
      <c r="J21" s="120">
        <f t="shared" ref="J21" si="16">SUM(J20,J17)</f>
        <v>0</v>
      </c>
      <c r="K21" s="121">
        <f t="shared" si="6"/>
        <v>102</v>
      </c>
    </row>
    <row r="22" spans="1:14" ht="3.75" customHeight="1" thickBot="1" x14ac:dyDescent="0.25"/>
    <row r="23" spans="1:14" ht="15.75" thickTop="1" x14ac:dyDescent="0.25">
      <c r="A23" s="63" t="s">
        <v>114</v>
      </c>
      <c r="B23" s="136"/>
      <c r="C23" s="136"/>
      <c r="D23" s="136"/>
      <c r="E23" s="136"/>
      <c r="F23" s="136"/>
      <c r="G23" s="137"/>
      <c r="H23" s="137"/>
      <c r="I23" s="136"/>
      <c r="J23" s="136"/>
      <c r="K23" s="138"/>
    </row>
    <row r="24" spans="1:14" x14ac:dyDescent="0.2">
      <c r="A24" s="73" t="s">
        <v>36</v>
      </c>
      <c r="B24" s="128"/>
      <c r="C24" s="128"/>
      <c r="D24" s="128"/>
      <c r="E24" s="128"/>
      <c r="F24" s="128"/>
      <c r="G24" s="129"/>
      <c r="H24" s="129"/>
      <c r="I24" s="128"/>
      <c r="K24" s="108"/>
    </row>
    <row r="25" spans="1:14" x14ac:dyDescent="0.2">
      <c r="A25" s="73" t="s">
        <v>37</v>
      </c>
      <c r="B25" s="128">
        <f>'[3]Shuttle America'!$HG47</f>
        <v>0</v>
      </c>
      <c r="C25" s="128">
        <f>'[3]Shuttle America_Delta'!$HG47</f>
        <v>0</v>
      </c>
      <c r="D25" s="128">
        <f>[3]Horizon_AS!$HG47</f>
        <v>2217</v>
      </c>
      <c r="E25" s="128">
        <f>'[3]Air Wisconsin'!$HG47</f>
        <v>0</v>
      </c>
      <c r="F25" s="128">
        <f>[3]PSA!$HG47</f>
        <v>0</v>
      </c>
      <c r="G25" s="129">
        <f>'[3]Atlantic Southeast'!$HG47</f>
        <v>0</v>
      </c>
      <c r="H25" s="129">
        <f>'[3]Continental Express'!$HG47</f>
        <v>0</v>
      </c>
      <c r="I25" s="128">
        <f>'[3]Go Jet_UA'!$HG47</f>
        <v>0</v>
      </c>
      <c r="J25" s="128">
        <f>'[3]Go Jet'!$HG47</f>
        <v>0</v>
      </c>
      <c r="K25" s="108">
        <f>SUM(B25:J25)</f>
        <v>2217</v>
      </c>
    </row>
    <row r="26" spans="1:14" x14ac:dyDescent="0.2">
      <c r="A26" s="73" t="s">
        <v>38</v>
      </c>
      <c r="B26" s="128">
        <f>'[3]Shuttle America'!$HG48</f>
        <v>0</v>
      </c>
      <c r="C26" s="128">
        <f>'[3]Shuttle America_Delta'!$HG48</f>
        <v>0</v>
      </c>
      <c r="D26" s="128">
        <f>[3]Horizon_AS!$HG48</f>
        <v>559</v>
      </c>
      <c r="E26" s="128">
        <f>'[3]Air Wisconsin'!$HG48</f>
        <v>0</v>
      </c>
      <c r="F26" s="128">
        <f>[3]PSA!$HG48</f>
        <v>0</v>
      </c>
      <c r="G26" s="129">
        <f>'[3]Atlantic Southeast'!$HG48</f>
        <v>0</v>
      </c>
      <c r="H26" s="129">
        <f>'[3]Continental Express'!$HG48</f>
        <v>0</v>
      </c>
      <c r="I26" s="128">
        <f>'[3]Go Jet_UA'!$HG48</f>
        <v>0</v>
      </c>
      <c r="J26" s="128">
        <f>'[3]Go Jet'!$HG48</f>
        <v>0</v>
      </c>
      <c r="K26" s="108">
        <f>SUM(B26:J26)</f>
        <v>559</v>
      </c>
    </row>
    <row r="27" spans="1:14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F27" si="17">SUM(D25:D26)</f>
        <v>2776</v>
      </c>
      <c r="E27" s="131">
        <f t="shared" ref="E27" si="18">SUM(E25:E26)</f>
        <v>0</v>
      </c>
      <c r="F27" s="131">
        <f t="shared" si="17"/>
        <v>0</v>
      </c>
      <c r="G27" s="131">
        <f t="shared" ref="G27:I27" si="19">SUM(G25:G26)</f>
        <v>0</v>
      </c>
      <c r="H27" s="131">
        <f t="shared" si="19"/>
        <v>0</v>
      </c>
      <c r="I27" s="131">
        <f t="shared" si="19"/>
        <v>0</v>
      </c>
      <c r="J27" s="131">
        <f>SUM(J25:J26)</f>
        <v>0</v>
      </c>
      <c r="K27" s="132">
        <f>SUM(B27:J27)</f>
        <v>2776</v>
      </c>
    </row>
    <row r="28" spans="1:14" ht="7.5" customHeight="1" thickTop="1" x14ac:dyDescent="0.2">
      <c r="A28" s="73"/>
      <c r="B28" s="128"/>
      <c r="C28" s="128"/>
      <c r="D28" s="128"/>
      <c r="E28" s="128"/>
      <c r="F28" s="128"/>
      <c r="G28" s="129"/>
      <c r="H28" s="129"/>
      <c r="I28" s="128"/>
      <c r="J28" s="128"/>
      <c r="K28" s="108"/>
    </row>
    <row r="29" spans="1:14" x14ac:dyDescent="0.2">
      <c r="A29" s="73" t="s">
        <v>40</v>
      </c>
      <c r="B29" s="128"/>
      <c r="C29" s="128"/>
      <c r="D29" s="128"/>
      <c r="E29" s="128"/>
      <c r="F29" s="128"/>
      <c r="G29" s="129"/>
      <c r="H29" s="129"/>
      <c r="I29" s="128"/>
      <c r="J29" s="128"/>
      <c r="K29" s="108"/>
    </row>
    <row r="30" spans="1:14" x14ac:dyDescent="0.2">
      <c r="A30" s="73" t="s">
        <v>59</v>
      </c>
      <c r="B30" s="128">
        <f>'[3]Shuttle America'!$HG52</f>
        <v>0</v>
      </c>
      <c r="C30" s="128">
        <f>'[3]Shuttle America_Delta'!$HG52</f>
        <v>0</v>
      </c>
      <c r="D30" s="128">
        <f>[3]Horizon_AS!$HG52</f>
        <v>178</v>
      </c>
      <c r="E30" s="128">
        <f>'[3]Air Wisconsin'!$HG52</f>
        <v>0</v>
      </c>
      <c r="F30" s="128">
        <f>[3]PSA!$HG52</f>
        <v>0</v>
      </c>
      <c r="G30" s="129">
        <f>'[3]Atlantic Southeast'!$HG52</f>
        <v>0</v>
      </c>
      <c r="H30" s="129">
        <f>'[3]Continental Express'!$HG52</f>
        <v>0</v>
      </c>
      <c r="I30" s="128">
        <f>'[3]Go Jet_UA'!$HG52</f>
        <v>0</v>
      </c>
      <c r="J30" s="128">
        <f>'[3]Go Jet'!$HG52</f>
        <v>0</v>
      </c>
      <c r="K30" s="108">
        <f>SUM(B30:J30)</f>
        <v>178</v>
      </c>
    </row>
    <row r="31" spans="1:14" x14ac:dyDescent="0.2">
      <c r="A31" s="73" t="s">
        <v>60</v>
      </c>
      <c r="B31" s="128">
        <f>'[3]Shuttle America'!$HG53</f>
        <v>0</v>
      </c>
      <c r="C31" s="128">
        <f>'[3]Shuttle America_Delta'!$HG53</f>
        <v>0</v>
      </c>
      <c r="D31" s="128">
        <f>[3]Horizon_AS!$HG53</f>
        <v>2412</v>
      </c>
      <c r="E31" s="128">
        <f>'[3]Air Wisconsin'!$HG53</f>
        <v>0</v>
      </c>
      <c r="F31" s="128">
        <f>[3]PSA!$HG53</f>
        <v>0</v>
      </c>
      <c r="G31" s="129">
        <f>'[3]Atlantic Southeast'!$HG53</f>
        <v>0</v>
      </c>
      <c r="H31" s="129">
        <f>'[3]Continental Express'!$HG53</f>
        <v>0</v>
      </c>
      <c r="I31" s="128">
        <f>'[3]Go Jet_UA'!$HG53</f>
        <v>0</v>
      </c>
      <c r="J31" s="128">
        <f>'[3]Go Jet'!$HG53</f>
        <v>0</v>
      </c>
      <c r="K31" s="108">
        <f>SUM(B31:J31)</f>
        <v>2412</v>
      </c>
    </row>
    <row r="32" spans="1:14" ht="15" thickBot="1" x14ac:dyDescent="0.25">
      <c r="A32" s="71" t="s">
        <v>41</v>
      </c>
      <c r="B32" s="131">
        <f t="shared" ref="B32:I32" si="20">SUM(B30:B31)</f>
        <v>0</v>
      </c>
      <c r="C32" s="131">
        <f t="shared" si="20"/>
        <v>0</v>
      </c>
      <c r="D32" s="131">
        <f t="shared" ref="D32:E32" si="21">SUM(D30:D31)</f>
        <v>2590</v>
      </c>
      <c r="E32" s="131">
        <f t="shared" si="21"/>
        <v>0</v>
      </c>
      <c r="F32" s="131">
        <f t="shared" si="20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ref="J32" si="22">SUM(J30:J31)</f>
        <v>0</v>
      </c>
      <c r="K32" s="132">
        <f>SUM(B32:J32)</f>
        <v>2590</v>
      </c>
    </row>
    <row r="33" spans="1:11" ht="13.5" hidden="1" thickTop="1" x14ac:dyDescent="0.2">
      <c r="A33" s="73"/>
      <c r="B33" s="128"/>
      <c r="C33" s="128"/>
      <c r="D33" s="128"/>
      <c r="E33" s="128"/>
      <c r="F33" s="128"/>
      <c r="G33" s="129"/>
      <c r="H33" s="129"/>
      <c r="I33" s="128"/>
      <c r="J33" s="128"/>
      <c r="K33" s="108"/>
    </row>
    <row r="34" spans="1:11" ht="13.5" hidden="1" thickTop="1" x14ac:dyDescent="0.2">
      <c r="A34" s="73" t="s">
        <v>42</v>
      </c>
      <c r="B34" s="128"/>
      <c r="C34" s="128"/>
      <c r="D34" s="128"/>
      <c r="E34" s="128"/>
      <c r="F34" s="128"/>
      <c r="G34" s="129"/>
      <c r="H34" s="129"/>
      <c r="I34" s="128"/>
      <c r="J34" s="128"/>
      <c r="K34" s="108"/>
    </row>
    <row r="35" spans="1:11" ht="13.5" hidden="1" thickTop="1" x14ac:dyDescent="0.2">
      <c r="A35" s="73" t="s">
        <v>37</v>
      </c>
      <c r="B35" s="128">
        <f>'[3]Shuttle America'!$HG57</f>
        <v>0</v>
      </c>
      <c r="C35" s="128">
        <f>'[3]Shuttle America_Delta'!$HG57</f>
        <v>0</v>
      </c>
      <c r="D35" s="128">
        <f>[3]Horizon_AS!$HG57</f>
        <v>0</v>
      </c>
      <c r="E35" s="128">
        <f>'[3]Air Wisconsin'!$HG57</f>
        <v>0</v>
      </c>
      <c r="F35" s="128">
        <f>[3]PSA!$HG57</f>
        <v>0</v>
      </c>
      <c r="G35" s="129">
        <f>'[3]Atlantic Southeast'!$HG57</f>
        <v>0</v>
      </c>
      <c r="H35" s="129">
        <f>'[3]Continental Express'!$HG57</f>
        <v>0</v>
      </c>
      <c r="I35" s="128">
        <f>'[3]Go Jet_UA'!$AJ$57</f>
        <v>0</v>
      </c>
      <c r="J35" s="128">
        <f>'[3]Go Jet'!$HG57</f>
        <v>0</v>
      </c>
      <c r="K35" s="108">
        <f>SUM(B35:J35)</f>
        <v>0</v>
      </c>
    </row>
    <row r="36" spans="1:11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[3]PSA!BG$58</f>
        <v>0</v>
      </c>
      <c r="G36" s="129">
        <f>'[3]Atlantic Southeast'!BG$58</f>
        <v>0</v>
      </c>
      <c r="H36" s="129">
        <f>'[3]Continental Express'!BG$58</f>
        <v>0</v>
      </c>
      <c r="I36" s="128">
        <f>'[3]Go Jet_UA'!$AJ$58</f>
        <v>0</v>
      </c>
      <c r="J36" s="128">
        <f>'[3]Go Jet'!BK$58</f>
        <v>0</v>
      </c>
      <c r="K36" s="108">
        <f>SUM(B36:J36)</f>
        <v>0</v>
      </c>
    </row>
    <row r="37" spans="1:11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F37" si="23">SUM(D35:D36)</f>
        <v>0</v>
      </c>
      <c r="E37" s="139">
        <f t="shared" ref="E37" si="24">SUM(E35:E36)</f>
        <v>0</v>
      </c>
      <c r="F37" s="139">
        <f t="shared" si="23"/>
        <v>0</v>
      </c>
      <c r="G37" s="140">
        <f t="shared" ref="G37:I37" si="25">SUM(G35:G36)</f>
        <v>0</v>
      </c>
      <c r="H37" s="140">
        <f t="shared" si="25"/>
        <v>0</v>
      </c>
      <c r="I37" s="139">
        <f t="shared" si="25"/>
        <v>0</v>
      </c>
      <c r="J37" s="139">
        <f>SUM(J35:J36)</f>
        <v>0</v>
      </c>
      <c r="K37" s="141">
        <f>SUM(B37:J37)</f>
        <v>0</v>
      </c>
    </row>
    <row r="38" spans="1:11" ht="6.75" customHeight="1" thickTop="1" x14ac:dyDescent="0.2">
      <c r="A38" s="73"/>
      <c r="B38" s="128"/>
      <c r="C38" s="128"/>
      <c r="D38" s="128"/>
      <c r="E38" s="128"/>
      <c r="F38" s="128"/>
      <c r="G38" s="129"/>
      <c r="H38" s="129"/>
      <c r="I38" s="128"/>
      <c r="J38" s="128"/>
      <c r="K38" s="108"/>
    </row>
    <row r="39" spans="1:11" x14ac:dyDescent="0.2">
      <c r="A39" s="73" t="s">
        <v>44</v>
      </c>
      <c r="B39" s="128"/>
      <c r="C39" s="128"/>
      <c r="D39" s="128"/>
      <c r="E39" s="128"/>
      <c r="F39" s="128"/>
      <c r="G39" s="129"/>
      <c r="H39" s="129"/>
      <c r="I39" s="128"/>
      <c r="J39" s="128"/>
      <c r="K39" s="108"/>
    </row>
    <row r="40" spans="1:11" x14ac:dyDescent="0.2">
      <c r="A40" s="73" t="s">
        <v>45</v>
      </c>
      <c r="B40" s="128">
        <f t="shared" ref="B40:H40" si="26">SUM(B35,B30,B25)</f>
        <v>0</v>
      </c>
      <c r="C40" s="128">
        <f>SUM(C35,C30,C25)</f>
        <v>0</v>
      </c>
      <c r="D40" s="128">
        <f t="shared" ref="D40:F41" si="27">SUM(D35,D30,D25)</f>
        <v>2395</v>
      </c>
      <c r="E40" s="128">
        <f t="shared" ref="E40" si="28">SUM(E35,E30,E25)</f>
        <v>0</v>
      </c>
      <c r="F40" s="128">
        <f t="shared" si="27"/>
        <v>0</v>
      </c>
      <c r="G40" s="128">
        <f t="shared" si="26"/>
        <v>0</v>
      </c>
      <c r="H40" s="128">
        <f t="shared" si="26"/>
        <v>0</v>
      </c>
      <c r="I40" s="128">
        <f>SUM(I35,I30,I25)</f>
        <v>0</v>
      </c>
      <c r="J40" s="128">
        <f t="shared" ref="J40" si="29">SUM(J35,J30,J25)</f>
        <v>0</v>
      </c>
      <c r="K40" s="108">
        <f>SUM(B40:J40)</f>
        <v>2395</v>
      </c>
    </row>
    <row r="41" spans="1:11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2971</v>
      </c>
      <c r="E41" s="128">
        <f t="shared" ref="E41" si="30">SUM(E36,E31,E26)</f>
        <v>0</v>
      </c>
      <c r="F41" s="128">
        <f t="shared" si="27"/>
        <v>0</v>
      </c>
      <c r="G41" s="128">
        <f t="shared" ref="G41:H41" si="31">SUM(G36,G31,G26)</f>
        <v>0</v>
      </c>
      <c r="H41" s="128">
        <f t="shared" si="31"/>
        <v>0</v>
      </c>
      <c r="I41" s="128">
        <f>SUM(I36,I31,I26)</f>
        <v>0</v>
      </c>
      <c r="J41" s="128">
        <f t="shared" ref="J41" si="32">SUM(J36,J31,J26)</f>
        <v>0</v>
      </c>
      <c r="K41" s="108">
        <f>SUM(B41:J41)</f>
        <v>2971</v>
      </c>
    </row>
    <row r="42" spans="1:11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F42" si="33">SUM(D40:D41)</f>
        <v>5366</v>
      </c>
      <c r="E42" s="134">
        <f t="shared" ref="E42" si="34">SUM(E40:E41)</f>
        <v>0</v>
      </c>
      <c r="F42" s="134">
        <f t="shared" si="33"/>
        <v>0</v>
      </c>
      <c r="G42" s="134">
        <f t="shared" ref="G42:I42" si="35">SUM(G40:G41)</f>
        <v>0</v>
      </c>
      <c r="H42" s="134">
        <f t="shared" si="35"/>
        <v>0</v>
      </c>
      <c r="I42" s="134">
        <f t="shared" si="35"/>
        <v>0</v>
      </c>
      <c r="J42" s="134">
        <f t="shared" ref="J42" si="36">SUM(J40:J41)</f>
        <v>0</v>
      </c>
      <c r="K42" s="135">
        <f>SUM(B42:J42)</f>
        <v>5366</v>
      </c>
    </row>
    <row r="43" spans="1:11" ht="4.5" customHeight="1" x14ac:dyDescent="0.2"/>
    <row r="44" spans="1:11" hidden="1" x14ac:dyDescent="0.2">
      <c r="A44" s="295" t="s">
        <v>124</v>
      </c>
      <c r="G44" s="280"/>
      <c r="J44" s="294">
        <f>'[3]Go Jet'!BK$70+'[3]Go Jet'!BK$73</f>
        <v>0</v>
      </c>
      <c r="K44" s="282" t="e">
        <f>SUM(#REF!)</f>
        <v>#REF!</v>
      </c>
    </row>
    <row r="45" spans="1:11" hidden="1" x14ac:dyDescent="0.2">
      <c r="A45" s="295" t="s">
        <v>125</v>
      </c>
      <c r="G45" s="298"/>
      <c r="J45" s="294">
        <f>'[3]Go Jet'!BK$71+'[3]Go Jet'!BK$74</f>
        <v>0</v>
      </c>
      <c r="K45" s="282" t="e">
        <f>SUM(#REF!)</f>
        <v>#REF!</v>
      </c>
    </row>
    <row r="46" spans="1:11" x14ac:dyDescent="0.2">
      <c r="A46" s="348" t="s">
        <v>121</v>
      </c>
      <c r="C46" s="294">
        <f>'[3]Shuttle America_Delta'!$HG70+'[3]Shuttle America_Delta'!$HG73</f>
        <v>0</v>
      </c>
      <c r="D46" s="5"/>
      <c r="E46" s="5"/>
      <c r="G46" s="294">
        <f>'[3]Atlantic Southeast'!$HG70+'[3]Atlantic Southeast'!$HG73</f>
        <v>0</v>
      </c>
      <c r="J46" s="294">
        <f>'[3]Go Jet'!$HG70+'[3]Go Jet'!$HG73</f>
        <v>0</v>
      </c>
      <c r="K46" s="361">
        <f>SUM(B46:J46)</f>
        <v>0</v>
      </c>
    </row>
    <row r="47" spans="1:11" x14ac:dyDescent="0.2">
      <c r="A47" s="362" t="s">
        <v>122</v>
      </c>
      <c r="C47" s="294">
        <f>'[3]Shuttle America_Delta'!$HG71+'[3]Shuttle America_Delta'!$HG74</f>
        <v>0</v>
      </c>
      <c r="D47" s="5"/>
      <c r="E47" s="5"/>
      <c r="G47" s="294">
        <f>'[3]Atlantic Southeast'!$HG71+'[3]Atlantic Southeast'!$HG74</f>
        <v>0</v>
      </c>
      <c r="J47" s="294">
        <f>'[3]Go Jet'!$HG71+'[3]Go Jet'!$HG74</f>
        <v>0</v>
      </c>
      <c r="K47" s="361">
        <f>SUM(B47:J47)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April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4" zoomScale="115" zoomScaleNormal="115" workbookViewId="0">
      <selection activeCell="N23" sqref="N2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44287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90"/>
      <c r="C4" s="179"/>
      <c r="D4" s="179"/>
      <c r="E4" s="179"/>
      <c r="F4" s="179"/>
      <c r="G4" s="227"/>
    </row>
    <row r="5" spans="1:17" x14ac:dyDescent="0.2">
      <c r="A5" s="60" t="s">
        <v>30</v>
      </c>
      <c r="B5" s="390">
        <f>'[3]Charter Misc'!$HG22</f>
        <v>153</v>
      </c>
      <c r="C5" s="179">
        <f>[3]Ryan!$HG22</f>
        <v>0</v>
      </c>
      <c r="D5" s="179">
        <f>'[3]Charter Misc'!$HG32</f>
        <v>0</v>
      </c>
      <c r="E5" s="179">
        <f>[3]Omni!$HG32+[3]Omni!$HG22</f>
        <v>0</v>
      </c>
      <c r="F5" s="179">
        <f>[3]Xtra!$HG32+[3]Xtra!$HG22</f>
        <v>0</v>
      </c>
      <c r="G5" s="312">
        <f>SUM(B5:F5)</f>
        <v>153</v>
      </c>
    </row>
    <row r="6" spans="1:17" x14ac:dyDescent="0.2">
      <c r="A6" s="60" t="s">
        <v>31</v>
      </c>
      <c r="B6" s="391">
        <f>'[3]Charter Misc'!$HG23</f>
        <v>311</v>
      </c>
      <c r="C6" s="182">
        <f>[3]Ryan!$HG23</f>
        <v>0</v>
      </c>
      <c r="D6" s="182">
        <f>'[3]Charter Misc'!$HG33</f>
        <v>0</v>
      </c>
      <c r="E6" s="182">
        <f>[3]Omni!$HG33+[3]Omni!$HG23</f>
        <v>0</v>
      </c>
      <c r="F6" s="182">
        <f>[3]Xtra!$HG33+[3]Xtra!$HG23</f>
        <v>0</v>
      </c>
      <c r="G6" s="311">
        <f>SUM(B6:F6)</f>
        <v>311</v>
      </c>
    </row>
    <row r="7" spans="1:17" ht="15.75" thickBot="1" x14ac:dyDescent="0.3">
      <c r="A7" s="178" t="s">
        <v>7</v>
      </c>
      <c r="B7" s="392">
        <f>SUM(B5:B6)</f>
        <v>464</v>
      </c>
      <c r="C7" s="270">
        <f>SUM(C5:C6)</f>
        <v>0</v>
      </c>
      <c r="D7" s="270">
        <f>SUM(D5:D6)</f>
        <v>0</v>
      </c>
      <c r="E7" s="270">
        <f>SUM(E5:E6)</f>
        <v>0</v>
      </c>
      <c r="F7" s="270">
        <f>SUM(F5:F6)</f>
        <v>0</v>
      </c>
      <c r="G7" s="271">
        <f>SUM(B7:F7)</f>
        <v>464</v>
      </c>
    </row>
    <row r="8" spans="1:17" ht="13.5" thickBot="1" x14ac:dyDescent="0.25"/>
    <row r="9" spans="1:17" x14ac:dyDescent="0.2">
      <c r="A9" s="176" t="s">
        <v>9</v>
      </c>
      <c r="B9" s="393"/>
      <c r="C9" s="44"/>
      <c r="D9" s="44"/>
      <c r="E9" s="44"/>
      <c r="F9" s="44"/>
      <c r="G9" s="55"/>
    </row>
    <row r="10" spans="1:17" x14ac:dyDescent="0.2">
      <c r="A10" s="177" t="s">
        <v>79</v>
      </c>
      <c r="B10" s="390">
        <f>'[3]Charter Misc'!$HG4</f>
        <v>1</v>
      </c>
      <c r="C10" s="179">
        <f>[3]Ryan!$HG4</f>
        <v>0</v>
      </c>
      <c r="D10" s="179">
        <f>'[3]Charter Misc'!$HG15</f>
        <v>0</v>
      </c>
      <c r="E10" s="179">
        <f>[3]Omni!$HG15</f>
        <v>0</v>
      </c>
      <c r="F10" s="179">
        <f>[3]Xtra!$HG15+[3]Xtra!$HG4</f>
        <v>0</v>
      </c>
      <c r="G10" s="311">
        <f>SUM(B10:F10)</f>
        <v>1</v>
      </c>
    </row>
    <row r="11" spans="1:17" x14ac:dyDescent="0.2">
      <c r="A11" s="177" t="s">
        <v>80</v>
      </c>
      <c r="B11" s="390">
        <f>'[3]Charter Misc'!$HG5</f>
        <v>2</v>
      </c>
      <c r="C11" s="179">
        <f>[3]Ryan!$HG5</f>
        <v>0</v>
      </c>
      <c r="D11" s="179">
        <f>'[3]Charter Misc'!$HG16</f>
        <v>0</v>
      </c>
      <c r="E11" s="179">
        <f>[3]Omni!$HG16+[3]Omni!$HG5</f>
        <v>0</v>
      </c>
      <c r="F11" s="179">
        <f>[3]Xtra!$HG16+[3]Xtra!$HG5</f>
        <v>0</v>
      </c>
      <c r="G11" s="311">
        <f>SUM(B11:F11)</f>
        <v>2</v>
      </c>
    </row>
    <row r="12" spans="1:17" ht="15.75" thickBot="1" x14ac:dyDescent="0.3">
      <c r="A12" s="250" t="s">
        <v>28</v>
      </c>
      <c r="B12" s="394">
        <f>SUM(B10:B11)</f>
        <v>3</v>
      </c>
      <c r="C12" s="272">
        <f>SUM(C10:C11)</f>
        <v>0</v>
      </c>
      <c r="D12" s="272">
        <f>SUM(D10:D11)</f>
        <v>0</v>
      </c>
      <c r="E12" s="272">
        <f>SUM(E10:E11)</f>
        <v>0</v>
      </c>
      <c r="F12" s="272">
        <f>SUM(F10:F11)</f>
        <v>0</v>
      </c>
      <c r="G12" s="273">
        <f>SUM(B12:F12)</f>
        <v>3</v>
      </c>
      <c r="Q12" s="128"/>
    </row>
    <row r="17" spans="1:16" x14ac:dyDescent="0.2">
      <c r="B17" s="554" t="s">
        <v>150</v>
      </c>
      <c r="C17" s="555"/>
      <c r="D17" s="555"/>
      <c r="E17" s="555"/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6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7" t="s">
        <v>118</v>
      </c>
      <c r="C19" s="558"/>
      <c r="D19" s="558"/>
      <c r="E19" s="559"/>
      <c r="G19" s="557" t="s">
        <v>119</v>
      </c>
      <c r="H19" s="560"/>
      <c r="I19" s="560"/>
      <c r="J19" s="561"/>
      <c r="L19" s="562" t="s">
        <v>120</v>
      </c>
      <c r="M19" s="563"/>
      <c r="N19" s="563"/>
      <c r="O19" s="564"/>
    </row>
    <row r="20" spans="1:16" ht="13.5" thickBot="1" x14ac:dyDescent="0.25">
      <c r="A20" s="210" t="s">
        <v>99</v>
      </c>
      <c r="B20" s="543" t="s">
        <v>100</v>
      </c>
      <c r="C20" s="547" t="s">
        <v>101</v>
      </c>
      <c r="D20" s="547" t="s">
        <v>230</v>
      </c>
      <c r="E20" s="542" t="s">
        <v>205</v>
      </c>
      <c r="F20" s="216" t="s">
        <v>96</v>
      </c>
      <c r="G20" s="8" t="s">
        <v>100</v>
      </c>
      <c r="H20" s="8" t="s">
        <v>101</v>
      </c>
      <c r="I20" s="521" t="s">
        <v>230</v>
      </c>
      <c r="J20" s="521" t="s">
        <v>205</v>
      </c>
      <c r="K20" s="216" t="s">
        <v>96</v>
      </c>
      <c r="L20" s="215" t="s">
        <v>100</v>
      </c>
      <c r="M20" s="209" t="s">
        <v>101</v>
      </c>
      <c r="N20" s="521" t="s">
        <v>230</v>
      </c>
      <c r="O20" s="521" t="s">
        <v>205</v>
      </c>
      <c r="P20" s="216" t="s">
        <v>96</v>
      </c>
    </row>
    <row r="21" spans="1:16" ht="14.1" customHeight="1" x14ac:dyDescent="0.2">
      <c r="A21" s="219" t="s">
        <v>102</v>
      </c>
      <c r="B21" s="546">
        <f>+[4]Charter!$B$21</f>
        <v>31072</v>
      </c>
      <c r="C21" s="544">
        <f>+[4]Charter!$C$21</f>
        <v>25325</v>
      </c>
      <c r="D21" s="544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>SUM(G21:H21)</f>
        <v>1054440</v>
      </c>
      <c r="J21" s="307">
        <f>[5]Charter!$I$21</f>
        <v>2616372</v>
      </c>
      <c r="K21" s="220">
        <f t="shared" ref="K21:K32" si="3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4">SUM(B22:C22)</f>
        <v>46280</v>
      </c>
      <c r="E22" s="545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>SUM(G22:H22)</f>
        <v>1076686</v>
      </c>
      <c r="J22" s="309">
        <f>[7]Charter!$I$22</f>
        <v>2554827</v>
      </c>
      <c r="K22" s="223">
        <f t="shared" si="3"/>
        <v>-0.57856794217377538</v>
      </c>
      <c r="L22" s="301">
        <f>+[6]Charter!$L$22</f>
        <v>547653</v>
      </c>
      <c r="M22" s="303">
        <f>+[6]Charter!$M$22</f>
        <v>575313</v>
      </c>
      <c r="N22" s="302">
        <f>SUM(L22:M22)</f>
        <v>1122966</v>
      </c>
      <c r="O22" s="309">
        <f>[7]Charter!$N$22</f>
        <v>2860613</v>
      </c>
      <c r="P22" s="222">
        <f t="shared" ref="P22:P32" si="5">(N22-O22)/O22</f>
        <v>-0.60743868534471457</v>
      </c>
    </row>
    <row r="23" spans="1:16" ht="14.1" customHeight="1" x14ac:dyDescent="0.2">
      <c r="A23" s="221" t="s">
        <v>104</v>
      </c>
      <c r="B23" s="226">
        <f>+[2]Charter!$B23</f>
        <v>37142</v>
      </c>
      <c r="C23" s="159">
        <f>+[2]Charter!C23</f>
        <v>41054</v>
      </c>
      <c r="D23" s="544">
        <f t="shared" ref="D23" si="6">SUM(B23:C23)</f>
        <v>78196</v>
      </c>
      <c r="E23" s="545">
        <f>[8]Charter!$D23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>SUM(G23:H23)</f>
        <v>1642699</v>
      </c>
      <c r="J23" s="309">
        <f>[8]Charter!I23</f>
        <v>1602785</v>
      </c>
      <c r="K23" s="223">
        <f t="shared" si="3"/>
        <v>2.4902903383797578E-2</v>
      </c>
      <c r="L23" s="301">
        <f>+[2]Charter!$L$23</f>
        <v>837902</v>
      </c>
      <c r="M23" s="303">
        <f>+[2]Charter!$M$23</f>
        <v>882993</v>
      </c>
      <c r="N23" s="302">
        <f>SUM(L23:M23)</f>
        <v>1720895</v>
      </c>
      <c r="O23" s="309">
        <f>[8]Charter!$N$23</f>
        <v>1788111</v>
      </c>
      <c r="P23" s="222">
        <f t="shared" si="5"/>
        <v>-3.7590507524421023E-2</v>
      </c>
    </row>
    <row r="24" spans="1:16" ht="14.1" customHeight="1" x14ac:dyDescent="0.2">
      <c r="A24" s="221" t="s">
        <v>105</v>
      </c>
      <c r="B24" s="301">
        <f>'Intl Detail'!$P$4+'Intl Detail'!$P$9</f>
        <v>29141</v>
      </c>
      <c r="C24" s="303">
        <f>'Intl Detail'!$P$5+'Intl Detail'!$P$10</f>
        <v>20795</v>
      </c>
      <c r="D24" s="303">
        <f t="shared" ref="D24" si="7">SUM(B24:C24)</f>
        <v>49936</v>
      </c>
      <c r="E24" s="309">
        <f>[1]Charter!$D24</f>
        <v>888</v>
      </c>
      <c r="F24" s="222">
        <f t="shared" si="1"/>
        <v>55.234234234234236</v>
      </c>
      <c r="G24" s="301">
        <f t="shared" ref="G24" si="8">L24-B24</f>
        <v>850312</v>
      </c>
      <c r="H24" s="303">
        <f t="shared" ref="H24" si="9">M24-C24</f>
        <v>784485</v>
      </c>
      <c r="I24" s="302">
        <f>SUM(G24:H24)</f>
        <v>1634797</v>
      </c>
      <c r="J24" s="309">
        <f>[1]Charter!I24</f>
        <v>150595</v>
      </c>
      <c r="K24" s="223">
        <f t="shared" si="3"/>
        <v>9.8555861748398019</v>
      </c>
      <c r="L24" s="301">
        <f>'Monthly Summary'!$B$11</f>
        <v>879453</v>
      </c>
      <c r="M24" s="303">
        <f>'Monthly Summary'!$C$11</f>
        <v>805280</v>
      </c>
      <c r="N24" s="302">
        <f>SUM(L24:M24)</f>
        <v>1684733</v>
      </c>
      <c r="O24" s="309">
        <f>[1]Charter!N24</f>
        <v>151483</v>
      </c>
      <c r="P24" s="222">
        <f t="shared" si="5"/>
        <v>10.121597803053808</v>
      </c>
    </row>
    <row r="25" spans="1:16" ht="14.1" customHeight="1" x14ac:dyDescent="0.2">
      <c r="A25" s="208" t="s">
        <v>75</v>
      </c>
      <c r="B25" s="301"/>
      <c r="C25" s="303"/>
      <c r="D25" s="302">
        <f t="shared" si="0"/>
        <v>0</v>
      </c>
      <c r="E25" s="308"/>
      <c r="F25" s="211" t="e">
        <f t="shared" si="1"/>
        <v>#DIV/0!</v>
      </c>
      <c r="G25" s="301"/>
      <c r="H25" s="303"/>
      <c r="I25" s="302">
        <f t="shared" ref="I25:I32" si="10">SUM(G25:H25)</f>
        <v>0</v>
      </c>
      <c r="J25" s="308"/>
      <c r="K25" s="217" t="e">
        <f t="shared" si="3"/>
        <v>#DIV/0!</v>
      </c>
      <c r="L25" s="301"/>
      <c r="M25" s="303"/>
      <c r="N25" s="302">
        <f t="shared" ref="N25:N32" si="11">SUM(L25:M25)</f>
        <v>0</v>
      </c>
      <c r="O25" s="308"/>
      <c r="P25" s="211" t="e">
        <f t="shared" si="5"/>
        <v>#DIV/0!</v>
      </c>
    </row>
    <row r="26" spans="1:16" ht="14.1" customHeight="1" x14ac:dyDescent="0.2">
      <c r="A26" s="221" t="s">
        <v>106</v>
      </c>
      <c r="B26" s="301"/>
      <c r="C26" s="303"/>
      <c r="D26" s="302">
        <f t="shared" si="0"/>
        <v>0</v>
      </c>
      <c r="E26" s="308"/>
      <c r="F26" s="222" t="e">
        <f t="shared" si="1"/>
        <v>#DIV/0!</v>
      </c>
      <c r="G26" s="301"/>
      <c r="H26" s="303"/>
      <c r="I26" s="302">
        <f t="shared" si="10"/>
        <v>0</v>
      </c>
      <c r="J26" s="308"/>
      <c r="K26" s="223" t="e">
        <f t="shared" si="3"/>
        <v>#DIV/0!</v>
      </c>
      <c r="L26" s="301"/>
      <c r="M26" s="303"/>
      <c r="N26" s="302">
        <f t="shared" si="11"/>
        <v>0</v>
      </c>
      <c r="O26" s="308"/>
      <c r="P26" s="222" t="e">
        <f t="shared" si="5"/>
        <v>#DIV/0!</v>
      </c>
    </row>
    <row r="27" spans="1:16" ht="14.1" customHeight="1" x14ac:dyDescent="0.2">
      <c r="A27" s="208" t="s">
        <v>107</v>
      </c>
      <c r="B27" s="301"/>
      <c r="C27" s="303"/>
      <c r="D27" s="302">
        <f t="shared" si="0"/>
        <v>0</v>
      </c>
      <c r="E27" s="308"/>
      <c r="F27" s="211" t="e">
        <f t="shared" si="1"/>
        <v>#DIV/0!</v>
      </c>
      <c r="G27" s="301"/>
      <c r="H27" s="303"/>
      <c r="I27" s="302">
        <f t="shared" si="10"/>
        <v>0</v>
      </c>
      <c r="J27" s="308"/>
      <c r="K27" s="217" t="e">
        <f t="shared" si="3"/>
        <v>#DIV/0!</v>
      </c>
      <c r="L27" s="301"/>
      <c r="M27" s="303"/>
      <c r="N27" s="302">
        <f t="shared" si="11"/>
        <v>0</v>
      </c>
      <c r="O27" s="308"/>
      <c r="P27" s="211" t="e">
        <f t="shared" si="5"/>
        <v>#DIV/0!</v>
      </c>
    </row>
    <row r="28" spans="1:16" ht="14.1" customHeight="1" x14ac:dyDescent="0.2">
      <c r="A28" s="221" t="s">
        <v>108</v>
      </c>
      <c r="B28" s="301"/>
      <c r="C28" s="303"/>
      <c r="D28" s="302">
        <f t="shared" si="0"/>
        <v>0</v>
      </c>
      <c r="E28" s="308"/>
      <c r="F28" s="222" t="e">
        <f t="shared" si="1"/>
        <v>#DIV/0!</v>
      </c>
      <c r="G28" s="301"/>
      <c r="H28" s="303"/>
      <c r="I28" s="302">
        <f t="shared" si="10"/>
        <v>0</v>
      </c>
      <c r="J28" s="308"/>
      <c r="K28" s="223" t="e">
        <f t="shared" si="3"/>
        <v>#DIV/0!</v>
      </c>
      <c r="L28" s="301"/>
      <c r="M28" s="303"/>
      <c r="N28" s="302">
        <f t="shared" si="11"/>
        <v>0</v>
      </c>
      <c r="O28" s="308"/>
      <c r="P28" s="222" t="e">
        <f t="shared" si="5"/>
        <v>#DIV/0!</v>
      </c>
    </row>
    <row r="29" spans="1:16" ht="14.1" customHeight="1" x14ac:dyDescent="0.2">
      <c r="A29" s="208" t="s">
        <v>109</v>
      </c>
      <c r="B29" s="301"/>
      <c r="C29" s="303"/>
      <c r="D29" s="302">
        <f t="shared" si="0"/>
        <v>0</v>
      </c>
      <c r="E29" s="308"/>
      <c r="F29" s="211" t="e">
        <f t="shared" si="1"/>
        <v>#DIV/0!</v>
      </c>
      <c r="G29" s="301"/>
      <c r="H29" s="303"/>
      <c r="I29" s="302">
        <f t="shared" si="10"/>
        <v>0</v>
      </c>
      <c r="J29" s="308"/>
      <c r="K29" s="217" t="e">
        <f t="shared" si="3"/>
        <v>#DIV/0!</v>
      </c>
      <c r="L29" s="301"/>
      <c r="M29" s="303"/>
      <c r="N29" s="302">
        <f t="shared" si="11"/>
        <v>0</v>
      </c>
      <c r="O29" s="308"/>
      <c r="P29" s="211" t="e">
        <f t="shared" si="5"/>
        <v>#DIV/0!</v>
      </c>
    </row>
    <row r="30" spans="1:16" ht="14.1" customHeight="1" x14ac:dyDescent="0.2">
      <c r="A30" s="221" t="s">
        <v>110</v>
      </c>
      <c r="B30" s="301"/>
      <c r="C30" s="303"/>
      <c r="D30" s="302">
        <f>SUM(B30:C30)</f>
        <v>0</v>
      </c>
      <c r="E30" s="308"/>
      <c r="F30" s="222" t="e">
        <f t="shared" si="1"/>
        <v>#DIV/0!</v>
      </c>
      <c r="G30" s="301"/>
      <c r="H30" s="303"/>
      <c r="I30" s="302">
        <f>SUM(G30:H30)</f>
        <v>0</v>
      </c>
      <c r="J30" s="308"/>
      <c r="K30" s="223" t="e">
        <f t="shared" si="3"/>
        <v>#DIV/0!</v>
      </c>
      <c r="L30" s="301"/>
      <c r="M30" s="303"/>
      <c r="N30" s="302">
        <f>SUM(L30:M30)</f>
        <v>0</v>
      </c>
      <c r="O30" s="308"/>
      <c r="P30" s="222" t="e">
        <f t="shared" si="5"/>
        <v>#DIV/0!</v>
      </c>
    </row>
    <row r="31" spans="1:16" ht="14.1" customHeight="1" x14ac:dyDescent="0.2">
      <c r="A31" s="208" t="s">
        <v>111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si="10"/>
        <v>0</v>
      </c>
      <c r="J31" s="308"/>
      <c r="K31" s="217" t="e">
        <f t="shared" si="3"/>
        <v>#DIV/0!</v>
      </c>
      <c r="L31" s="301"/>
      <c r="M31" s="303"/>
      <c r="N31" s="302">
        <f>SUM(L31:M31)</f>
        <v>0</v>
      </c>
      <c r="O31" s="308"/>
      <c r="P31" s="211" t="e">
        <f t="shared" si="5"/>
        <v>#DIV/0!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10"/>
        <v>0</v>
      </c>
      <c r="J32" s="308"/>
      <c r="K32" s="225" t="e">
        <f t="shared" si="3"/>
        <v>#DIV/0!</v>
      </c>
      <c r="L32" s="301"/>
      <c r="M32" s="303"/>
      <c r="N32" s="159">
        <f t="shared" si="11"/>
        <v>0</v>
      </c>
      <c r="O32" s="308"/>
      <c r="P32" s="225" t="e">
        <f t="shared" si="5"/>
        <v>#DIV/0!</v>
      </c>
    </row>
    <row r="33" spans="1:16" ht="13.5" thickBot="1" x14ac:dyDescent="0.25">
      <c r="A33" s="218" t="s">
        <v>76</v>
      </c>
      <c r="B33" s="228">
        <f>SUM(B21:B32)</f>
        <v>119499</v>
      </c>
      <c r="C33" s="229">
        <f>SUM(C21:C32)</f>
        <v>111310</v>
      </c>
      <c r="D33" s="229">
        <f>SUM(D21:D32)</f>
        <v>230809</v>
      </c>
      <c r="E33" s="230">
        <f>SUM(E21:E32)</f>
        <v>791071</v>
      </c>
      <c r="F33" s="213">
        <f>(D33-E33)/E33</f>
        <v>-0.70823225728158412</v>
      </c>
      <c r="G33" s="231">
        <f>SUM(G21:G32)</f>
        <v>2706709</v>
      </c>
      <c r="H33" s="229">
        <f>SUM(H21:H32)</f>
        <v>2701913</v>
      </c>
      <c r="I33" s="229">
        <f>SUM(I21:I32)</f>
        <v>5408622</v>
      </c>
      <c r="J33" s="232">
        <f>SUM(J21:J32)</f>
        <v>6924579</v>
      </c>
      <c r="K33" s="214">
        <f>(I33-J33)/J33</f>
        <v>-0.21892406744150078</v>
      </c>
      <c r="L33" s="231">
        <f>SUM(L21:L32)</f>
        <v>2826208</v>
      </c>
      <c r="M33" s="229">
        <f>SUM(M21:M32)</f>
        <v>2813223</v>
      </c>
      <c r="N33" s="229">
        <f>SUM(N21:N32)</f>
        <v>5639431</v>
      </c>
      <c r="O33" s="230">
        <f>SUM(O21:O32)</f>
        <v>7715650</v>
      </c>
      <c r="P33" s="212">
        <f>(N33-O33)/O33</f>
        <v>-0.26909191059729254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April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O15" sqref="O15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184" customFormat="1" ht="16.5" thickBot="1" x14ac:dyDescent="0.3">
      <c r="B1" s="565" t="s">
        <v>212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7"/>
    </row>
    <row r="2" spans="1:20" s="185" customFormat="1" ht="43.5" customHeight="1" thickBot="1" x14ac:dyDescent="0.25">
      <c r="A2" s="351">
        <v>44287</v>
      </c>
      <c r="B2" s="410" t="s">
        <v>200</v>
      </c>
      <c r="C2" s="410" t="s">
        <v>176</v>
      </c>
      <c r="D2" s="482" t="s">
        <v>83</v>
      </c>
      <c r="E2" s="410" t="s">
        <v>213</v>
      </c>
      <c r="F2" s="467" t="s">
        <v>202</v>
      </c>
      <c r="G2" s="409" t="s">
        <v>81</v>
      </c>
      <c r="H2" s="467" t="s">
        <v>177</v>
      </c>
      <c r="I2" s="410" t="s">
        <v>214</v>
      </c>
      <c r="J2" s="467" t="s">
        <v>85</v>
      </c>
      <c r="K2" s="410" t="s">
        <v>215</v>
      </c>
      <c r="L2" s="410" t="s">
        <v>216</v>
      </c>
      <c r="M2" s="410" t="s">
        <v>217</v>
      </c>
      <c r="N2" s="409" t="s">
        <v>82</v>
      </c>
      <c r="O2" s="467" t="s">
        <v>127</v>
      </c>
      <c r="P2" s="467" t="s">
        <v>21</v>
      </c>
    </row>
    <row r="3" spans="1:20" ht="15" x14ac:dyDescent="0.25">
      <c r="A3" s="187" t="s">
        <v>9</v>
      </c>
      <c r="B3" s="483"/>
      <c r="C3" s="188"/>
      <c r="D3" s="44"/>
      <c r="E3" s="188"/>
      <c r="F3" s="44"/>
      <c r="G3" s="188"/>
      <c r="H3" s="44"/>
      <c r="I3" s="188"/>
      <c r="J3" s="44"/>
      <c r="K3" s="188"/>
      <c r="L3" s="188"/>
      <c r="M3" s="188"/>
      <c r="N3" s="188"/>
      <c r="O3" s="44"/>
      <c r="P3" s="484"/>
      <c r="R3" s="485"/>
      <c r="S3" s="485"/>
      <c r="T3" s="485"/>
    </row>
    <row r="4" spans="1:20" x14ac:dyDescent="0.2">
      <c r="A4" s="52" t="s">
        <v>53</v>
      </c>
      <c r="B4" s="226">
        <f>'[3]Atlas Air'!$HG4</f>
        <v>30</v>
      </c>
      <c r="C4" s="473">
        <f>[3]DHL!$HG4+[3]DHL_Atlas!$HG4+[3]DHL_Atlas!$HG8+[3]DHL_Atlas!$HG15</f>
        <v>3</v>
      </c>
      <c r="D4" s="128">
        <f>[3]Bemidji!$HG4</f>
        <v>207</v>
      </c>
      <c r="E4" s="473">
        <f>[3]DHL_Encore!$HG4+[3]DHL_Encore!$HG15</f>
        <v>42</v>
      </c>
      <c r="F4" s="473">
        <f>[3]Encore!$HG4+[3]Encore!$HG15</f>
        <v>0</v>
      </c>
      <c r="G4" s="473">
        <f>[3]FedEx!$HG4+[3]FedEx!$HG15</f>
        <v>145</v>
      </c>
      <c r="H4" s="473">
        <f>[3]IFL!$HG4+[3]IFL!$HG15</f>
        <v>18</v>
      </c>
      <c r="I4" s="473">
        <f>[3]DHL_Kalitta!$HG4+[3]DHL_Kalitta!$HG15</f>
        <v>10</v>
      </c>
      <c r="J4" s="128">
        <f>'[3]Mountain Cargo'!$HG4</f>
        <v>22</v>
      </c>
      <c r="K4" s="473">
        <f>[3]DHL_Southair!$HG4+[3]DHL_Southair!$HG15</f>
        <v>0</v>
      </c>
      <c r="L4" s="473">
        <f>[3]DHL_Swift!$HG4+[3]DHL_Swift!$HG15</f>
        <v>14</v>
      </c>
      <c r="M4" s="473">
        <f>+'[3]Sun Country Cargo'!$HG4+'[3]Sun Country Cargo'!$HG8+'[3]Sun Country Cargo'!$HG15</f>
        <v>62</v>
      </c>
      <c r="N4" s="473">
        <f>[3]UPS!$HG4+[3]UPS!$HG15</f>
        <v>169</v>
      </c>
      <c r="O4" s="128">
        <f>'[3]Misc Cargo'!$HG4</f>
        <v>0</v>
      </c>
      <c r="P4" s="486">
        <f>SUM(B4:O4)</f>
        <v>722</v>
      </c>
      <c r="R4" s="485"/>
      <c r="S4" s="485"/>
      <c r="T4" s="283"/>
    </row>
    <row r="5" spans="1:20" x14ac:dyDescent="0.2">
      <c r="A5" s="52" t="s">
        <v>54</v>
      </c>
      <c r="B5" s="487">
        <f>'[3]Atlas Air'!$HG5</f>
        <v>30</v>
      </c>
      <c r="C5" s="186">
        <f>[3]DHL!$HG5+[3]DHL_Atlas!$HG5+[3]DHL_Atlas!$HG9+[3]DHL_Atlas!$HG16</f>
        <v>3</v>
      </c>
      <c r="D5" s="118">
        <f>[3]Bemidji!$HG5</f>
        <v>207</v>
      </c>
      <c r="E5" s="186">
        <f>[3]DHL_Encore!$HG5</f>
        <v>42</v>
      </c>
      <c r="F5" s="186">
        <f>[3]Encore!$HG5</f>
        <v>0</v>
      </c>
      <c r="G5" s="186">
        <f>[3]FedEx!$HG5</f>
        <v>145</v>
      </c>
      <c r="H5" s="186">
        <f>[3]IFL!$HG5</f>
        <v>18</v>
      </c>
      <c r="I5" s="186">
        <f>[3]DHL_Kalitta!$HG5</f>
        <v>10</v>
      </c>
      <c r="J5" s="118">
        <f>'[3]Mountain Cargo'!$HG5</f>
        <v>22</v>
      </c>
      <c r="K5" s="186">
        <f>[3]DHL_Southair!$HG5</f>
        <v>0</v>
      </c>
      <c r="L5" s="186">
        <f>[3]DHL_Swift!$HG5</f>
        <v>14</v>
      </c>
      <c r="M5" s="186">
        <f>+'[3]Sun Country Cargo'!$HG5+'[3]Sun Country Cargo'!$HG9+'[3]Sun Country Cargo'!$HG16</f>
        <v>61</v>
      </c>
      <c r="N5" s="186">
        <f>[3]UPS!$HG5+[3]UPS!$HG16</f>
        <v>169</v>
      </c>
      <c r="O5" s="118">
        <f>'[3]Misc Cargo'!$HG5</f>
        <v>0</v>
      </c>
      <c r="P5" s="486">
        <f t="shared" ref="P5:P10" si="0">SUM(B5:O5)</f>
        <v>721</v>
      </c>
      <c r="R5" s="485"/>
      <c r="S5" s="485"/>
      <c r="T5" s="283"/>
    </row>
    <row r="6" spans="1:20" s="183" customFormat="1" x14ac:dyDescent="0.2">
      <c r="A6" s="189" t="s">
        <v>55</v>
      </c>
      <c r="B6" s="488">
        <f t="shared" ref="B6:O6" si="1">SUM(B4:B5)</f>
        <v>60</v>
      </c>
      <c r="C6" s="489">
        <f t="shared" si="1"/>
        <v>6</v>
      </c>
      <c r="D6" s="468">
        <f t="shared" si="1"/>
        <v>414</v>
      </c>
      <c r="E6" s="489">
        <f t="shared" si="1"/>
        <v>84</v>
      </c>
      <c r="F6" s="489">
        <f t="shared" si="1"/>
        <v>0</v>
      </c>
      <c r="G6" s="489">
        <f t="shared" si="1"/>
        <v>290</v>
      </c>
      <c r="H6" s="489">
        <f t="shared" si="1"/>
        <v>36</v>
      </c>
      <c r="I6" s="489">
        <f t="shared" si="1"/>
        <v>20</v>
      </c>
      <c r="J6" s="468">
        <f t="shared" si="1"/>
        <v>44</v>
      </c>
      <c r="K6" s="489">
        <f t="shared" si="1"/>
        <v>0</v>
      </c>
      <c r="L6" s="489">
        <f t="shared" si="1"/>
        <v>28</v>
      </c>
      <c r="M6" s="489">
        <f t="shared" si="1"/>
        <v>123</v>
      </c>
      <c r="N6" s="489">
        <f t="shared" si="1"/>
        <v>338</v>
      </c>
      <c r="O6" s="468">
        <f t="shared" si="1"/>
        <v>0</v>
      </c>
      <c r="P6" s="486">
        <f t="shared" si="0"/>
        <v>1443</v>
      </c>
      <c r="T6" s="490"/>
    </row>
    <row r="7" spans="1:20" x14ac:dyDescent="0.2">
      <c r="A7" s="52"/>
      <c r="B7" s="226"/>
      <c r="C7" s="473"/>
      <c r="D7" s="128"/>
      <c r="E7" s="473"/>
      <c r="F7" s="473"/>
      <c r="G7" s="473"/>
      <c r="H7" s="473"/>
      <c r="I7" s="473"/>
      <c r="J7" s="128"/>
      <c r="K7" s="473"/>
      <c r="L7" s="473"/>
      <c r="M7" s="473"/>
      <c r="N7" s="473"/>
      <c r="O7" s="128"/>
      <c r="P7" s="486"/>
      <c r="R7" s="491"/>
      <c r="S7" s="485"/>
      <c r="T7" s="283"/>
    </row>
    <row r="8" spans="1:20" x14ac:dyDescent="0.2">
      <c r="A8" s="52" t="s">
        <v>56</v>
      </c>
      <c r="B8" s="226"/>
      <c r="C8" s="473"/>
      <c r="D8" s="128"/>
      <c r="E8" s="473"/>
      <c r="F8" s="473"/>
      <c r="G8" s="473"/>
      <c r="H8" s="473"/>
      <c r="I8" s="473"/>
      <c r="J8" s="128"/>
      <c r="K8" s="473"/>
      <c r="L8" s="473"/>
      <c r="M8" s="473"/>
      <c r="N8" s="473"/>
      <c r="O8" s="128">
        <f>'[3]Misc Cargo'!$HG8</f>
        <v>1</v>
      </c>
      <c r="P8" s="486">
        <f t="shared" si="0"/>
        <v>1</v>
      </c>
      <c r="R8" s="485"/>
      <c r="S8" s="485"/>
      <c r="T8" s="283"/>
    </row>
    <row r="9" spans="1:20" ht="15" x14ac:dyDescent="0.25">
      <c r="A9" s="52" t="s">
        <v>57</v>
      </c>
      <c r="B9" s="487"/>
      <c r="C9" s="186"/>
      <c r="D9" s="118"/>
      <c r="E9" s="186"/>
      <c r="F9" s="186"/>
      <c r="G9" s="186"/>
      <c r="H9" s="186"/>
      <c r="I9" s="186"/>
      <c r="J9" s="118"/>
      <c r="K9" s="186"/>
      <c r="L9" s="186"/>
      <c r="M9" s="186"/>
      <c r="N9" s="186"/>
      <c r="O9" s="118">
        <f>'[3]Misc Cargo'!$HG9</f>
        <v>1</v>
      </c>
      <c r="P9" s="486">
        <f t="shared" si="0"/>
        <v>1</v>
      </c>
      <c r="R9" s="485"/>
      <c r="S9" s="492"/>
      <c r="T9" s="283"/>
    </row>
    <row r="10" spans="1:20" s="183" customFormat="1" x14ac:dyDescent="0.2">
      <c r="A10" s="189" t="s">
        <v>58</v>
      </c>
      <c r="B10" s="488">
        <f t="shared" ref="B10:O10" si="2">SUM(B8:B9)</f>
        <v>0</v>
      </c>
      <c r="C10" s="489">
        <f t="shared" si="2"/>
        <v>0</v>
      </c>
      <c r="D10" s="468">
        <f t="shared" si="2"/>
        <v>0</v>
      </c>
      <c r="E10" s="489">
        <f t="shared" si="2"/>
        <v>0</v>
      </c>
      <c r="F10" s="489">
        <f t="shared" si="2"/>
        <v>0</v>
      </c>
      <c r="G10" s="489">
        <f t="shared" si="2"/>
        <v>0</v>
      </c>
      <c r="H10" s="489">
        <f t="shared" si="2"/>
        <v>0</v>
      </c>
      <c r="I10" s="489">
        <f t="shared" si="2"/>
        <v>0</v>
      </c>
      <c r="J10" s="468">
        <f t="shared" si="2"/>
        <v>0</v>
      </c>
      <c r="K10" s="489">
        <f t="shared" si="2"/>
        <v>0</v>
      </c>
      <c r="L10" s="489">
        <f t="shared" si="2"/>
        <v>0</v>
      </c>
      <c r="M10" s="489">
        <f t="shared" si="2"/>
        <v>0</v>
      </c>
      <c r="N10" s="489">
        <f t="shared" si="2"/>
        <v>0</v>
      </c>
      <c r="O10" s="468">
        <f t="shared" si="2"/>
        <v>2</v>
      </c>
      <c r="P10" s="486">
        <f t="shared" si="0"/>
        <v>2</v>
      </c>
      <c r="T10" s="490"/>
    </row>
    <row r="11" spans="1:20" x14ac:dyDescent="0.2">
      <c r="A11" s="52"/>
      <c r="B11" s="226"/>
      <c r="C11" s="473"/>
      <c r="D11" s="128"/>
      <c r="E11" s="473"/>
      <c r="F11" s="473"/>
      <c r="G11" s="473"/>
      <c r="H11" s="473"/>
      <c r="I11" s="473"/>
      <c r="J11" s="128"/>
      <c r="K11" s="473"/>
      <c r="L11" s="473"/>
      <c r="M11" s="473"/>
      <c r="N11" s="473"/>
      <c r="O11" s="128"/>
      <c r="P11" s="493"/>
      <c r="R11" s="485"/>
      <c r="S11" s="485"/>
      <c r="T11" s="283"/>
    </row>
    <row r="12" spans="1:20" ht="18" customHeight="1" thickBot="1" x14ac:dyDescent="0.25">
      <c r="A12" s="190" t="s">
        <v>28</v>
      </c>
      <c r="B12" s="494">
        <f t="shared" ref="B12:O12" si="3">B6+B10</f>
        <v>60</v>
      </c>
      <c r="C12" s="191">
        <f t="shared" si="3"/>
        <v>6</v>
      </c>
      <c r="D12" s="192">
        <f t="shared" si="3"/>
        <v>414</v>
      </c>
      <c r="E12" s="191">
        <f t="shared" si="3"/>
        <v>84</v>
      </c>
      <c r="F12" s="191">
        <f t="shared" si="3"/>
        <v>0</v>
      </c>
      <c r="G12" s="191">
        <f t="shared" si="3"/>
        <v>290</v>
      </c>
      <c r="H12" s="191">
        <f t="shared" si="3"/>
        <v>36</v>
      </c>
      <c r="I12" s="191">
        <f t="shared" si="3"/>
        <v>20</v>
      </c>
      <c r="J12" s="192">
        <f t="shared" si="3"/>
        <v>44</v>
      </c>
      <c r="K12" s="191">
        <f t="shared" si="3"/>
        <v>0</v>
      </c>
      <c r="L12" s="191">
        <f t="shared" si="3"/>
        <v>28</v>
      </c>
      <c r="M12" s="191">
        <f t="shared" si="3"/>
        <v>123</v>
      </c>
      <c r="N12" s="191">
        <f t="shared" si="3"/>
        <v>338</v>
      </c>
      <c r="O12" s="192">
        <f t="shared" si="3"/>
        <v>2</v>
      </c>
      <c r="P12" s="495">
        <f>SUM(B12:O12)</f>
        <v>1445</v>
      </c>
      <c r="R12" s="485"/>
      <c r="S12" s="485"/>
      <c r="T12" s="283"/>
    </row>
    <row r="13" spans="1:20" ht="18" customHeight="1" thickBot="1" x14ac:dyDescent="0.25">
      <c r="A13" s="174"/>
      <c r="B13" s="496"/>
      <c r="C13" s="497"/>
      <c r="D13" s="469"/>
      <c r="E13" s="497"/>
      <c r="F13" s="497"/>
      <c r="G13" s="497"/>
      <c r="H13" s="497"/>
      <c r="I13" s="497"/>
      <c r="J13" s="469"/>
      <c r="K13" s="497"/>
      <c r="L13" s="497"/>
      <c r="M13" s="497"/>
      <c r="N13" s="497"/>
      <c r="O13" s="469"/>
      <c r="P13" s="2"/>
      <c r="R13" s="485"/>
      <c r="S13" s="485"/>
      <c r="T13" s="283"/>
    </row>
    <row r="14" spans="1:20" ht="15" x14ac:dyDescent="0.25">
      <c r="A14" s="193" t="s">
        <v>92</v>
      </c>
      <c r="B14" s="498"/>
      <c r="C14" s="194"/>
      <c r="D14" s="79"/>
      <c r="E14" s="194"/>
      <c r="F14" s="194"/>
      <c r="G14" s="194"/>
      <c r="H14" s="194"/>
      <c r="I14" s="194"/>
      <c r="J14" s="79"/>
      <c r="K14" s="194"/>
      <c r="L14" s="194"/>
      <c r="M14" s="194"/>
      <c r="N14" s="194"/>
      <c r="O14" s="79"/>
      <c r="P14" s="499"/>
      <c r="R14" s="485"/>
      <c r="S14" s="485"/>
      <c r="T14" s="283"/>
    </row>
    <row r="15" spans="1:20" x14ac:dyDescent="0.2">
      <c r="A15" s="195" t="s">
        <v>93</v>
      </c>
      <c r="B15" s="226"/>
      <c r="C15" s="473"/>
      <c r="D15" s="2"/>
      <c r="E15" s="473"/>
      <c r="F15" s="473"/>
      <c r="G15" s="473"/>
      <c r="H15" s="473"/>
      <c r="I15" s="473"/>
      <c r="J15" s="2"/>
      <c r="K15" s="473"/>
      <c r="L15" s="473"/>
      <c r="M15" s="473"/>
      <c r="N15" s="473"/>
      <c r="O15" s="2"/>
      <c r="P15" s="177"/>
      <c r="R15" s="485"/>
      <c r="S15" s="485"/>
      <c r="T15" s="283"/>
    </row>
    <row r="16" spans="1:20" x14ac:dyDescent="0.2">
      <c r="A16" s="52" t="s">
        <v>37</v>
      </c>
      <c r="B16" s="226">
        <f>'[3]Atlas Air'!$HG47</f>
        <v>1600389</v>
      </c>
      <c r="C16" s="473">
        <f>[3]DHL!$HG47+[3]DHL_Atlas!$HG47</f>
        <v>100417</v>
      </c>
      <c r="D16" s="568" t="s">
        <v>86</v>
      </c>
      <c r="E16" s="473">
        <f>[3]DHL_Encore!$HG47</f>
        <v>87533</v>
      </c>
      <c r="F16" s="473">
        <f>[3]Encore!$HG47</f>
        <v>0</v>
      </c>
      <c r="G16" s="473">
        <f>[3]FedEx!$HG47</f>
        <v>9279535</v>
      </c>
      <c r="H16" s="473">
        <f>[3]IFL!$HG47</f>
        <v>35595</v>
      </c>
      <c r="I16" s="473">
        <f>[3]DHL_Kalitta!$HG47</f>
        <v>339365</v>
      </c>
      <c r="J16" s="128">
        <f>'[3]Mountain Cargo'!$HG47</f>
        <v>0</v>
      </c>
      <c r="K16" s="473">
        <f>[3]DHL_Southair!$HG47</f>
        <v>0</v>
      </c>
      <c r="L16" s="473">
        <f>[3]DHL_Swift!$HG47</f>
        <v>428687</v>
      </c>
      <c r="M16" s="473">
        <f>+'[3]Sun Country Cargo'!$HG47</f>
        <v>2339702</v>
      </c>
      <c r="N16" s="473">
        <f>[3]UPS!$HG47</f>
        <v>6928654</v>
      </c>
      <c r="O16" s="128">
        <f>'[3]Misc Cargo'!$HG47</f>
        <v>0</v>
      </c>
      <c r="P16" s="486">
        <f>SUM(B16:C16)+SUM(E16:O16)</f>
        <v>21139877</v>
      </c>
      <c r="R16" s="485"/>
      <c r="S16" s="485"/>
      <c r="T16" s="283"/>
    </row>
    <row r="17" spans="1:20" x14ac:dyDescent="0.2">
      <c r="A17" s="52" t="s">
        <v>38</v>
      </c>
      <c r="B17" s="226">
        <f>'[3]Atlas Air'!$HG48</f>
        <v>0</v>
      </c>
      <c r="C17" s="473">
        <f>[3]DHL!$HG48</f>
        <v>0</v>
      </c>
      <c r="D17" s="569"/>
      <c r="E17" s="473">
        <f>[3]DHL_Encore!$HG48</f>
        <v>0</v>
      </c>
      <c r="F17" s="473">
        <f>[3]Encore!$HG48</f>
        <v>0</v>
      </c>
      <c r="G17" s="473">
        <f>[3]FedEx!$HG48</f>
        <v>0</v>
      </c>
      <c r="H17" s="473">
        <f>[3]IFL!$HG48</f>
        <v>0</v>
      </c>
      <c r="I17" s="473">
        <f>[3]DHL_Kalitta!$HG48</f>
        <v>0</v>
      </c>
      <c r="J17" s="128">
        <f>'[3]Mountain Cargo'!$HG48</f>
        <v>64834</v>
      </c>
      <c r="K17" s="473">
        <f>[3]DHL_Southair!$HG48</f>
        <v>0</v>
      </c>
      <c r="L17" s="473">
        <f>[3]DHL_Swift!$HG48</f>
        <v>0</v>
      </c>
      <c r="M17" s="473">
        <f>+'[3]Sun Country Cargo'!$HG48</f>
        <v>0</v>
      </c>
      <c r="N17" s="473">
        <f>[3]UPS!$HG48</f>
        <v>906060</v>
      </c>
      <c r="O17" s="128">
        <f>'[3]Misc Cargo'!$HG48</f>
        <v>0</v>
      </c>
      <c r="P17" s="486">
        <f>SUM(B17:C17)+SUM(E17:O17)</f>
        <v>970894</v>
      </c>
      <c r="R17" s="485"/>
      <c r="S17" s="485"/>
      <c r="T17" s="283"/>
    </row>
    <row r="18" spans="1:20" ht="18" customHeight="1" x14ac:dyDescent="0.2">
      <c r="A18" s="196" t="s">
        <v>39</v>
      </c>
      <c r="B18" s="500">
        <f>SUM(B16:B17)</f>
        <v>1600389</v>
      </c>
      <c r="C18" s="274">
        <f>SUM(C16:C17)</f>
        <v>100417</v>
      </c>
      <c r="D18" s="569"/>
      <c r="E18" s="274">
        <f>SUM(E16:E17)</f>
        <v>87533</v>
      </c>
      <c r="F18" s="274">
        <f>SUM(F16:F17)</f>
        <v>0</v>
      </c>
      <c r="G18" s="274">
        <f>SUM(G16:G17)</f>
        <v>9279535</v>
      </c>
      <c r="H18" s="274">
        <f>SUM(H16:H17)</f>
        <v>35595</v>
      </c>
      <c r="I18" s="274">
        <f t="shared" ref="I18:O18" si="4">SUM(I16:I17)</f>
        <v>339365</v>
      </c>
      <c r="J18" s="275">
        <f t="shared" si="4"/>
        <v>64834</v>
      </c>
      <c r="K18" s="274">
        <f t="shared" si="4"/>
        <v>0</v>
      </c>
      <c r="L18" s="274">
        <f t="shared" si="4"/>
        <v>428687</v>
      </c>
      <c r="M18" s="274">
        <f t="shared" si="4"/>
        <v>2339702</v>
      </c>
      <c r="N18" s="274">
        <f t="shared" si="4"/>
        <v>7834714</v>
      </c>
      <c r="O18" s="275">
        <f t="shared" si="4"/>
        <v>0</v>
      </c>
      <c r="P18" s="501">
        <f>SUM(B18:C18)+SUM(E18:O18)</f>
        <v>22110771</v>
      </c>
      <c r="R18" s="485"/>
      <c r="S18" s="485"/>
      <c r="T18" s="283"/>
    </row>
    <row r="19" spans="1:20" x14ac:dyDescent="0.2">
      <c r="A19" s="52"/>
      <c r="B19" s="226"/>
      <c r="C19" s="473"/>
      <c r="D19" s="569"/>
      <c r="E19" s="473"/>
      <c r="F19" s="473"/>
      <c r="G19" s="473"/>
      <c r="H19" s="473"/>
      <c r="I19" s="473"/>
      <c r="J19" s="128"/>
      <c r="K19" s="473"/>
      <c r="L19" s="473"/>
      <c r="M19" s="473"/>
      <c r="N19" s="473"/>
      <c r="O19" s="128"/>
      <c r="P19" s="486"/>
      <c r="R19" s="491"/>
      <c r="S19" s="485"/>
      <c r="T19" s="283"/>
    </row>
    <row r="20" spans="1:20" x14ac:dyDescent="0.2">
      <c r="A20" s="195" t="s">
        <v>87</v>
      </c>
      <c r="B20" s="226"/>
      <c r="C20" s="473"/>
      <c r="D20" s="569"/>
      <c r="E20" s="473"/>
      <c r="F20" s="473"/>
      <c r="G20" s="473"/>
      <c r="H20" s="473"/>
      <c r="I20" s="473"/>
      <c r="J20" s="128"/>
      <c r="K20" s="473"/>
      <c r="L20" s="473"/>
      <c r="M20" s="473"/>
      <c r="N20" s="473"/>
      <c r="O20" s="128"/>
      <c r="P20" s="486"/>
      <c r="R20" s="491"/>
      <c r="S20" s="485"/>
      <c r="T20" s="283"/>
    </row>
    <row r="21" spans="1:20" x14ac:dyDescent="0.2">
      <c r="A21" s="52" t="s">
        <v>59</v>
      </c>
      <c r="B21" s="226">
        <f>'[3]Atlas Air'!$HG52</f>
        <v>625478</v>
      </c>
      <c r="C21" s="473">
        <f>[3]DHL!$HG52+[3]DHL_Atlas!$HG52</f>
        <v>22538</v>
      </c>
      <c r="D21" s="569"/>
      <c r="E21" s="473">
        <f>[3]DHL_Encore!$HG52</f>
        <v>65908</v>
      </c>
      <c r="F21" s="473">
        <f>[3]Encore!$HG52</f>
        <v>0</v>
      </c>
      <c r="G21" s="473">
        <f>[3]FedEx!$HG52</f>
        <v>8381175</v>
      </c>
      <c r="H21" s="473">
        <f>[3]IFL!$HG52</f>
        <v>0</v>
      </c>
      <c r="I21" s="473">
        <f>[3]DHL_Kalitta!$HG52</f>
        <v>196367</v>
      </c>
      <c r="J21" s="128">
        <f>'[3]Mountain Cargo'!$HG52</f>
        <v>0</v>
      </c>
      <c r="K21" s="473">
        <f>[3]DHL_Southair!$HG52</f>
        <v>0</v>
      </c>
      <c r="L21" s="473">
        <f>[3]DHL_Swift!$HG52</f>
        <v>245917</v>
      </c>
      <c r="M21" s="473">
        <f>+'[3]Sun Country Cargo'!$HG52</f>
        <v>1025646</v>
      </c>
      <c r="N21" s="473">
        <f>[3]UPS!$HG52</f>
        <v>5917852</v>
      </c>
      <c r="O21" s="128">
        <f>'[3]Misc Cargo'!$HG52</f>
        <v>1744</v>
      </c>
      <c r="P21" s="486">
        <f t="shared" ref="P21:P23" si="5">SUM(B21:C21)+SUM(E21:O21)</f>
        <v>16482625</v>
      </c>
      <c r="R21" s="485"/>
      <c r="S21" s="485"/>
      <c r="T21" s="283"/>
    </row>
    <row r="22" spans="1:20" x14ac:dyDescent="0.2">
      <c r="A22" s="52" t="s">
        <v>60</v>
      </c>
      <c r="B22" s="226">
        <f>'[3]Atlas Air'!$HG53</f>
        <v>0</v>
      </c>
      <c r="C22" s="473">
        <f>[3]DHL!$HG53</f>
        <v>0</v>
      </c>
      <c r="D22" s="569"/>
      <c r="E22" s="473">
        <f>[3]DHL_Encore!$HG53</f>
        <v>0</v>
      </c>
      <c r="F22" s="473">
        <f>[3]Encore!$HG53</f>
        <v>0</v>
      </c>
      <c r="G22" s="473">
        <f>[3]FedEx!$HG53</f>
        <v>0</v>
      </c>
      <c r="H22" s="473">
        <f>[3]IFL!$HG53</f>
        <v>0</v>
      </c>
      <c r="I22" s="473">
        <f>[3]DHL_Kalitta!$HG53</f>
        <v>0</v>
      </c>
      <c r="J22" s="128">
        <f>'[3]Mountain Cargo'!$HG53</f>
        <v>119036</v>
      </c>
      <c r="K22" s="473">
        <f>[3]DHL_Southair!$HG53</f>
        <v>0</v>
      </c>
      <c r="L22" s="473">
        <f>[3]DHL_Swift!$HG53</f>
        <v>0</v>
      </c>
      <c r="M22" s="473">
        <f>+'[3]Sun Country Cargo'!$HG53</f>
        <v>0</v>
      </c>
      <c r="N22" s="473">
        <f>[3]UPS!$HG53</f>
        <v>1019995</v>
      </c>
      <c r="O22" s="128">
        <f>'[3]Misc Cargo'!$HG53</f>
        <v>0</v>
      </c>
      <c r="P22" s="486">
        <f t="shared" si="5"/>
        <v>1139031</v>
      </c>
      <c r="R22" s="485"/>
      <c r="S22" s="485"/>
      <c r="T22" s="283"/>
    </row>
    <row r="23" spans="1:20" ht="18" customHeight="1" x14ac:dyDescent="0.2">
      <c r="A23" s="196" t="s">
        <v>41</v>
      </c>
      <c r="B23" s="500">
        <f>SUM(B21:B22)</f>
        <v>625478</v>
      </c>
      <c r="C23" s="274">
        <f>SUM(C21:C22)</f>
        <v>22538</v>
      </c>
      <c r="D23" s="569"/>
      <c r="E23" s="274">
        <f t="shared" ref="E23:O23" si="6">SUM(E21:E22)</f>
        <v>65908</v>
      </c>
      <c r="F23" s="274">
        <f t="shared" si="6"/>
        <v>0</v>
      </c>
      <c r="G23" s="274">
        <f t="shared" si="6"/>
        <v>8381175</v>
      </c>
      <c r="H23" s="274">
        <f t="shared" si="6"/>
        <v>0</v>
      </c>
      <c r="I23" s="274">
        <f t="shared" si="6"/>
        <v>196367</v>
      </c>
      <c r="J23" s="275">
        <f t="shared" si="6"/>
        <v>119036</v>
      </c>
      <c r="K23" s="274">
        <f t="shared" si="6"/>
        <v>0</v>
      </c>
      <c r="L23" s="274">
        <f t="shared" si="6"/>
        <v>245917</v>
      </c>
      <c r="M23" s="274">
        <f t="shared" si="6"/>
        <v>1025646</v>
      </c>
      <c r="N23" s="274">
        <f t="shared" si="6"/>
        <v>6937847</v>
      </c>
      <c r="O23" s="275">
        <f t="shared" si="6"/>
        <v>1744</v>
      </c>
      <c r="P23" s="501">
        <f t="shared" si="5"/>
        <v>17621656</v>
      </c>
      <c r="R23" s="485"/>
      <c r="S23" s="485"/>
      <c r="T23" s="283"/>
    </row>
    <row r="24" spans="1:20" x14ac:dyDescent="0.2">
      <c r="A24" s="52"/>
      <c r="B24" s="226"/>
      <c r="C24" s="473"/>
      <c r="D24" s="569"/>
      <c r="E24" s="473"/>
      <c r="F24" s="473"/>
      <c r="G24" s="473"/>
      <c r="H24" s="473"/>
      <c r="I24" s="473"/>
      <c r="J24" s="128"/>
      <c r="K24" s="473"/>
      <c r="L24" s="473"/>
      <c r="M24" s="473"/>
      <c r="N24" s="473"/>
      <c r="O24" s="128"/>
      <c r="P24" s="486"/>
      <c r="R24" s="485"/>
      <c r="S24" s="485"/>
      <c r="T24" s="283"/>
    </row>
    <row r="25" spans="1:20" x14ac:dyDescent="0.2">
      <c r="A25" s="195" t="s">
        <v>94</v>
      </c>
      <c r="B25" s="226"/>
      <c r="C25" s="473"/>
      <c r="D25" s="569"/>
      <c r="E25" s="473"/>
      <c r="F25" s="473"/>
      <c r="G25" s="473"/>
      <c r="H25" s="473"/>
      <c r="I25" s="473"/>
      <c r="J25" s="128"/>
      <c r="K25" s="473"/>
      <c r="L25" s="473"/>
      <c r="M25" s="473"/>
      <c r="N25" s="473"/>
      <c r="O25" s="128"/>
      <c r="P25" s="486"/>
      <c r="R25" s="485"/>
      <c r="S25" s="485"/>
      <c r="T25" s="283"/>
    </row>
    <row r="26" spans="1:20" x14ac:dyDescent="0.2">
      <c r="A26" s="52" t="s">
        <v>59</v>
      </c>
      <c r="B26" s="226">
        <f>'[3]Atlas Air'!$HG57</f>
        <v>0</v>
      </c>
      <c r="C26" s="473">
        <f>[3]DHL!$HG57</f>
        <v>0</v>
      </c>
      <c r="D26" s="569"/>
      <c r="E26" s="473">
        <f>[3]DHL_Encore!$HG57</f>
        <v>0</v>
      </c>
      <c r="F26" s="473">
        <f>[3]Encore!$HG57</f>
        <v>0</v>
      </c>
      <c r="G26" s="473">
        <f>[3]FedEx!$HG57</f>
        <v>0</v>
      </c>
      <c r="H26" s="473">
        <f>[3]IFL!$HG57</f>
        <v>0</v>
      </c>
      <c r="I26" s="473">
        <f>[3]DHL_Kalitta!$HG57</f>
        <v>0</v>
      </c>
      <c r="J26" s="128">
        <f>'[3]Mountain Cargo'!$HG57</f>
        <v>0</v>
      </c>
      <c r="K26" s="473">
        <f>[3]DHL_Southair!$HG57</f>
        <v>0</v>
      </c>
      <c r="L26" s="473">
        <f>[3]DHL_Swift!$HG57</f>
        <v>0</v>
      </c>
      <c r="M26" s="473">
        <f>+'[3]Sun Country Cargo'!$HG57</f>
        <v>0</v>
      </c>
      <c r="N26" s="473">
        <f>[3]UPS!$HG57</f>
        <v>0</v>
      </c>
      <c r="O26" s="128">
        <f>'[3]Misc Cargo'!$HG57</f>
        <v>0</v>
      </c>
      <c r="P26" s="486">
        <f t="shared" ref="P26:P28" si="7">SUM(B26:C26)+SUM(E26:O26)</f>
        <v>0</v>
      </c>
      <c r="R26" s="485"/>
      <c r="S26" s="485"/>
      <c r="T26" s="485"/>
    </row>
    <row r="27" spans="1:20" x14ac:dyDescent="0.2">
      <c r="A27" s="52" t="s">
        <v>60</v>
      </c>
      <c r="B27" s="226">
        <f>'[3]Atlas Air'!$HG58</f>
        <v>0</v>
      </c>
      <c r="C27" s="473">
        <f>[3]DHL!$HG58</f>
        <v>0</v>
      </c>
      <c r="D27" s="569"/>
      <c r="E27" s="473">
        <f>[3]DHL_Encore!$HG58</f>
        <v>0</v>
      </c>
      <c r="F27" s="473">
        <f>[3]Encore!$HG58</f>
        <v>0</v>
      </c>
      <c r="G27" s="473">
        <f>[3]FedEx!$HG58</f>
        <v>0</v>
      </c>
      <c r="H27" s="473">
        <f>[3]IFL!$HG58</f>
        <v>0</v>
      </c>
      <c r="I27" s="473">
        <f>[3]DHL_Kalitta!$HG58</f>
        <v>0</v>
      </c>
      <c r="J27" s="128">
        <f>'[3]Mountain Cargo'!$HG58</f>
        <v>0</v>
      </c>
      <c r="K27" s="473">
        <f>[3]DHL_Southair!$HG58</f>
        <v>0</v>
      </c>
      <c r="L27" s="473">
        <f>[3]DHL_Swift!$HG58</f>
        <v>0</v>
      </c>
      <c r="M27" s="473">
        <f>+'[3]Sun Country Cargo'!$HG58</f>
        <v>0</v>
      </c>
      <c r="N27" s="473">
        <f>[3]UPS!$HG58</f>
        <v>0</v>
      </c>
      <c r="O27" s="128">
        <f>'[3]Misc Cargo'!$HG58</f>
        <v>0</v>
      </c>
      <c r="P27" s="486">
        <f t="shared" si="7"/>
        <v>0</v>
      </c>
      <c r="R27" s="485"/>
      <c r="S27" s="485"/>
      <c r="T27" s="283"/>
    </row>
    <row r="28" spans="1:20" ht="18" customHeight="1" x14ac:dyDescent="0.2">
      <c r="A28" s="196" t="s">
        <v>43</v>
      </c>
      <c r="B28" s="500">
        <f>SUM(B26:B27)</f>
        <v>0</v>
      </c>
      <c r="C28" s="274">
        <f>SUM(C26:C27)</f>
        <v>0</v>
      </c>
      <c r="D28" s="569"/>
      <c r="E28" s="274">
        <f t="shared" ref="E28:O28" si="8">SUM(E26:E27)</f>
        <v>0</v>
      </c>
      <c r="F28" s="274">
        <f t="shared" si="8"/>
        <v>0</v>
      </c>
      <c r="G28" s="274">
        <f t="shared" si="8"/>
        <v>0</v>
      </c>
      <c r="H28" s="274">
        <f t="shared" si="8"/>
        <v>0</v>
      </c>
      <c r="I28" s="274">
        <f t="shared" si="8"/>
        <v>0</v>
      </c>
      <c r="J28" s="275">
        <f t="shared" si="8"/>
        <v>0</v>
      </c>
      <c r="K28" s="274">
        <f t="shared" si="8"/>
        <v>0</v>
      </c>
      <c r="L28" s="274">
        <f t="shared" si="8"/>
        <v>0</v>
      </c>
      <c r="M28" s="274">
        <f t="shared" si="8"/>
        <v>0</v>
      </c>
      <c r="N28" s="274">
        <f t="shared" si="8"/>
        <v>0</v>
      </c>
      <c r="O28" s="275">
        <f t="shared" si="8"/>
        <v>0</v>
      </c>
      <c r="P28" s="501">
        <f t="shared" si="7"/>
        <v>0</v>
      </c>
      <c r="R28" s="485"/>
      <c r="S28" s="485"/>
      <c r="T28" s="485"/>
    </row>
    <row r="29" spans="1:20" x14ac:dyDescent="0.2">
      <c r="A29" s="52"/>
      <c r="B29" s="226"/>
      <c r="C29" s="473"/>
      <c r="D29" s="569"/>
      <c r="E29" s="473"/>
      <c r="F29" s="473"/>
      <c r="G29" s="473"/>
      <c r="H29" s="473"/>
      <c r="I29" s="473"/>
      <c r="J29" s="128"/>
      <c r="K29" s="473"/>
      <c r="L29" s="473"/>
      <c r="M29" s="473"/>
      <c r="N29" s="473"/>
      <c r="O29" s="128"/>
      <c r="P29" s="486"/>
      <c r="R29" s="485"/>
      <c r="S29" s="485"/>
      <c r="T29" s="485"/>
    </row>
    <row r="30" spans="1:20" x14ac:dyDescent="0.2">
      <c r="A30" s="197" t="s">
        <v>44</v>
      </c>
      <c r="B30" s="226"/>
      <c r="C30" s="473"/>
      <c r="D30" s="569"/>
      <c r="E30" s="473"/>
      <c r="F30" s="473"/>
      <c r="G30" s="473"/>
      <c r="H30" s="473"/>
      <c r="I30" s="473"/>
      <c r="J30" s="128"/>
      <c r="K30" s="473"/>
      <c r="L30" s="473"/>
      <c r="M30" s="473"/>
      <c r="N30" s="473"/>
      <c r="O30" s="128"/>
      <c r="P30" s="486"/>
      <c r="R30" s="485"/>
      <c r="S30" s="485"/>
      <c r="T30" s="485"/>
    </row>
    <row r="31" spans="1:20" x14ac:dyDescent="0.2">
      <c r="A31" s="52" t="s">
        <v>88</v>
      </c>
      <c r="B31" s="226">
        <f>B26+B21+B16</f>
        <v>2225867</v>
      </c>
      <c r="C31" s="473">
        <f t="shared" ref="C31:O33" si="9">C26+C21+C16</f>
        <v>122955</v>
      </c>
      <c r="D31" s="569"/>
      <c r="E31" s="473">
        <f t="shared" ref="E31:M33" si="10">E26+E21+E16</f>
        <v>153441</v>
      </c>
      <c r="F31" s="473">
        <f t="shared" si="10"/>
        <v>0</v>
      </c>
      <c r="G31" s="473">
        <f t="shared" si="10"/>
        <v>17660710</v>
      </c>
      <c r="H31" s="473">
        <f t="shared" si="10"/>
        <v>35595</v>
      </c>
      <c r="I31" s="473">
        <f t="shared" si="10"/>
        <v>535732</v>
      </c>
      <c r="J31" s="128">
        <f>J26+J21+J16</f>
        <v>0</v>
      </c>
      <c r="K31" s="473">
        <f t="shared" si="10"/>
        <v>0</v>
      </c>
      <c r="L31" s="473">
        <f t="shared" si="10"/>
        <v>674604</v>
      </c>
      <c r="M31" s="473">
        <f t="shared" si="10"/>
        <v>3365348</v>
      </c>
      <c r="N31" s="473">
        <f t="shared" si="9"/>
        <v>12846506</v>
      </c>
      <c r="O31" s="128">
        <f>O26+O21+O16</f>
        <v>1744</v>
      </c>
      <c r="P31" s="486">
        <f t="shared" ref="P31:P32" si="11">SUM(B31:C31)+SUM(E31:O31)</f>
        <v>37622502</v>
      </c>
    </row>
    <row r="32" spans="1:20" x14ac:dyDescent="0.2">
      <c r="A32" s="52" t="s">
        <v>60</v>
      </c>
      <c r="B32" s="226">
        <f>B27+B22+B17</f>
        <v>0</v>
      </c>
      <c r="C32" s="473">
        <f t="shared" si="9"/>
        <v>0</v>
      </c>
      <c r="D32" s="570"/>
      <c r="E32" s="473">
        <f t="shared" si="10"/>
        <v>0</v>
      </c>
      <c r="F32" s="473">
        <f t="shared" si="10"/>
        <v>0</v>
      </c>
      <c r="G32" s="473">
        <f t="shared" si="10"/>
        <v>0</v>
      </c>
      <c r="H32" s="473">
        <f t="shared" si="10"/>
        <v>0</v>
      </c>
      <c r="I32" s="473">
        <f t="shared" si="10"/>
        <v>0</v>
      </c>
      <c r="J32" s="128">
        <f>J27+J22+J17</f>
        <v>183870</v>
      </c>
      <c r="K32" s="473">
        <f t="shared" si="10"/>
        <v>0</v>
      </c>
      <c r="L32" s="473">
        <f t="shared" si="10"/>
        <v>0</v>
      </c>
      <c r="M32" s="473">
        <f t="shared" si="10"/>
        <v>0</v>
      </c>
      <c r="N32" s="473">
        <f t="shared" si="9"/>
        <v>1926055</v>
      </c>
      <c r="O32" s="128">
        <f>O27+O22+O17</f>
        <v>0</v>
      </c>
      <c r="P32" s="502">
        <f t="shared" si="11"/>
        <v>2109925</v>
      </c>
    </row>
    <row r="33" spans="1:16" ht="18" customHeight="1" thickBot="1" x14ac:dyDescent="0.25">
      <c r="A33" s="190" t="s">
        <v>46</v>
      </c>
      <c r="B33" s="494">
        <f>B28+B23+B18</f>
        <v>2225867</v>
      </c>
      <c r="C33" s="191">
        <f>C28+C23+C18</f>
        <v>122955</v>
      </c>
      <c r="D33" s="276">
        <f>D28+D23+D18</f>
        <v>0</v>
      </c>
      <c r="E33" s="191">
        <f>E28+E23+E18</f>
        <v>153441</v>
      </c>
      <c r="F33" s="191">
        <f>F28+F23+F18</f>
        <v>0</v>
      </c>
      <c r="G33" s="191">
        <f t="shared" si="10"/>
        <v>17660710</v>
      </c>
      <c r="H33" s="191">
        <f t="shared" si="10"/>
        <v>35595</v>
      </c>
      <c r="I33" s="191">
        <f t="shared" si="10"/>
        <v>535732</v>
      </c>
      <c r="J33" s="192">
        <f>J28+J23+J18</f>
        <v>183870</v>
      </c>
      <c r="K33" s="191">
        <f t="shared" si="10"/>
        <v>0</v>
      </c>
      <c r="L33" s="191">
        <f t="shared" si="10"/>
        <v>674604</v>
      </c>
      <c r="M33" s="191">
        <f t="shared" si="9"/>
        <v>3365348</v>
      </c>
      <c r="N33" s="191">
        <f t="shared" si="9"/>
        <v>14772561</v>
      </c>
      <c r="O33" s="192">
        <f t="shared" si="9"/>
        <v>1744</v>
      </c>
      <c r="P33" s="495">
        <f>SUM(B33:C33)+SUM(E33:O33)</f>
        <v>39732427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90</v>
      </c>
    </row>
    <row r="37" spans="1:16" x14ac:dyDescent="0.2">
      <c r="A37" t="s">
        <v>91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April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K37" sqref="K37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44287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1379409</v>
      </c>
      <c r="C5" s="116">
        <f>'Regional Major'!M25</f>
        <v>2888</v>
      </c>
      <c r="D5" s="116">
        <f>Cargo!P16</f>
        <v>21139877</v>
      </c>
      <c r="E5" s="116">
        <f>SUM(B5:D5)</f>
        <v>22522174</v>
      </c>
      <c r="F5" s="116">
        <f>E5*0.00045359237</f>
        <v>10215.886282212379</v>
      </c>
      <c r="G5" s="144">
        <f>'[1]Cargo Summary'!F5</f>
        <v>8494.666531315579</v>
      </c>
      <c r="H5" s="96">
        <f>(F5-G5)/G5</f>
        <v>0.20262358087295426</v>
      </c>
      <c r="I5" s="144">
        <f>+F5+'[2]Cargo Summary'!I5</f>
        <v>33902.419515827169</v>
      </c>
      <c r="J5" s="144">
        <f>'[1]Cargo Summary'!I5</f>
        <v>34022.34570971621</v>
      </c>
      <c r="K5" s="83">
        <f>(I5-J5)/J5</f>
        <v>-3.524924322157846E-3</v>
      </c>
      <c r="M5" s="34"/>
    </row>
    <row r="6" spans="1:18" x14ac:dyDescent="0.2">
      <c r="A6" s="60" t="s">
        <v>16</v>
      </c>
      <c r="B6" s="167">
        <f>'Major Airline Stats'!K29</f>
        <v>1236450</v>
      </c>
      <c r="C6" s="116">
        <f>'Regional Major'!M26</f>
        <v>559</v>
      </c>
      <c r="D6" s="116">
        <f>Cargo!P17</f>
        <v>970894</v>
      </c>
      <c r="E6" s="116">
        <f>SUM(B6:D6)</f>
        <v>2207903</v>
      </c>
      <c r="F6" s="116">
        <f>E6*0.00045359237</f>
        <v>1001.4879545001099</v>
      </c>
      <c r="G6" s="144">
        <f>'[1]Cargo Summary'!F6</f>
        <v>265.39689568699998</v>
      </c>
      <c r="H6" s="36">
        <f>(F6-G6)/G6</f>
        <v>2.7735481114339429</v>
      </c>
      <c r="I6" s="144">
        <f>+F6+'[2]Cargo Summary'!I6</f>
        <v>3443.5027223088796</v>
      </c>
      <c r="J6" s="144">
        <f>'[1]Cargo Summary'!I6</f>
        <v>2384.0792287581498</v>
      </c>
      <c r="K6" s="83">
        <f>(I6-J6)/J6</f>
        <v>0.44437428117796907</v>
      </c>
      <c r="M6" s="34"/>
    </row>
    <row r="7" spans="1:18" ht="18" customHeight="1" thickBot="1" x14ac:dyDescent="0.25">
      <c r="A7" s="71" t="s">
        <v>71</v>
      </c>
      <c r="B7" s="169">
        <f>SUM(B5:B6)</f>
        <v>2615859</v>
      </c>
      <c r="C7" s="131">
        <f t="shared" ref="C7:J7" si="0">SUM(C5:C6)</f>
        <v>3447</v>
      </c>
      <c r="D7" s="131">
        <f t="shared" si="0"/>
        <v>22110771</v>
      </c>
      <c r="E7" s="131">
        <f t="shared" si="0"/>
        <v>24730077</v>
      </c>
      <c r="F7" s="131">
        <f t="shared" si="0"/>
        <v>11217.374236712489</v>
      </c>
      <c r="G7" s="131">
        <f t="shared" si="0"/>
        <v>8760.0634270025785</v>
      </c>
      <c r="H7" s="43">
        <f>(F7-G7)/G7</f>
        <v>0.28051290155449543</v>
      </c>
      <c r="I7" s="131">
        <f t="shared" si="0"/>
        <v>37345.922238136045</v>
      </c>
      <c r="J7" s="131">
        <f t="shared" si="0"/>
        <v>36406.42493847436</v>
      </c>
      <c r="K7" s="290">
        <f>(I7-J7)/J7</f>
        <v>2.5805810409822008E-2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690042</v>
      </c>
      <c r="C10" s="116">
        <f>'Regional Major'!M30</f>
        <v>180</v>
      </c>
      <c r="D10" s="116">
        <f>Cargo!P21</f>
        <v>16482625</v>
      </c>
      <c r="E10" s="116">
        <f>SUM(B10:D10)</f>
        <v>17172847</v>
      </c>
      <c r="F10" s="116">
        <f>E10*0.00045359237</f>
        <v>7789.4723703773898</v>
      </c>
      <c r="G10" s="144">
        <f>'[1]Cargo Summary'!F10</f>
        <v>6219.2566946001798</v>
      </c>
      <c r="H10" s="36">
        <f>(F10-G10)/G10</f>
        <v>0.2524764216824395</v>
      </c>
      <c r="I10" s="144">
        <f>+F10+'[2]Cargo Summary'!I10</f>
        <v>28425.016771100949</v>
      </c>
      <c r="J10" s="144">
        <f>'[1]Cargo Summary'!I10</f>
        <v>28117.903892329789</v>
      </c>
      <c r="K10" s="83">
        <f>(I10-J10)/J10</f>
        <v>1.0922324791605003E-2</v>
      </c>
      <c r="M10" s="34"/>
    </row>
    <row r="11" spans="1:18" x14ac:dyDescent="0.2">
      <c r="A11" s="60" t="s">
        <v>16</v>
      </c>
      <c r="B11" s="167">
        <f>'Major Airline Stats'!K34</f>
        <v>1406024</v>
      </c>
      <c r="C11" s="116">
        <f>'Regional Major'!M31</f>
        <v>2412</v>
      </c>
      <c r="D11" s="116">
        <f>Cargo!P22</f>
        <v>1139031</v>
      </c>
      <c r="E11" s="116">
        <f>SUM(B11:D11)</f>
        <v>2547467</v>
      </c>
      <c r="F11" s="116">
        <f>E11*0.00045359237</f>
        <v>1155.5115940267899</v>
      </c>
      <c r="G11" s="144">
        <f>'[1]Cargo Summary'!F11</f>
        <v>559.13242828212003</v>
      </c>
      <c r="H11" s="34">
        <f>(F11-G11)/G11</f>
        <v>1.0666152338489592</v>
      </c>
      <c r="I11" s="144">
        <f>+F11+'[2]Cargo Summary'!I11</f>
        <v>3579.6629871202194</v>
      </c>
      <c r="J11" s="144">
        <f>'[1]Cargo Summary'!I11</f>
        <v>3675.0752349649806</v>
      </c>
      <c r="K11" s="83">
        <f>(I11-J11)/J11</f>
        <v>-2.5961984924009411E-2</v>
      </c>
      <c r="M11" s="34"/>
    </row>
    <row r="12" spans="1:18" ht="18" customHeight="1" thickBot="1" x14ac:dyDescent="0.25">
      <c r="A12" s="71" t="s">
        <v>72</v>
      </c>
      <c r="B12" s="169">
        <f>SUM(B10:B11)</f>
        <v>2096066</v>
      </c>
      <c r="C12" s="131">
        <f t="shared" ref="C12:J12" si="1">SUM(C10:C11)</f>
        <v>2592</v>
      </c>
      <c r="D12" s="131">
        <f t="shared" si="1"/>
        <v>17621656</v>
      </c>
      <c r="E12" s="131">
        <f t="shared" si="1"/>
        <v>19720314</v>
      </c>
      <c r="F12" s="131">
        <f t="shared" si="1"/>
        <v>8944.9839644041804</v>
      </c>
      <c r="G12" s="131">
        <f t="shared" si="1"/>
        <v>6778.3891228822995</v>
      </c>
      <c r="H12" s="43">
        <f>(F12-G12)/G12</f>
        <v>0.31963270361802476</v>
      </c>
      <c r="I12" s="131">
        <f t="shared" si="1"/>
        <v>32004.679758221169</v>
      </c>
      <c r="J12" s="131">
        <f t="shared" si="1"/>
        <v>31792.97912729477</v>
      </c>
      <c r="K12" s="290">
        <f>(I12-J12)/J12</f>
        <v>6.6587226720333185E-3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Cargo!P26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5" t="e">
        <f>(F15-G15)/G15</f>
        <v>#DIV/0!</v>
      </c>
      <c r="I15" s="144">
        <f>+F15+'[2]Cargo Summary'!I15</f>
        <v>0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Cargo!P27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 t="shared" si="2"/>
        <v>0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2069451</v>
      </c>
      <c r="C20" s="116">
        <f t="shared" si="3"/>
        <v>3068</v>
      </c>
      <c r="D20" s="116">
        <f t="shared" si="3"/>
        <v>37622502</v>
      </c>
      <c r="E20" s="116">
        <f>SUM(B20:D20)</f>
        <v>39695021</v>
      </c>
      <c r="F20" s="116">
        <f>E20*0.00045359237</f>
        <v>18005.35865258977</v>
      </c>
      <c r="G20" s="144">
        <f>'[1]Cargo Summary'!F20</f>
        <v>14713.92322591576</v>
      </c>
      <c r="H20" s="36">
        <f>(F20-G20)/G20</f>
        <v>0.22369529704197291</v>
      </c>
      <c r="I20" s="144">
        <f>+F20+'[2]Cargo Summary'!I20</f>
        <v>62327.436286928118</v>
      </c>
      <c r="J20" s="144">
        <f>+J5+J10+J15</f>
        <v>62140.249602045995</v>
      </c>
      <c r="K20" s="83">
        <f>(I20-J20)/J20</f>
        <v>3.0123259253203834E-3</v>
      </c>
      <c r="M20" s="34"/>
    </row>
    <row r="21" spans="1:13" x14ac:dyDescent="0.2">
      <c r="A21" s="60" t="s">
        <v>16</v>
      </c>
      <c r="B21" s="167">
        <f t="shared" si="3"/>
        <v>2642474</v>
      </c>
      <c r="C21" s="118">
        <f t="shared" si="3"/>
        <v>2971</v>
      </c>
      <c r="D21" s="118">
        <f t="shared" si="3"/>
        <v>2109925</v>
      </c>
      <c r="E21" s="116">
        <f>SUM(B21:D21)</f>
        <v>4755370</v>
      </c>
      <c r="F21" s="116">
        <f>E21*0.00045359237</f>
        <v>2156.9995485269001</v>
      </c>
      <c r="G21" s="144">
        <f>'[1]Cargo Summary'!F21</f>
        <v>824.52932396912001</v>
      </c>
      <c r="H21" s="36">
        <f>(F21-G21)/G21</f>
        <v>1.616037399547579</v>
      </c>
      <c r="I21" s="144">
        <f>+F21+'[2]Cargo Summary'!I21</f>
        <v>7023.1657094291004</v>
      </c>
      <c r="J21" s="144">
        <f>+J6+J11+J16</f>
        <v>6059.1544637231309</v>
      </c>
      <c r="K21" s="83">
        <f>(I21-J21)/J21</f>
        <v>0.15909996212798633</v>
      </c>
      <c r="M21" s="34"/>
    </row>
    <row r="22" spans="1:13" ht="18" customHeight="1" thickBot="1" x14ac:dyDescent="0.25">
      <c r="A22" s="86" t="s">
        <v>62</v>
      </c>
      <c r="B22" s="170">
        <f>SUM(B20:B21)</f>
        <v>4711925</v>
      </c>
      <c r="C22" s="171">
        <f t="shared" ref="C22:J22" si="4">SUM(C20:C21)</f>
        <v>6039</v>
      </c>
      <c r="D22" s="171">
        <f t="shared" si="4"/>
        <v>39732427</v>
      </c>
      <c r="E22" s="171">
        <f t="shared" si="4"/>
        <v>44450391</v>
      </c>
      <c r="F22" s="171">
        <f t="shared" si="4"/>
        <v>20162.358201116669</v>
      </c>
      <c r="G22" s="171">
        <f t="shared" si="4"/>
        <v>15538.45254988488</v>
      </c>
      <c r="H22" s="296">
        <f>(F22-G22)/G22</f>
        <v>0.29757825860632736</v>
      </c>
      <c r="I22" s="171">
        <f t="shared" si="4"/>
        <v>69350.601996357218</v>
      </c>
      <c r="J22" s="171">
        <f t="shared" si="4"/>
        <v>68199.404065769122</v>
      </c>
      <c r="K22" s="297">
        <f>(I22-J22)/J22</f>
        <v>1.6879882549676255E-2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April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N6" sqref="N6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0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2.85546875" style="539" bestFit="1" customWidth="1"/>
  </cols>
  <sheetData>
    <row r="1" spans="1:20" ht="13.5" thickBot="1" x14ac:dyDescent="0.25">
      <c r="F1" s="503"/>
      <c r="J1" s="3"/>
      <c r="K1"/>
    </row>
    <row r="2" spans="1:20" s="198" customFormat="1" ht="26.25" thickBot="1" x14ac:dyDescent="0.25">
      <c r="A2" s="577" t="s">
        <v>187</v>
      </c>
      <c r="B2" s="578"/>
      <c r="C2" s="429" t="s">
        <v>232</v>
      </c>
      <c r="D2" s="430" t="s">
        <v>207</v>
      </c>
      <c r="E2" s="431" t="s">
        <v>95</v>
      </c>
      <c r="F2" s="432" t="s">
        <v>233</v>
      </c>
      <c r="G2" s="430" t="s">
        <v>208</v>
      </c>
      <c r="H2" s="504" t="s">
        <v>96</v>
      </c>
      <c r="I2" s="431" t="s">
        <v>137</v>
      </c>
      <c r="J2" s="577" t="s">
        <v>183</v>
      </c>
      <c r="K2" s="578"/>
      <c r="L2" s="429" t="s">
        <v>232</v>
      </c>
      <c r="M2" s="430" t="s">
        <v>207</v>
      </c>
      <c r="N2" s="431" t="s">
        <v>95</v>
      </c>
      <c r="O2" s="432" t="s">
        <v>233</v>
      </c>
      <c r="P2" s="430" t="s">
        <v>208</v>
      </c>
      <c r="Q2" s="456" t="s">
        <v>96</v>
      </c>
      <c r="R2" s="431" t="s">
        <v>137</v>
      </c>
      <c r="T2" s="540"/>
    </row>
    <row r="3" spans="1:20" s="198" customFormat="1" ht="13.5" customHeight="1" thickBot="1" x14ac:dyDescent="0.25">
      <c r="A3" s="579">
        <v>44287</v>
      </c>
      <c r="B3" s="580"/>
      <c r="C3" s="581" t="s">
        <v>9</v>
      </c>
      <c r="D3" s="582"/>
      <c r="E3" s="582"/>
      <c r="F3" s="582"/>
      <c r="G3" s="582"/>
      <c r="H3" s="583"/>
      <c r="I3" s="481"/>
      <c r="J3" s="579">
        <f>+A3</f>
        <v>44287</v>
      </c>
      <c r="K3" s="580"/>
      <c r="L3" s="574" t="s">
        <v>184</v>
      </c>
      <c r="M3" s="575"/>
      <c r="N3" s="575"/>
      <c r="O3" s="575"/>
      <c r="P3" s="575"/>
      <c r="Q3" s="575"/>
      <c r="R3" s="576"/>
      <c r="T3" s="540"/>
    </row>
    <row r="4" spans="1:20" x14ac:dyDescent="0.2">
      <c r="A4" s="315"/>
      <c r="B4" s="316"/>
      <c r="C4" s="317"/>
      <c r="D4" s="318"/>
      <c r="E4" s="319"/>
      <c r="F4" s="505"/>
      <c r="G4" s="318"/>
      <c r="H4" s="442"/>
      <c r="I4" s="319"/>
      <c r="J4" s="320"/>
      <c r="K4" s="316"/>
      <c r="L4" s="451"/>
      <c r="N4" s="83"/>
      <c r="O4" s="52"/>
      <c r="R4" s="54"/>
    </row>
    <row r="5" spans="1:20" ht="14.1" customHeight="1" x14ac:dyDescent="0.2">
      <c r="A5" s="322" t="s">
        <v>218</v>
      </c>
      <c r="B5" s="54"/>
      <c r="C5" s="506">
        <f>SUM(C6:C7)</f>
        <v>183</v>
      </c>
      <c r="D5" s="506">
        <f>SUM(D6:D7)</f>
        <v>60</v>
      </c>
      <c r="E5" s="507">
        <f>(C5-D5)/D5</f>
        <v>2.0499999999999998</v>
      </c>
      <c r="F5" s="506">
        <f>SUM(F6:F7)</f>
        <v>426</v>
      </c>
      <c r="G5" s="506">
        <f>SUM(G6:G7)</f>
        <v>236</v>
      </c>
      <c r="H5" s="508">
        <f>(F5-G5)/G5</f>
        <v>0.80508474576271183</v>
      </c>
      <c r="I5" s="507">
        <f>+F5/$F$33</f>
        <v>8.1515499425947185E-2</v>
      </c>
      <c r="J5" s="322" t="s">
        <v>218</v>
      </c>
      <c r="K5" s="54"/>
      <c r="L5" s="506">
        <f>SUM(L6:L7)</f>
        <v>5591215</v>
      </c>
      <c r="M5" s="506">
        <f>SUM(M6:M7)</f>
        <v>3447822</v>
      </c>
      <c r="N5" s="507">
        <f>(L5-M5)/M5</f>
        <v>0.62166579365176045</v>
      </c>
      <c r="O5" s="506">
        <f>SUM(O6:O7)</f>
        <v>12223275</v>
      </c>
      <c r="P5" s="506">
        <f>SUM(P6:P7)</f>
        <v>10124254</v>
      </c>
      <c r="Q5" s="508">
        <f>(O5-P5)/P5</f>
        <v>0.20732599162367915</v>
      </c>
      <c r="R5" s="507">
        <f>O5/$O$33</f>
        <v>8.8807581571630254E-2</v>
      </c>
      <c r="S5" s="19"/>
    </row>
    <row r="6" spans="1:20" ht="14.1" customHeight="1" x14ac:dyDescent="0.2">
      <c r="A6" s="52"/>
      <c r="B6" s="397" t="s">
        <v>219</v>
      </c>
      <c r="C6" s="509">
        <f>+'[3]Atlas Air'!$HG$19</f>
        <v>60</v>
      </c>
      <c r="D6" s="283">
        <f>+'[3]Atlas Air'!$GS$19</f>
        <v>60</v>
      </c>
      <c r="E6" s="510">
        <f>(C6-D6)/D6</f>
        <v>0</v>
      </c>
      <c r="F6" s="509">
        <f>+SUM('[3]Atlas Air'!$HD$19:$HG$19)</f>
        <v>89</v>
      </c>
      <c r="G6" s="283">
        <f>+SUM('[3]Atlas Air'!$GP$19:$GS$19)</f>
        <v>236</v>
      </c>
      <c r="H6" s="491">
        <f>(F6-G6)/G6</f>
        <v>-0.6228813559322034</v>
      </c>
      <c r="I6" s="510">
        <f>+F6/$F$33</f>
        <v>1.7030233448143896E-2</v>
      </c>
      <c r="J6" s="52"/>
      <c r="K6" s="397" t="s">
        <v>219</v>
      </c>
      <c r="L6" s="509">
        <f>+'[3]Atlas Air'!$HG$64</f>
        <v>2225867</v>
      </c>
      <c r="M6" s="283">
        <f>+'[3]Atlas Air'!$GS$64</f>
        <v>3447822</v>
      </c>
      <c r="N6" s="510">
        <f>(L6-M6)/M6</f>
        <v>-0.35441359791775795</v>
      </c>
      <c r="O6" s="283">
        <f>+SUM('[3]Atlas Air'!$HD$64:$HG$64)</f>
        <v>2984075</v>
      </c>
      <c r="P6" s="283">
        <f>+SUM('[3]Atlas Air'!$GP$64:$GS$64)</f>
        <v>10124254</v>
      </c>
      <c r="Q6" s="491">
        <f>(O6-P6)/P6</f>
        <v>-0.70525482667661243</v>
      </c>
      <c r="R6" s="510">
        <f>O6/$O$33</f>
        <v>2.1680644833595133E-2</v>
      </c>
      <c r="S6" s="19"/>
    </row>
    <row r="7" spans="1:20" ht="14.1" customHeight="1" x14ac:dyDescent="0.2">
      <c r="A7" s="52"/>
      <c r="B7" s="397" t="s">
        <v>49</v>
      </c>
      <c r="C7" s="509">
        <f>+'[3]Sun Country Cargo'!$HG$19</f>
        <v>123</v>
      </c>
      <c r="D7" s="283">
        <f>+'[3]Sun Country Cargo'!$GS$19</f>
        <v>0</v>
      </c>
      <c r="E7" s="510" t="e">
        <f>(C7-D7)/D7</f>
        <v>#DIV/0!</v>
      </c>
      <c r="F7" s="509">
        <f>+SUM('[3]Sun Country Cargo'!$HD$19:$HG$19)</f>
        <v>337</v>
      </c>
      <c r="G7" s="283">
        <f>+SUM('[3]Sun Country Cargo'!$GP$19:$GS$19)</f>
        <v>0</v>
      </c>
      <c r="H7" s="491" t="e">
        <f>(F7-G7)/G7</f>
        <v>#DIV/0!</v>
      </c>
      <c r="I7" s="510">
        <f>+F7/$F$33</f>
        <v>6.4485265977803297E-2</v>
      </c>
      <c r="J7" s="52"/>
      <c r="K7" s="397" t="s">
        <v>49</v>
      </c>
      <c r="L7" s="509">
        <f>+'[3]Sun Country Cargo'!$HG$64</f>
        <v>3365348</v>
      </c>
      <c r="M7" s="283">
        <f>+'[3]Sun Country Cargo'!$GS$64</f>
        <v>0</v>
      </c>
      <c r="N7" s="510" t="e">
        <f>(L7-M7)/M7</f>
        <v>#DIV/0!</v>
      </c>
      <c r="O7" s="283">
        <f>+SUM('[3]Sun Country Cargo'!$HD$64:$HG$64)</f>
        <v>9239200</v>
      </c>
      <c r="P7" s="283">
        <f>+SUM('[3]Sun Country Cargo'!$GP$64:$GS$64)</f>
        <v>0</v>
      </c>
      <c r="Q7" s="491" t="e">
        <f>(O7-P7)/P7</f>
        <v>#DIV/0!</v>
      </c>
      <c r="R7" s="510">
        <f>O7/$O$33</f>
        <v>6.7126936738035117E-2</v>
      </c>
      <c r="S7" s="19"/>
    </row>
    <row r="8" spans="1:20" ht="14.1" customHeight="1" x14ac:dyDescent="0.2">
      <c r="A8" s="52"/>
      <c r="B8" s="54"/>
      <c r="F8" s="511"/>
      <c r="I8" s="83"/>
      <c r="J8" s="476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506">
        <f>SUM(C10:C16)</f>
        <v>138</v>
      </c>
      <c r="D9" s="506">
        <f>SUM(D10:D16)</f>
        <v>126</v>
      </c>
      <c r="E9" s="507">
        <f>(C9-D9)/D9</f>
        <v>9.5238095238095233E-2</v>
      </c>
      <c r="F9" s="506">
        <f>SUM(F10:F16)</f>
        <v>522</v>
      </c>
      <c r="G9" s="506">
        <f>SUM(G10:G16)</f>
        <v>531</v>
      </c>
      <c r="H9" s="508">
        <f>(F9-G9)/G9</f>
        <v>-1.6949152542372881E-2</v>
      </c>
      <c r="I9" s="507">
        <f>+F9/$F$33</f>
        <v>9.9885189437428246E-2</v>
      </c>
      <c r="J9" s="322" t="s">
        <v>220</v>
      </c>
      <c r="K9" s="54"/>
      <c r="L9" s="506">
        <f>SUM(L10:L16)</f>
        <v>1486732</v>
      </c>
      <c r="M9" s="506">
        <f>SUM(M10:M16)</f>
        <v>1640920</v>
      </c>
      <c r="N9" s="507">
        <f t="shared" ref="N9:N16" si="0">(L9-M9)/M9</f>
        <v>-9.3964361455768711E-2</v>
      </c>
      <c r="O9" s="506">
        <f>SUM(O10:O16)</f>
        <v>5327453</v>
      </c>
      <c r="P9" s="506">
        <f>SUM(P10:P16)</f>
        <v>6502467</v>
      </c>
      <c r="Q9" s="508">
        <f t="shared" ref="Q9:Q16" si="1">(O9-P9)/P9</f>
        <v>-0.18070280095231547</v>
      </c>
      <c r="R9" s="507">
        <f t="shared" ref="R9:R16" si="2">O9/$O$33</f>
        <v>3.8706338265851528E-2</v>
      </c>
      <c r="S9" s="19"/>
    </row>
    <row r="10" spans="1:20" ht="14.1" customHeight="1" x14ac:dyDescent="0.2">
      <c r="A10" s="322"/>
      <c r="B10" s="397" t="s">
        <v>221</v>
      </c>
      <c r="C10" s="509">
        <f>+[3]Airborne!$HG$19</f>
        <v>0</v>
      </c>
      <c r="D10" s="283">
        <f>+[3]Airborne!$GS$19</f>
        <v>0</v>
      </c>
      <c r="E10" s="510" t="e">
        <f>(C10-D10)/D10</f>
        <v>#DIV/0!</v>
      </c>
      <c r="F10" s="509">
        <f>+SUM([3]Airborne!$HD$19:$HG$19)</f>
        <v>0</v>
      </c>
      <c r="G10" s="283">
        <f>+SUM([3]Airborne!$GP$19:$GS$19)</f>
        <v>0</v>
      </c>
      <c r="H10" s="491" t="e">
        <f>(F10-G10)/G10</f>
        <v>#DIV/0!</v>
      </c>
      <c r="I10" s="510">
        <f t="shared" ref="I10" si="3">+F10/$F$33</f>
        <v>0</v>
      </c>
      <c r="J10" s="322"/>
      <c r="K10" s="397" t="s">
        <v>221</v>
      </c>
      <c r="L10" s="509">
        <f>+[3]Airborne!$HG$64</f>
        <v>0</v>
      </c>
      <c r="M10" s="283">
        <f>+[3]Airborne!$GS$64</f>
        <v>0</v>
      </c>
      <c r="N10" s="510" t="e">
        <f t="shared" si="0"/>
        <v>#DIV/0!</v>
      </c>
      <c r="O10" s="509">
        <f>+SUM([3]Airborne!$HD$64:$HG$64)</f>
        <v>0</v>
      </c>
      <c r="P10" s="283">
        <f>+SUM([3]Airborne!$GP$64:$GS$64)</f>
        <v>0</v>
      </c>
      <c r="Q10" s="491" t="e">
        <f t="shared" si="1"/>
        <v>#DIV/0!</v>
      </c>
      <c r="R10" s="510">
        <f t="shared" si="2"/>
        <v>0</v>
      </c>
      <c r="S10" s="19"/>
    </row>
    <row r="11" spans="1:20" ht="14.1" customHeight="1" x14ac:dyDescent="0.2">
      <c r="A11" s="322"/>
      <c r="B11" s="54" t="s">
        <v>219</v>
      </c>
      <c r="C11" s="509">
        <f>+[3]DHL_Atlas!$HG$19</f>
        <v>6</v>
      </c>
      <c r="D11" s="283">
        <f>+[3]DHL_Atlas!$GS$19</f>
        <v>0</v>
      </c>
      <c r="E11" s="510" t="e">
        <f t="shared" ref="E11:E16" si="4">(C11-D11)/D11</f>
        <v>#DIV/0!</v>
      </c>
      <c r="F11" s="509">
        <f>+SUM([3]DHL_Atlas!$HD$19:$HG$19)</f>
        <v>12</v>
      </c>
      <c r="G11" s="283">
        <f>+SUM([3]DHL_Atlas!$GP$19:$GS$19)</f>
        <v>0</v>
      </c>
      <c r="H11" s="491" t="e">
        <f t="shared" ref="H11:H16" si="5">(F11-G11)/G11</f>
        <v>#DIV/0!</v>
      </c>
      <c r="I11" s="510">
        <f>+F11/$F$33</f>
        <v>2.2962112514351321E-3</v>
      </c>
      <c r="J11" s="322"/>
      <c r="K11" s="54" t="s">
        <v>219</v>
      </c>
      <c r="L11" s="509">
        <f>+[3]DHL_Atlas!$HG$64</f>
        <v>122955</v>
      </c>
      <c r="M11" s="283">
        <f>+[3]DHL_Atlas!$GS$64</f>
        <v>0</v>
      </c>
      <c r="N11" s="510" t="e">
        <f t="shared" si="0"/>
        <v>#DIV/0!</v>
      </c>
      <c r="O11" s="509">
        <f>+SUM([3]DHL_Atlas!$HD$64:$HG$64)</f>
        <v>259570</v>
      </c>
      <c r="P11" s="283">
        <f>+SUM([3]DHL_Atlas!$GP$64:$GS$64)</f>
        <v>0</v>
      </c>
      <c r="Q11" s="491" t="e">
        <f t="shared" si="1"/>
        <v>#DIV/0!</v>
      </c>
      <c r="R11" s="510">
        <f t="shared" si="2"/>
        <v>1.8858926064044266E-3</v>
      </c>
      <c r="S11" s="19"/>
    </row>
    <row r="12" spans="1:20" ht="14.1" customHeight="1" x14ac:dyDescent="0.2">
      <c r="A12" s="322"/>
      <c r="B12" s="54" t="s">
        <v>222</v>
      </c>
      <c r="C12" s="509">
        <f>+[3]DHL!$HG$19</f>
        <v>0</v>
      </c>
      <c r="D12" s="283">
        <f>+[3]DHL!$GS$19</f>
        <v>44</v>
      </c>
      <c r="E12" s="510">
        <f t="shared" si="4"/>
        <v>-1</v>
      </c>
      <c r="F12" s="509">
        <f>+SUM([3]DHL!$HD$19:$HG$19)</f>
        <v>0</v>
      </c>
      <c r="G12" s="283">
        <f>+SUM([3]DHL!$GP$19:$GS$19)</f>
        <v>161</v>
      </c>
      <c r="H12" s="491">
        <f t="shared" si="5"/>
        <v>-1</v>
      </c>
      <c r="I12" s="510">
        <f>+F12/$F$33</f>
        <v>0</v>
      </c>
      <c r="J12" s="322"/>
      <c r="K12" s="54" t="s">
        <v>222</v>
      </c>
      <c r="L12" s="509">
        <f>+[3]DHL!$HG$64</f>
        <v>0</v>
      </c>
      <c r="M12" s="283">
        <f>+[3]DHL!$GS$64</f>
        <v>1506128</v>
      </c>
      <c r="N12" s="510">
        <f t="shared" si="0"/>
        <v>-1</v>
      </c>
      <c r="O12" s="509">
        <f>+SUM([3]DHL!$HD$64:$HG$64)</f>
        <v>0</v>
      </c>
      <c r="P12" s="283">
        <f>+SUM([3]DHL!$GP$64:$GS$64)</f>
        <v>5194036</v>
      </c>
      <c r="Q12" s="491">
        <f t="shared" si="1"/>
        <v>-1</v>
      </c>
      <c r="R12" s="510">
        <f t="shared" si="2"/>
        <v>0</v>
      </c>
      <c r="S12" s="19"/>
    </row>
    <row r="13" spans="1:20" ht="14.1" customHeight="1" x14ac:dyDescent="0.2">
      <c r="A13" s="322"/>
      <c r="B13" s="54" t="s">
        <v>201</v>
      </c>
      <c r="C13" s="509">
        <f>+[3]Encore!$HG$19+[3]DHL_Encore!$HG$12</f>
        <v>84</v>
      </c>
      <c r="D13" s="283">
        <f>+[3]Encore!$GS$19+[3]DHL_Encore!$GS$19</f>
        <v>82</v>
      </c>
      <c r="E13" s="510">
        <f t="shared" si="4"/>
        <v>2.4390243902439025E-2</v>
      </c>
      <c r="F13" s="509">
        <f>+SUM([3]Encore!$HD$19:$HG$19)+SUM([3]DHL_Encore!$HD$19:$HG$19)</f>
        <v>330</v>
      </c>
      <c r="G13" s="283">
        <f>+SUM([3]Encore!$GP$19:$GS$19)+SUM([3]DHL_Encore!$GP$19:$GS$19)</f>
        <v>336</v>
      </c>
      <c r="H13" s="491">
        <f t="shared" si="5"/>
        <v>-1.7857142857142856E-2</v>
      </c>
      <c r="I13" s="510">
        <f t="shared" ref="I13:I16" si="6">+F13/$F$33</f>
        <v>6.3145809414466125E-2</v>
      </c>
      <c r="J13" s="322"/>
      <c r="K13" s="54" t="s">
        <v>201</v>
      </c>
      <c r="L13" s="509">
        <f>+[3]Encore!$HG$64+[3]DHL_Encore!$HG$64</f>
        <v>153441</v>
      </c>
      <c r="M13" s="283">
        <f>+[3]Encore!$GS$64+[3]DHL_Encore!$GS$64</f>
        <v>134792</v>
      </c>
      <c r="N13" s="510">
        <f t="shared" si="0"/>
        <v>0.13835390824381269</v>
      </c>
      <c r="O13" s="509">
        <f>+SUM([3]Encore!$HD$64:$HG$64)+SUM([3]DHL_Encore!$HD$64:$HG$64)</f>
        <v>579145</v>
      </c>
      <c r="P13" s="283">
        <f>+SUM([3]Encore!$GP$64:$GS$64)+SUM([3]DHL_Encore!$GP$64:$GS$64)</f>
        <v>472444</v>
      </c>
      <c r="Q13" s="491">
        <f t="shared" si="1"/>
        <v>0.22584898950986784</v>
      </c>
      <c r="R13" s="510">
        <f t="shared" si="2"/>
        <v>4.2077484822440631E-3</v>
      </c>
      <c r="S13" s="19"/>
    </row>
    <row r="14" spans="1:20" ht="14.1" customHeight="1" x14ac:dyDescent="0.2">
      <c r="A14" s="322"/>
      <c r="B14" s="54" t="s">
        <v>223</v>
      </c>
      <c r="C14" s="509">
        <f>+[3]DHL_Kalitta!$HG$19</f>
        <v>20</v>
      </c>
      <c r="D14" s="283">
        <f>+[3]DHL_Kalitta!$GS$19</f>
        <v>0</v>
      </c>
      <c r="E14" s="510" t="e">
        <f t="shared" si="4"/>
        <v>#DIV/0!</v>
      </c>
      <c r="F14" s="509">
        <f>+SUM([3]DHL_Kalitta!$HD$19:$HG$19)</f>
        <v>68</v>
      </c>
      <c r="G14" s="283">
        <f>+SUM([3]DHL_Kalitta!$GP$19:$GS$19)</f>
        <v>34</v>
      </c>
      <c r="H14" s="491">
        <f t="shared" si="5"/>
        <v>1</v>
      </c>
      <c r="I14" s="510">
        <f>+F14/$F$33</f>
        <v>1.3011863758132415E-2</v>
      </c>
      <c r="J14" s="322"/>
      <c r="K14" s="54" t="s">
        <v>223</v>
      </c>
      <c r="L14" s="509">
        <f>+[3]DHL_Kalitta!$HG$64</f>
        <v>535732</v>
      </c>
      <c r="M14" s="283">
        <f>+[3]DHL_Kalitta!$GS$64</f>
        <v>0</v>
      </c>
      <c r="N14" s="510" t="e">
        <f t="shared" si="0"/>
        <v>#DIV/0!</v>
      </c>
      <c r="O14" s="509">
        <f>+SUM([3]DHL_Kalitta!$HD$64:$HG$64)</f>
        <v>1764191</v>
      </c>
      <c r="P14" s="283">
        <f>+SUM([3]DHL_Kalitta!$GP$64:$GS$64)</f>
        <v>835987</v>
      </c>
      <c r="Q14" s="491">
        <f t="shared" si="1"/>
        <v>1.1103091316013287</v>
      </c>
      <c r="R14" s="510">
        <f t="shared" si="2"/>
        <v>1.2817639801152797E-2</v>
      </c>
      <c r="S14" s="19"/>
    </row>
    <row r="15" spans="1:20" ht="14.1" customHeight="1" x14ac:dyDescent="0.2">
      <c r="A15" s="322"/>
      <c r="B15" s="54" t="s">
        <v>224</v>
      </c>
      <c r="C15" s="509">
        <f>+[3]DHL_Southair!$HG$19</f>
        <v>0</v>
      </c>
      <c r="D15" s="283">
        <f>+[3]DHL_Southair!$GS$19</f>
        <v>0</v>
      </c>
      <c r="E15" s="510" t="e">
        <f t="shared" si="4"/>
        <v>#DIV/0!</v>
      </c>
      <c r="F15" s="509">
        <f>+SUM([3]DHL_Southair!$HD$19:$HG$19)</f>
        <v>0</v>
      </c>
      <c r="G15" s="283">
        <f>+SUM([3]DHL_Southair!$GP$19:$GS$19)</f>
        <v>0</v>
      </c>
      <c r="H15" s="491" t="e">
        <f t="shared" si="5"/>
        <v>#DIV/0!</v>
      </c>
      <c r="I15" s="510">
        <f>+F15/$F$33</f>
        <v>0</v>
      </c>
      <c r="J15" s="322"/>
      <c r="K15" s="54" t="s">
        <v>224</v>
      </c>
      <c r="L15" s="509">
        <f>+[3]DHL_Southair!$HG$64</f>
        <v>0</v>
      </c>
      <c r="M15" s="283">
        <f>+[3]DHL_Southair!$GS$64</f>
        <v>0</v>
      </c>
      <c r="N15" s="510" t="e">
        <f t="shared" si="0"/>
        <v>#DIV/0!</v>
      </c>
      <c r="O15" s="509">
        <f>+SUM([3]DHL_Southair!$HD$64:$HG$64)</f>
        <v>0</v>
      </c>
      <c r="P15" s="283">
        <f>+SUM([3]DHL_Southair!$GP$64:$GS$64)</f>
        <v>0</v>
      </c>
      <c r="Q15" s="491" t="e">
        <f t="shared" si="1"/>
        <v>#DIV/0!</v>
      </c>
      <c r="R15" s="510">
        <f t="shared" si="2"/>
        <v>0</v>
      </c>
      <c r="S15" s="19"/>
    </row>
    <row r="16" spans="1:20" ht="14.1" customHeight="1" x14ac:dyDescent="0.2">
      <c r="A16" s="322"/>
      <c r="B16" s="54" t="s">
        <v>225</v>
      </c>
      <c r="C16" s="509">
        <f>+[3]DHL_Swift!$HG$19</f>
        <v>28</v>
      </c>
      <c r="D16" s="283">
        <f>+[3]DHL_Swift!$GS$19</f>
        <v>0</v>
      </c>
      <c r="E16" s="510" t="e">
        <f t="shared" si="4"/>
        <v>#DIV/0!</v>
      </c>
      <c r="F16" s="509">
        <f>+SUM([3]DHL_Swift!$HD$19:$HG$19)</f>
        <v>112</v>
      </c>
      <c r="G16" s="283">
        <f>+SUM([3]DHL_Swift!$GP$19:$GS$19)</f>
        <v>0</v>
      </c>
      <c r="H16" s="491" t="e">
        <f t="shared" si="5"/>
        <v>#DIV/0!</v>
      </c>
      <c r="I16" s="510">
        <f t="shared" si="6"/>
        <v>2.1431305013394564E-2</v>
      </c>
      <c r="J16" s="322"/>
      <c r="K16" s="54" t="s">
        <v>225</v>
      </c>
      <c r="L16" s="509">
        <f>+[3]DHL_Swift!$HG$64</f>
        <v>674604</v>
      </c>
      <c r="M16" s="283">
        <f>+[3]DHL_Swift!$GS$64</f>
        <v>0</v>
      </c>
      <c r="N16" s="510" t="e">
        <f t="shared" si="0"/>
        <v>#DIV/0!</v>
      </c>
      <c r="O16" s="509">
        <f>+SUM([3]DHL_Swift!$HD$64:$HG$64)</f>
        <v>2724547</v>
      </c>
      <c r="P16" s="283">
        <f>+SUM([3]DHL_Swift!$GP$64:$GS$64)</f>
        <v>0</v>
      </c>
      <c r="Q16" s="491" t="e">
        <f t="shared" si="1"/>
        <v>#DIV/0!</v>
      </c>
      <c r="R16" s="510">
        <f t="shared" si="2"/>
        <v>1.9795057376050241E-2</v>
      </c>
      <c r="S16" s="19"/>
    </row>
    <row r="17" spans="1:20" ht="14.1" customHeight="1" x14ac:dyDescent="0.2">
      <c r="A17" s="322"/>
      <c r="B17" s="54"/>
      <c r="C17" s="477"/>
      <c r="D17" s="469"/>
      <c r="E17" s="478"/>
      <c r="F17" s="477"/>
      <c r="G17" s="469"/>
      <c r="H17" s="479"/>
      <c r="I17" s="478"/>
      <c r="J17" s="322"/>
      <c r="K17" s="54"/>
      <c r="L17" s="451"/>
      <c r="N17" s="83"/>
      <c r="O17" s="451"/>
      <c r="P17" s="469"/>
      <c r="Q17" s="3"/>
      <c r="R17" s="83"/>
      <c r="S17" s="19"/>
    </row>
    <row r="18" spans="1:20" ht="14.1" customHeight="1" x14ac:dyDescent="0.2">
      <c r="A18" s="322" t="s">
        <v>185</v>
      </c>
      <c r="B18" s="54"/>
      <c r="C18" s="512">
        <f>SUM(C19:C22)</f>
        <v>370</v>
      </c>
      <c r="D18" s="506">
        <f>SUM(D19:D22)</f>
        <v>322</v>
      </c>
      <c r="E18" s="507">
        <f>(C18-D18)/D18</f>
        <v>0.14906832298136646</v>
      </c>
      <c r="F18" s="512">
        <f>SUM(F19:F22)</f>
        <v>1426</v>
      </c>
      <c r="G18" s="506">
        <f>SUM(G19:G22)</f>
        <v>1225</v>
      </c>
      <c r="H18" s="508">
        <f t="shared" ref="H18:H19" si="7">(F18-G18)/G18</f>
        <v>0.16408163265306122</v>
      </c>
      <c r="I18" s="507">
        <f>+F18/$F$33</f>
        <v>0.27286643704554153</v>
      </c>
      <c r="J18" s="322" t="s">
        <v>185</v>
      </c>
      <c r="K18" s="54"/>
      <c r="L18" s="512">
        <f>SUM(L19:L22)</f>
        <v>17880175</v>
      </c>
      <c r="M18" s="506">
        <f>SUM(M19:M22)</f>
        <v>15993055</v>
      </c>
      <c r="N18" s="507">
        <f>(L18-M18)/M18</f>
        <v>0.11799621773325984</v>
      </c>
      <c r="O18" s="512">
        <f>SUM(O19:O22)</f>
        <v>65978797</v>
      </c>
      <c r="P18" s="506">
        <f>SUM(P19:P22)</f>
        <v>63349939</v>
      </c>
      <c r="Q18" s="508">
        <f t="shared" ref="Q18:Q20" si="8">(O18-P18)/P18</f>
        <v>4.1497403809654811E-2</v>
      </c>
      <c r="R18" s="507">
        <f>O18/$O$33</f>
        <v>0.47936558709310995</v>
      </c>
      <c r="S18" s="19"/>
    </row>
    <row r="19" spans="1:20" ht="14.1" customHeight="1" x14ac:dyDescent="0.2">
      <c r="A19" s="52"/>
      <c r="B19" s="397" t="s">
        <v>185</v>
      </c>
      <c r="C19" s="509">
        <f>+[3]FedEx!$HG$19</f>
        <v>290</v>
      </c>
      <c r="D19" s="283">
        <f>+[3]FedEx!$GS$19</f>
        <v>244</v>
      </c>
      <c r="E19" s="510">
        <f>(C19-D19)/D19</f>
        <v>0.18852459016393441</v>
      </c>
      <c r="F19" s="509">
        <f>+SUM([3]FedEx!$HD$19:$HG$19)</f>
        <v>1134</v>
      </c>
      <c r="G19" s="283">
        <f>+SUM([3]FedEx!$GP$19:$GS$19)</f>
        <v>922</v>
      </c>
      <c r="H19" s="491">
        <f t="shared" si="7"/>
        <v>0.2299349240780911</v>
      </c>
      <c r="I19" s="510">
        <f>+F19/$F$33</f>
        <v>0.21699196326061998</v>
      </c>
      <c r="J19" s="322"/>
      <c r="K19" s="397" t="s">
        <v>185</v>
      </c>
      <c r="L19" s="509">
        <f>+[3]FedEx!$HG$64</f>
        <v>17660710</v>
      </c>
      <c r="M19" s="283">
        <f>+[3]FedEx!$GS$64</f>
        <v>15827617</v>
      </c>
      <c r="N19" s="510">
        <f>(L19-M19)/M19</f>
        <v>0.1158161080091842</v>
      </c>
      <c r="O19" s="509">
        <f>+SUM([3]FedEx!$HD$64:$HG$64)</f>
        <v>65385467</v>
      </c>
      <c r="P19" s="283">
        <f>+SUM([3]FedEx!$GP$64:$GS$64)</f>
        <v>61985353</v>
      </c>
      <c r="Q19" s="491">
        <f t="shared" si="8"/>
        <v>5.4853507085778797E-2</v>
      </c>
      <c r="R19" s="510">
        <f>O19/$O$33</f>
        <v>0.47505477821628317</v>
      </c>
      <c r="S19" s="19"/>
    </row>
    <row r="20" spans="1:20" ht="14.1" customHeight="1" x14ac:dyDescent="0.2">
      <c r="A20" s="52"/>
      <c r="B20" s="397" t="s">
        <v>226</v>
      </c>
      <c r="C20" s="509">
        <f>+'[3]Mountain Cargo'!$HG$19</f>
        <v>44</v>
      </c>
      <c r="D20" s="283">
        <f>+'[3]Mountain Cargo'!$GS$19</f>
        <v>50</v>
      </c>
      <c r="E20" s="510">
        <f>(C20-D20)/D20</f>
        <v>-0.12</v>
      </c>
      <c r="F20" s="509">
        <f>+SUM('[3]Mountain Cargo'!$HD$19:$HG$19)</f>
        <v>170</v>
      </c>
      <c r="G20" s="283">
        <f>+SUM('[3]Mountain Cargo'!$GP$19:$GS$19)</f>
        <v>174</v>
      </c>
      <c r="H20" s="491">
        <f>(F20-G20)/G20</f>
        <v>-2.2988505747126436E-2</v>
      </c>
      <c r="I20" s="510">
        <f>+F20/$F$33</f>
        <v>3.2529659395331034E-2</v>
      </c>
      <c r="J20" s="476"/>
      <c r="K20" s="397" t="s">
        <v>226</v>
      </c>
      <c r="L20" s="509">
        <f>+'[3]Mountain Cargo'!$HG$64</f>
        <v>183870</v>
      </c>
      <c r="M20" s="283">
        <f>+'[3]Mountain Cargo'!$GS$64</f>
        <v>131103</v>
      </c>
      <c r="N20" s="510">
        <f>(L20-M20)/M20</f>
        <v>0.40248506899155628</v>
      </c>
      <c r="O20" s="509">
        <f>+SUM('[3]Mountain Cargo'!$HD$64:$HG$64)</f>
        <v>431006</v>
      </c>
      <c r="P20" s="283">
        <f>+SUM('[3]Mountain Cargo'!$GP$64:$GS$64)</f>
        <v>1202705</v>
      </c>
      <c r="Q20" s="491">
        <f t="shared" si="8"/>
        <v>-0.64163614518938561</v>
      </c>
      <c r="R20" s="510">
        <f>O20/$O$33</f>
        <v>3.1314521274259208E-3</v>
      </c>
      <c r="S20" s="19"/>
    </row>
    <row r="21" spans="1:20" ht="14.1" customHeight="1" x14ac:dyDescent="0.2">
      <c r="A21" s="52"/>
      <c r="B21" s="397" t="s">
        <v>177</v>
      </c>
      <c r="C21" s="509">
        <f>+[3]IFL!$HG$19</f>
        <v>36</v>
      </c>
      <c r="D21" s="283">
        <f>+[3]IFL!$GS$19</f>
        <v>28</v>
      </c>
      <c r="E21" s="510">
        <f>(C21-D21)/D21</f>
        <v>0.2857142857142857</v>
      </c>
      <c r="F21" s="509">
        <f>+SUM([3]IFL!$HD$19:$HG$19)</f>
        <v>122</v>
      </c>
      <c r="G21" s="283">
        <f>+SUM([3]IFL!$GP$19:$GS$19)</f>
        <v>129</v>
      </c>
      <c r="H21" s="491">
        <f>(F21-G21)/G21</f>
        <v>-5.4263565891472867E-2</v>
      </c>
      <c r="I21" s="510">
        <f>+F21/$F$33</f>
        <v>2.3344814389590508E-2</v>
      </c>
      <c r="J21" s="476"/>
      <c r="K21" s="397" t="s">
        <v>177</v>
      </c>
      <c r="L21" s="509">
        <f>+[3]IFL!$HG$64</f>
        <v>35595</v>
      </c>
      <c r="M21" s="283">
        <f>+[3]IFL!$GS$64</f>
        <v>34335</v>
      </c>
      <c r="N21" s="510">
        <f>(L21-M21)/M21</f>
        <v>3.669724770642202E-2</v>
      </c>
      <c r="O21" s="509">
        <f>+SUM([3]IFL!$HD$64:$HG$64)</f>
        <v>162324</v>
      </c>
      <c r="P21" s="283">
        <f>+SUM([3]IFL!$GP$64:$GS$64)</f>
        <v>161881</v>
      </c>
      <c r="Q21" s="491">
        <f>(O21-P21)/P21</f>
        <v>2.7365781036687445E-3</v>
      </c>
      <c r="R21" s="510">
        <f>O21/$O$33</f>
        <v>1.1793567494009019E-3</v>
      </c>
      <c r="S21" s="19"/>
    </row>
    <row r="22" spans="1:20" ht="14.1" customHeight="1" x14ac:dyDescent="0.2">
      <c r="A22" s="322"/>
      <c r="B22" s="397" t="s">
        <v>84</v>
      </c>
      <c r="C22" s="509">
        <f>+'[3]CSA Air'!$HG$19</f>
        <v>0</v>
      </c>
      <c r="D22" s="283">
        <f>+'[3]CSA Air'!$GS$19</f>
        <v>0</v>
      </c>
      <c r="E22" s="510" t="e">
        <f>(C22-D22)/D22</f>
        <v>#DIV/0!</v>
      </c>
      <c r="F22" s="509">
        <f>+SUM('[3]CSA Air'!$HD$19:$HG$19)</f>
        <v>0</v>
      </c>
      <c r="G22" s="283">
        <f>+SUM('[3]CSA Air'!$GP$19:$GS$19)</f>
        <v>0</v>
      </c>
      <c r="H22" s="491" t="e">
        <f t="shared" ref="H22" si="9">(F22-G22)/G22</f>
        <v>#DIV/0!</v>
      </c>
      <c r="I22" s="510">
        <f>+F22/$F$33</f>
        <v>0</v>
      </c>
      <c r="J22" s="322"/>
      <c r="K22" s="397" t="s">
        <v>84</v>
      </c>
      <c r="L22" s="509">
        <f>+'[3]CSA Air'!$HG$64</f>
        <v>0</v>
      </c>
      <c r="M22" s="283">
        <f>+'[3]CSA Air'!$GS$64</f>
        <v>0</v>
      </c>
      <c r="N22" s="510" t="e">
        <f>(L22-M22)/M22</f>
        <v>#DIV/0!</v>
      </c>
      <c r="O22" s="509">
        <f>+SUM('[3]CSA Air'!$HD$64:$HG$64)</f>
        <v>0</v>
      </c>
      <c r="P22" s="283">
        <f>+SUM('[3]CSA Air'!$GP$64:$GS$64)</f>
        <v>0</v>
      </c>
      <c r="Q22" s="491" t="e">
        <f t="shared" ref="Q22" si="10">(O22-P22)/P22</f>
        <v>#DIV/0!</v>
      </c>
      <c r="R22" s="510">
        <f>O22/$O$33</f>
        <v>0</v>
      </c>
      <c r="S22" s="19"/>
    </row>
    <row r="23" spans="1:20" ht="14.1" customHeight="1" x14ac:dyDescent="0.2">
      <c r="A23" s="322"/>
      <c r="B23" s="54"/>
      <c r="C23" s="477"/>
      <c r="D23" s="469"/>
      <c r="E23" s="478"/>
      <c r="F23" s="477"/>
      <c r="G23" s="469"/>
      <c r="H23" s="479"/>
      <c r="I23" s="478"/>
      <c r="J23" s="322"/>
      <c r="K23" s="54"/>
      <c r="L23" s="451"/>
      <c r="N23" s="83"/>
      <c r="O23" s="451"/>
      <c r="P23" s="469"/>
      <c r="Q23" s="3"/>
      <c r="R23" s="83"/>
      <c r="S23" s="387"/>
    </row>
    <row r="24" spans="1:20" ht="14.1" customHeight="1" x14ac:dyDescent="0.2">
      <c r="A24" s="322"/>
      <c r="B24" s="54"/>
      <c r="C24" s="477"/>
      <c r="D24" s="469"/>
      <c r="E24" s="478"/>
      <c r="F24" s="477"/>
      <c r="G24" s="469"/>
      <c r="H24" s="479"/>
      <c r="I24" s="478"/>
      <c r="J24" s="322"/>
      <c r="K24" s="54"/>
      <c r="L24" s="451"/>
      <c r="N24" s="83"/>
      <c r="O24" s="451"/>
      <c r="P24" s="2"/>
      <c r="Q24" s="3"/>
      <c r="R24" s="83"/>
      <c r="S24" s="299"/>
    </row>
    <row r="25" spans="1:20" s="7" customFormat="1" ht="14.1" customHeight="1" x14ac:dyDescent="0.2">
      <c r="A25" s="322" t="s">
        <v>82</v>
      </c>
      <c r="B25" s="54"/>
      <c r="C25" s="506">
        <f>SUM(C26:C27)</f>
        <v>752</v>
      </c>
      <c r="D25" s="506">
        <f>SUM(D26:D27)</f>
        <v>685</v>
      </c>
      <c r="E25" s="507">
        <f>(C25-D25)/D25</f>
        <v>9.7810218978102187E-2</v>
      </c>
      <c r="F25" s="506">
        <f>SUM(F26:F27)</f>
        <v>2848</v>
      </c>
      <c r="G25" s="506">
        <f>SUM(G26:G27)</f>
        <v>2639</v>
      </c>
      <c r="H25" s="508">
        <f>(F25-G25)/G25</f>
        <v>7.9196665403561961E-2</v>
      </c>
      <c r="I25" s="507">
        <f>+F25/$F$33</f>
        <v>0.54496747034060466</v>
      </c>
      <c r="J25" s="322" t="s">
        <v>82</v>
      </c>
      <c r="K25" s="54"/>
      <c r="L25" s="506">
        <f>SUM(L26:L27)</f>
        <v>14772561</v>
      </c>
      <c r="M25" s="506">
        <f>SUM(M26:M27)</f>
        <v>11016823</v>
      </c>
      <c r="N25" s="507">
        <f>(L25-M25)/M25</f>
        <v>0.34090935290509794</v>
      </c>
      <c r="O25" s="506">
        <f>SUM(O26:O27)</f>
        <v>54103691</v>
      </c>
      <c r="P25" s="506">
        <f>SUM(P26:P27)</f>
        <v>45051320</v>
      </c>
      <c r="Q25" s="508">
        <f>(O25-P25)/P25</f>
        <v>0.20093464520018503</v>
      </c>
      <c r="R25" s="507">
        <f>O25/$O$33</f>
        <v>0.39308760964706907</v>
      </c>
      <c r="S25" s="433"/>
      <c r="T25" s="541"/>
    </row>
    <row r="26" spans="1:20" s="7" customFormat="1" ht="14.1" customHeight="1" x14ac:dyDescent="0.2">
      <c r="A26" s="322"/>
      <c r="B26" s="397" t="s">
        <v>82</v>
      </c>
      <c r="C26" s="509">
        <f>+[3]UPS!$HG$19</f>
        <v>338</v>
      </c>
      <c r="D26" s="283">
        <f>+[3]UPS!$GS$19</f>
        <v>295</v>
      </c>
      <c r="E26" s="510">
        <f>(C26-D26)/D26</f>
        <v>0.14576271186440679</v>
      </c>
      <c r="F26" s="509">
        <f>+SUM([3]UPS!$HD$19:$HG$19)</f>
        <v>1216</v>
      </c>
      <c r="G26" s="283">
        <f>+SUM([3]UPS!$GP$19:$GS$19)</f>
        <v>1065</v>
      </c>
      <c r="H26" s="491">
        <f>(F26-G26)/G26</f>
        <v>0.14178403755868543</v>
      </c>
      <c r="I26" s="510">
        <f>+F26/$F$33</f>
        <v>0.23268274014542673</v>
      </c>
      <c r="J26" s="322"/>
      <c r="K26" s="397" t="s">
        <v>82</v>
      </c>
      <c r="L26" s="509">
        <f>+[3]UPS!$HG$64</f>
        <v>14772561</v>
      </c>
      <c r="M26" s="283">
        <f>+[3]UPS!$GS$64</f>
        <v>11016823</v>
      </c>
      <c r="N26" s="510">
        <f>(L26-M26)/M26</f>
        <v>0.34090935290509794</v>
      </c>
      <c r="O26" s="509">
        <f>+SUM([3]UPS!$HD$64:$HG$64)</f>
        <v>54103691</v>
      </c>
      <c r="P26" s="283">
        <f>+SUM([3]UPS!$GP$64:$GS$64)</f>
        <v>45051320</v>
      </c>
      <c r="Q26" s="491">
        <f>(O26-P26)/P26</f>
        <v>0.20093464520018503</v>
      </c>
      <c r="R26" s="510">
        <f>O26/$O$33</f>
        <v>0.39308760964706907</v>
      </c>
      <c r="S26" s="433"/>
      <c r="T26" s="541"/>
    </row>
    <row r="27" spans="1:20" x14ac:dyDescent="0.2">
      <c r="A27" s="322"/>
      <c r="B27" s="397" t="s">
        <v>83</v>
      </c>
      <c r="C27" s="509">
        <f>+[3]Bemidji!$HG$19</f>
        <v>414</v>
      </c>
      <c r="D27" s="283">
        <f>+[3]Bemidji!$GS$19</f>
        <v>390</v>
      </c>
      <c r="E27" s="510">
        <f>(C27-D27)/D27</f>
        <v>6.1538461538461542E-2</v>
      </c>
      <c r="F27" s="509">
        <f>+SUM([3]Bemidji!$HD$19:$HG$19)</f>
        <v>1632</v>
      </c>
      <c r="G27" s="283">
        <f>+SUM([3]Bemidji!$GP$19:$GS$19)</f>
        <v>1574</v>
      </c>
      <c r="H27" s="491">
        <f t="shared" ref="H27" si="11">(F27-G27)/G27</f>
        <v>3.6848792884371026E-2</v>
      </c>
      <c r="I27" s="510">
        <f>+F27/$F$33</f>
        <v>0.31228473019517794</v>
      </c>
      <c r="J27" s="322"/>
      <c r="K27" s="397" t="s">
        <v>83</v>
      </c>
      <c r="L27" s="571" t="s">
        <v>188</v>
      </c>
      <c r="M27" s="572"/>
      <c r="N27" s="572"/>
      <c r="O27" s="572"/>
      <c r="P27" s="572"/>
      <c r="Q27" s="572"/>
      <c r="R27" s="573"/>
    </row>
    <row r="28" spans="1:20" s="436" customFormat="1" x14ac:dyDescent="0.2">
      <c r="A28" s="52"/>
      <c r="B28" s="54"/>
      <c r="C28" s="477"/>
      <c r="D28" s="2"/>
      <c r="E28" s="83"/>
      <c r="F28" s="451"/>
      <c r="G28" s="2"/>
      <c r="H28" s="3"/>
      <c r="I28" s="83"/>
      <c r="J28" s="52"/>
      <c r="K28" s="54"/>
      <c r="L28" s="451"/>
      <c r="M28" s="2"/>
      <c r="N28" s="83"/>
      <c r="O28" s="451"/>
      <c r="P28" s="2"/>
      <c r="Q28" s="3"/>
      <c r="R28" s="83"/>
      <c r="T28" s="539"/>
    </row>
    <row r="29" spans="1:20" x14ac:dyDescent="0.2">
      <c r="A29" s="322" t="s">
        <v>127</v>
      </c>
      <c r="B29" s="54"/>
      <c r="C29" s="512">
        <f>+'[3]Misc Cargo'!$HG$19</f>
        <v>2</v>
      </c>
      <c r="D29" s="506">
        <f>+'[3]Misc Cargo'!$GS$19</f>
        <v>0</v>
      </c>
      <c r="E29" s="507" t="e">
        <f>(C29-D29)/D29</f>
        <v>#DIV/0!</v>
      </c>
      <c r="F29" s="512">
        <f>+SUM('[3]Misc Cargo'!$HD$19:$HG$19)</f>
        <v>4</v>
      </c>
      <c r="G29" s="506">
        <f>+SUM('[3]Misc Cargo'!$GP$19:$GS$19)</f>
        <v>9</v>
      </c>
      <c r="H29" s="508">
        <f>(F29-G29)/G29</f>
        <v>-0.55555555555555558</v>
      </c>
      <c r="I29" s="507">
        <f>+F29/$F$33</f>
        <v>7.6540375047837736E-4</v>
      </c>
      <c r="J29" s="322" t="s">
        <v>127</v>
      </c>
      <c r="K29" s="54"/>
      <c r="L29" s="512">
        <f>+'[3]Misc Cargo'!$HG$64</f>
        <v>1744</v>
      </c>
      <c r="M29" s="506">
        <f>+'[3]Misc Cargo'!$GS$64</f>
        <v>0</v>
      </c>
      <c r="N29" s="507" t="e">
        <f>(L29-M29)/M29</f>
        <v>#DIV/0!</v>
      </c>
      <c r="O29" s="512">
        <f>+SUM('[3]Misc Cargo'!$HD$64:$HG$64)</f>
        <v>4526</v>
      </c>
      <c r="P29" s="506">
        <f>+SUM('[3]Misc Cargo'!$GP$64:$GS$64)</f>
        <v>264695</v>
      </c>
      <c r="Q29" s="508">
        <f>(O29-P29)/P29</f>
        <v>-0.98290107482196487</v>
      </c>
      <c r="R29" s="507">
        <f>O29/$O$33</f>
        <v>3.2883422339201118E-5</v>
      </c>
    </row>
    <row r="30" spans="1:20" x14ac:dyDescent="0.2">
      <c r="A30" s="52"/>
      <c r="B30" s="54"/>
      <c r="C30" s="477"/>
      <c r="E30" s="83"/>
      <c r="F30" s="451"/>
      <c r="I30" s="83"/>
      <c r="J30" s="52"/>
      <c r="K30" s="54"/>
      <c r="L30" s="451"/>
      <c r="N30" s="83"/>
      <c r="O30" s="451"/>
      <c r="P30" s="2"/>
      <c r="Q30" s="3"/>
      <c r="R30" s="83"/>
    </row>
    <row r="31" spans="1:20" ht="13.5" thickBot="1" x14ac:dyDescent="0.25">
      <c r="A31" s="434"/>
      <c r="B31" s="513"/>
      <c r="C31" s="514"/>
      <c r="D31" s="515"/>
      <c r="E31" s="516"/>
      <c r="F31" s="514"/>
      <c r="G31" s="515"/>
      <c r="H31" s="517"/>
      <c r="I31" s="516"/>
      <c r="J31" s="322"/>
      <c r="K31" s="54"/>
      <c r="L31" s="518"/>
      <c r="M31" s="340"/>
      <c r="N31" s="519"/>
      <c r="O31" s="518"/>
      <c r="P31" s="340"/>
      <c r="Q31" s="520"/>
      <c r="R31" s="513"/>
    </row>
    <row r="32" spans="1:20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437" t="s">
        <v>186</v>
      </c>
      <c r="C33" s="438">
        <f>+C29+C25+C18+C9+C5</f>
        <v>1445</v>
      </c>
      <c r="D33" s="438">
        <f>+D29+D25+D18+D9+D5</f>
        <v>1193</v>
      </c>
      <c r="E33" s="439">
        <f>(C33-D33)/D33</f>
        <v>0.21123218776194469</v>
      </c>
      <c r="F33" s="438">
        <f>+F29+F25+F18+F9+F5</f>
        <v>5226</v>
      </c>
      <c r="G33" s="438">
        <f>+G29+G25+G18+G9+G5</f>
        <v>4640</v>
      </c>
      <c r="H33" s="440">
        <f>(F33-G33)/G33</f>
        <v>0.12629310344827585</v>
      </c>
      <c r="I33" s="455"/>
      <c r="J33"/>
      <c r="K33" s="437" t="s">
        <v>186</v>
      </c>
      <c r="L33" s="438">
        <f>+L29+L25+L18+L9+L5</f>
        <v>39732427</v>
      </c>
      <c r="M33" s="438">
        <f>+M29+M25+M18+M9+M5</f>
        <v>32098620</v>
      </c>
      <c r="N33" s="441">
        <f>(L33-M33)/M33</f>
        <v>0.23782352636966947</v>
      </c>
      <c r="O33" s="438">
        <f>+O29+O25+O18+O9+O5</f>
        <v>137637742</v>
      </c>
      <c r="P33" s="438">
        <f>+P29+P25+P18+P9+P5</f>
        <v>125292675</v>
      </c>
      <c r="Q33" s="440">
        <f t="shared" ref="Q33" si="12">(O33-P33)/P33</f>
        <v>9.8529838236752473E-2</v>
      </c>
      <c r="R33" s="455"/>
    </row>
    <row r="34" spans="2:18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E98" s="36"/>
      <c r="F98" s="204"/>
      <c r="G98" s="5"/>
      <c r="H98" s="36"/>
      <c r="I98" s="36"/>
      <c r="K98" s="11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1048576" spans="20:20" x14ac:dyDescent="0.2">
      <c r="T1048576" s="539">
        <f>SUM(T1:T1048575)</f>
        <v>0</v>
      </c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55" fitToHeight="0" orientation="landscape" r:id="rId1"/>
  <headerFooter>
    <oddHeader>&amp;CMinneapolis-St. Paul International Airport&amp;"Arial,Bold"
Cargo YTD
April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2022-01-12T20:32:42Z</dcterms:modified>
</cp:coreProperties>
</file>