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3BDCCE05-1B1E-4FAD-9540-867D88A24C5E}" xr6:coauthVersionLast="47" xr6:coauthVersionMax="47" xr10:uidLastSave="{00000000-0000-0000-0000-000000000000}"/>
  <bookViews>
    <workbookView xWindow="27705" yWindow="390" windowWidth="20445" windowHeight="13845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Cargo!$A$1:$Q$37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B21" i="1"/>
  <c r="E27" i="8"/>
  <c r="E26" i="8"/>
  <c r="E28" i="8" s="1"/>
  <c r="E22" i="8"/>
  <c r="E21" i="8"/>
  <c r="E17" i="8"/>
  <c r="E16" i="8"/>
  <c r="E5" i="8"/>
  <c r="E4" i="8"/>
  <c r="E6" i="8" s="1"/>
  <c r="E12" i="8" s="1"/>
  <c r="E10" i="8"/>
  <c r="P13" i="17"/>
  <c r="O13" i="17"/>
  <c r="Q13" i="17" s="1"/>
  <c r="M13" i="17"/>
  <c r="L13" i="17"/>
  <c r="G13" i="17"/>
  <c r="F13" i="17"/>
  <c r="D13" i="17"/>
  <c r="C13" i="17"/>
  <c r="E18" i="8" l="1"/>
  <c r="E13" i="17"/>
  <c r="E23" i="8"/>
  <c r="N13" i="17"/>
  <c r="E32" i="8"/>
  <c r="H13" i="17"/>
  <c r="E33" i="8"/>
  <c r="E31" i="8"/>
  <c r="B37" i="1" l="1"/>
  <c r="B36" i="1"/>
  <c r="Y65" i="9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D27" i="8"/>
  <c r="D26" i="8"/>
  <c r="D22" i="8"/>
  <c r="D21" i="8"/>
  <c r="D17" i="8"/>
  <c r="D16" i="8"/>
  <c r="D5" i="8"/>
  <c r="D4" i="8"/>
  <c r="D10" i="8"/>
  <c r="P30" i="17"/>
  <c r="M30" i="17"/>
  <c r="G30" i="17"/>
  <c r="D30" i="17"/>
  <c r="G28" i="17"/>
  <c r="D28" i="17"/>
  <c r="P27" i="17"/>
  <c r="M27" i="17"/>
  <c r="G27" i="17"/>
  <c r="D27" i="17"/>
  <c r="P23" i="17"/>
  <c r="M23" i="17"/>
  <c r="G23" i="17"/>
  <c r="D23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7" i="17"/>
  <c r="M17" i="17"/>
  <c r="G17" i="17"/>
  <c r="D17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30" i="17"/>
  <c r="L30" i="17"/>
  <c r="F30" i="17"/>
  <c r="C30" i="17"/>
  <c r="F28" i="17"/>
  <c r="C28" i="17"/>
  <c r="O27" i="17"/>
  <c r="L27" i="17"/>
  <c r="F27" i="17"/>
  <c r="C27" i="17"/>
  <c r="O23" i="17"/>
  <c r="L23" i="17"/>
  <c r="F23" i="17"/>
  <c r="C23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7" i="17"/>
  <c r="L17" i="17"/>
  <c r="F17" i="17"/>
  <c r="C17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2" i="17"/>
  <c r="L12" i="17"/>
  <c r="F12" i="17"/>
  <c r="C12" i="17"/>
  <c r="O11" i="17"/>
  <c r="L11" i="17"/>
  <c r="F11" i="17"/>
  <c r="C11" i="17"/>
  <c r="O10" i="17"/>
  <c r="L10" i="17"/>
  <c r="L9" i="17" s="1"/>
  <c r="F10" i="17"/>
  <c r="C10" i="17"/>
  <c r="O7" i="17"/>
  <c r="L7" i="17"/>
  <c r="F7" i="17"/>
  <c r="C7" i="17"/>
  <c r="O6" i="17"/>
  <c r="L6" i="17"/>
  <c r="F6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Q27" i="8"/>
  <c r="P27" i="8"/>
  <c r="O27" i="8"/>
  <c r="N27" i="8"/>
  <c r="M27" i="8"/>
  <c r="L27" i="8"/>
  <c r="K27" i="8"/>
  <c r="J27" i="8"/>
  <c r="I27" i="8"/>
  <c r="H27" i="8"/>
  <c r="G27" i="8"/>
  <c r="C27" i="8"/>
  <c r="B27" i="8"/>
  <c r="Q26" i="8"/>
  <c r="P26" i="8"/>
  <c r="O26" i="8"/>
  <c r="N26" i="8"/>
  <c r="M26" i="8"/>
  <c r="L26" i="8"/>
  <c r="K26" i="8"/>
  <c r="J26" i="8"/>
  <c r="I26" i="8"/>
  <c r="H26" i="8"/>
  <c r="G26" i="8"/>
  <c r="C26" i="8"/>
  <c r="B26" i="8"/>
  <c r="Q22" i="8"/>
  <c r="P22" i="8"/>
  <c r="O22" i="8"/>
  <c r="N22" i="8"/>
  <c r="M22" i="8"/>
  <c r="L22" i="8"/>
  <c r="K22" i="8"/>
  <c r="J22" i="8"/>
  <c r="I22" i="8"/>
  <c r="H22" i="8"/>
  <c r="G22" i="8"/>
  <c r="C22" i="8"/>
  <c r="B22" i="8"/>
  <c r="Q21" i="8"/>
  <c r="P21" i="8"/>
  <c r="O21" i="8"/>
  <c r="N21" i="8"/>
  <c r="M21" i="8"/>
  <c r="L21" i="8"/>
  <c r="K21" i="8"/>
  <c r="J21" i="8"/>
  <c r="I21" i="8"/>
  <c r="H21" i="8"/>
  <c r="G21" i="8"/>
  <c r="C21" i="8"/>
  <c r="B21" i="8"/>
  <c r="Q17" i="8"/>
  <c r="P17" i="8"/>
  <c r="O17" i="8"/>
  <c r="N17" i="8"/>
  <c r="M17" i="8"/>
  <c r="L17" i="8"/>
  <c r="K17" i="8"/>
  <c r="J17" i="8"/>
  <c r="I17" i="8"/>
  <c r="H17" i="8"/>
  <c r="G17" i="8"/>
  <c r="C17" i="8"/>
  <c r="B17" i="8"/>
  <c r="Q16" i="8"/>
  <c r="P16" i="8"/>
  <c r="O16" i="8"/>
  <c r="N16" i="8"/>
  <c r="M16" i="8"/>
  <c r="L16" i="8"/>
  <c r="K16" i="8"/>
  <c r="J16" i="8"/>
  <c r="I16" i="8"/>
  <c r="H16" i="8"/>
  <c r="G16" i="8"/>
  <c r="C16" i="8"/>
  <c r="B16" i="8"/>
  <c r="Q9" i="8"/>
  <c r="Q8" i="8"/>
  <c r="Q5" i="8"/>
  <c r="P5" i="8"/>
  <c r="O5" i="8"/>
  <c r="N5" i="8"/>
  <c r="M5" i="8"/>
  <c r="L5" i="8"/>
  <c r="K5" i="8"/>
  <c r="J5" i="8"/>
  <c r="I5" i="8"/>
  <c r="H5" i="8"/>
  <c r="G5" i="8"/>
  <c r="F5" i="8"/>
  <c r="C5" i="8"/>
  <c r="B5" i="8"/>
  <c r="Q4" i="8"/>
  <c r="P4" i="8"/>
  <c r="O4" i="8"/>
  <c r="N4" i="8"/>
  <c r="M4" i="8"/>
  <c r="L4" i="8"/>
  <c r="K4" i="8"/>
  <c r="J4" i="8"/>
  <c r="I4" i="8"/>
  <c r="H4" i="8"/>
  <c r="G4" i="8"/>
  <c r="F4" i="8"/>
  <c r="C4" i="8"/>
  <c r="B4" i="8"/>
  <c r="M27" i="7"/>
  <c r="L27" i="7"/>
  <c r="O28" i="7"/>
  <c r="J28" i="7"/>
  <c r="E28" i="7"/>
  <c r="C27" i="7"/>
  <c r="B27" i="7"/>
  <c r="E27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D11" i="15"/>
  <c r="C11" i="15"/>
  <c r="B11" i="15"/>
  <c r="J10" i="15"/>
  <c r="I10" i="15"/>
  <c r="H10" i="15"/>
  <c r="G10" i="15"/>
  <c r="F10" i="15"/>
  <c r="E10" i="15"/>
  <c r="D10" i="15"/>
  <c r="C10" i="15"/>
  <c r="B10" i="15"/>
  <c r="J6" i="15"/>
  <c r="I6" i="15"/>
  <c r="H6" i="15"/>
  <c r="G6" i="15"/>
  <c r="F6" i="15"/>
  <c r="E6" i="15"/>
  <c r="D6" i="15"/>
  <c r="C6" i="15"/>
  <c r="B6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R22" i="8" l="1"/>
  <c r="R17" i="8"/>
  <c r="R16" i="8"/>
  <c r="R21" i="8"/>
  <c r="D23" i="8"/>
  <c r="G27" i="7"/>
  <c r="R27" i="8"/>
  <c r="D6" i="8"/>
  <c r="D12" i="8" s="1"/>
  <c r="D18" i="8"/>
  <c r="R26" i="8"/>
  <c r="D31" i="8"/>
  <c r="D28" i="8"/>
  <c r="G69" i="9"/>
  <c r="D27" i="7"/>
  <c r="D32" i="8"/>
  <c r="N27" i="7"/>
  <c r="H27" i="7"/>
  <c r="I27" i="7" l="1"/>
  <c r="D33" i="8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D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O27" i="7" l="1"/>
  <c r="O26" i="7"/>
  <c r="M26" i="7"/>
  <c r="L26" i="7"/>
  <c r="J27" i="7"/>
  <c r="J26" i="7"/>
  <c r="C26" i="7"/>
  <c r="B26" i="7"/>
  <c r="K16" i="3" l="1"/>
  <c r="K17" i="3"/>
  <c r="K20" i="3"/>
  <c r="K21" i="3"/>
  <c r="D26" i="7"/>
  <c r="N26" i="7"/>
  <c r="H26" i="7"/>
  <c r="G26" i="7"/>
  <c r="I26" i="7" l="1"/>
  <c r="M25" i="7" l="1"/>
  <c r="L25" i="7"/>
  <c r="E26" i="7"/>
  <c r="C25" i="7"/>
  <c r="B25" i="7"/>
  <c r="D25" i="7" l="1"/>
  <c r="N25" i="7"/>
  <c r="K17" i="4"/>
  <c r="H17" i="4"/>
  <c r="M24" i="7"/>
  <c r="L24" i="7"/>
  <c r="O25" i="7"/>
  <c r="J25" i="7"/>
  <c r="E25" i="7"/>
  <c r="E24" i="7"/>
  <c r="C24" i="7"/>
  <c r="B24" i="7"/>
  <c r="D24" i="7" l="1"/>
  <c r="N24" i="7"/>
  <c r="J24" i="7"/>
  <c r="O24" i="7"/>
  <c r="O23" i="7"/>
  <c r="M23" i="7"/>
  <c r="L23" i="7"/>
  <c r="E23" i="7"/>
  <c r="C23" i="7"/>
  <c r="B23" i="7"/>
  <c r="M22" i="7"/>
  <c r="L22" i="7"/>
  <c r="N23" i="7" l="1"/>
  <c r="D23" i="7"/>
  <c r="N22" i="7"/>
  <c r="J23" i="7" l="1"/>
  <c r="E22" i="7"/>
  <c r="C22" i="7"/>
  <c r="B22" i="7"/>
  <c r="T1048576" i="17"/>
  <c r="M21" i="7" l="1"/>
  <c r="L21" i="7"/>
  <c r="C21" i="7"/>
  <c r="B21" i="7"/>
  <c r="O22" i="7"/>
  <c r="J22" i="7"/>
  <c r="N21" i="7" l="1"/>
  <c r="E12" i="3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41" i="15"/>
  <c r="E17" i="15"/>
  <c r="E7" i="15" l="1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20" i="17"/>
  <c r="P26" i="17"/>
  <c r="M26" i="17"/>
  <c r="H15" i="17"/>
  <c r="E30" i="17"/>
  <c r="L26" i="17"/>
  <c r="N23" i="17"/>
  <c r="N17" i="17"/>
  <c r="Q15" i="17"/>
  <c r="N15" i="17"/>
  <c r="N12" i="17"/>
  <c r="Q10" i="17"/>
  <c r="J3" i="17"/>
  <c r="J23" i="8"/>
  <c r="C18" i="8"/>
  <c r="R9" i="8"/>
  <c r="R8" i="8"/>
  <c r="F33" i="8"/>
  <c r="P10" i="8"/>
  <c r="O10" i="8"/>
  <c r="N10" i="8"/>
  <c r="M10" i="8"/>
  <c r="L10" i="8"/>
  <c r="K10" i="8"/>
  <c r="J10" i="8"/>
  <c r="I10" i="8"/>
  <c r="H10" i="8"/>
  <c r="G10" i="8"/>
  <c r="F10" i="8"/>
  <c r="C10" i="8"/>
  <c r="B10" i="8"/>
  <c r="Q23" i="17" l="1"/>
  <c r="N10" i="17"/>
  <c r="P5" i="17"/>
  <c r="I6" i="8"/>
  <c r="I12" i="8" s="1"/>
  <c r="Q6" i="8"/>
  <c r="L23" i="8"/>
  <c r="J28" i="8"/>
  <c r="K6" i="8"/>
  <c r="K12" i="8" s="1"/>
  <c r="N18" i="8"/>
  <c r="M30" i="16"/>
  <c r="B6" i="8"/>
  <c r="B12" i="8" s="1"/>
  <c r="L6" i="8"/>
  <c r="L12" i="8" s="1"/>
  <c r="R5" i="8"/>
  <c r="C19" i="1" s="1"/>
  <c r="G18" i="8"/>
  <c r="O31" i="8"/>
  <c r="B23" i="8"/>
  <c r="R23" i="8" s="1"/>
  <c r="M23" i="8"/>
  <c r="K28" i="8"/>
  <c r="N32" i="8"/>
  <c r="H10" i="17"/>
  <c r="C6" i="8"/>
  <c r="C12" i="8" s="1"/>
  <c r="M6" i="8"/>
  <c r="M12" i="8" s="1"/>
  <c r="H18" i="8"/>
  <c r="C23" i="8"/>
  <c r="Q23" i="8"/>
  <c r="O32" i="8"/>
  <c r="P9" i="17"/>
  <c r="M19" i="17"/>
  <c r="M9" i="17"/>
  <c r="L18" i="8"/>
  <c r="H28" i="8"/>
  <c r="E6" i="17"/>
  <c r="E12" i="17"/>
  <c r="E15" i="17"/>
  <c r="E17" i="17"/>
  <c r="E23" i="17"/>
  <c r="E28" i="17"/>
  <c r="F9" i="17"/>
  <c r="G26" i="17"/>
  <c r="N14" i="17"/>
  <c r="C9" i="17"/>
  <c r="J6" i="8"/>
  <c r="J12" i="8" s="1"/>
  <c r="C19" i="17"/>
  <c r="H23" i="17"/>
  <c r="F6" i="8"/>
  <c r="F12" i="8" s="1"/>
  <c r="I18" i="8"/>
  <c r="Q18" i="8"/>
  <c r="G23" i="8"/>
  <c r="O23" i="8"/>
  <c r="M28" i="8"/>
  <c r="P28" i="8"/>
  <c r="F19" i="17"/>
  <c r="G6" i="8"/>
  <c r="G12" i="8" s="1"/>
  <c r="O6" i="8"/>
  <c r="O12" i="8" s="1"/>
  <c r="J18" i="8"/>
  <c r="D6" i="5"/>
  <c r="H23" i="8"/>
  <c r="P23" i="8"/>
  <c r="K32" i="8"/>
  <c r="C31" i="8"/>
  <c r="N31" i="8"/>
  <c r="I32" i="8"/>
  <c r="Q28" i="8"/>
  <c r="L5" i="17"/>
  <c r="D5" i="17"/>
  <c r="D9" i="17"/>
  <c r="D19" i="17"/>
  <c r="E19" i="17" s="1"/>
  <c r="D26" i="17"/>
  <c r="M6" i="16"/>
  <c r="G9" i="17"/>
  <c r="G19" i="17"/>
  <c r="Q20" i="17"/>
  <c r="K23" i="8"/>
  <c r="B32" i="8"/>
  <c r="N6" i="8"/>
  <c r="N12" i="8" s="1"/>
  <c r="J32" i="8"/>
  <c r="B31" i="8"/>
  <c r="N6" i="17"/>
  <c r="E7" i="17"/>
  <c r="E14" i="17"/>
  <c r="E16" i="17"/>
  <c r="E22" i="17"/>
  <c r="E27" i="17"/>
  <c r="N30" i="17"/>
  <c r="N7" i="17"/>
  <c r="N16" i="17"/>
  <c r="N22" i="17"/>
  <c r="O18" i="8"/>
  <c r="H6" i="8"/>
  <c r="H12" i="8" s="1"/>
  <c r="P6" i="8"/>
  <c r="P12" i="8" s="1"/>
  <c r="K18" i="8"/>
  <c r="I23" i="8"/>
  <c r="G31" i="8"/>
  <c r="O28" i="8"/>
  <c r="O5" i="17"/>
  <c r="I28" i="8"/>
  <c r="Q32" i="8"/>
  <c r="M18" i="8"/>
  <c r="P18" i="8"/>
  <c r="N23" i="8"/>
  <c r="L32" i="8"/>
  <c r="M11" i="16"/>
  <c r="M37" i="16"/>
  <c r="L31" i="8"/>
  <c r="G32" i="8"/>
  <c r="M32" i="8"/>
  <c r="M5" i="17"/>
  <c r="P19" i="17"/>
  <c r="Q14" i="17"/>
  <c r="N11" i="17"/>
  <c r="N20" i="17"/>
  <c r="N26" i="17"/>
  <c r="E20" i="17"/>
  <c r="H14" i="17"/>
  <c r="N21" i="17"/>
  <c r="N27" i="17"/>
  <c r="Q30" i="17"/>
  <c r="C5" i="17"/>
  <c r="Q7" i="17"/>
  <c r="E11" i="17"/>
  <c r="Q12" i="17"/>
  <c r="Q17" i="17"/>
  <c r="E21" i="17"/>
  <c r="Q22" i="17"/>
  <c r="C26" i="17"/>
  <c r="H30" i="17"/>
  <c r="H7" i="17"/>
  <c r="H12" i="17"/>
  <c r="H17" i="17"/>
  <c r="L19" i="17"/>
  <c r="L34" i="17" s="1"/>
  <c r="H22" i="17"/>
  <c r="H28" i="17"/>
  <c r="Q6" i="17"/>
  <c r="E10" i="17"/>
  <c r="Q11" i="17"/>
  <c r="Q16" i="17"/>
  <c r="Q21" i="17"/>
  <c r="O26" i="17"/>
  <c r="Q27" i="17"/>
  <c r="F5" i="17"/>
  <c r="H6" i="17"/>
  <c r="H11" i="17"/>
  <c r="H16" i="17"/>
  <c r="H21" i="17"/>
  <c r="F26" i="17"/>
  <c r="H27" i="17"/>
  <c r="O9" i="17"/>
  <c r="O19" i="17"/>
  <c r="C32" i="8"/>
  <c r="B28" i="8"/>
  <c r="L28" i="8"/>
  <c r="P32" i="8"/>
  <c r="H32" i="8"/>
  <c r="C28" i="8"/>
  <c r="Q10" i="8"/>
  <c r="R10" i="8" s="1"/>
  <c r="G28" i="8"/>
  <c r="M31" i="8"/>
  <c r="N28" i="8"/>
  <c r="R4" i="8"/>
  <c r="B19" i="1" s="1"/>
  <c r="D16" i="5"/>
  <c r="D15" i="5"/>
  <c r="H31" i="8"/>
  <c r="P31" i="8"/>
  <c r="I31" i="8"/>
  <c r="Q31" i="8"/>
  <c r="J31" i="8"/>
  <c r="B18" i="8"/>
  <c r="K31" i="8"/>
  <c r="M18" i="16"/>
  <c r="M23" i="16"/>
  <c r="R18" i="8" l="1"/>
  <c r="R31" i="8"/>
  <c r="R32" i="8"/>
  <c r="R28" i="8"/>
  <c r="Q5" i="17"/>
  <c r="P34" i="17"/>
  <c r="N19" i="17"/>
  <c r="H9" i="17"/>
  <c r="Q33" i="8"/>
  <c r="H33" i="8"/>
  <c r="J33" i="8"/>
  <c r="N9" i="17"/>
  <c r="M33" i="8"/>
  <c r="K33" i="8"/>
  <c r="P33" i="8"/>
  <c r="C33" i="8"/>
  <c r="N33" i="8"/>
  <c r="L33" i="8"/>
  <c r="G33" i="8"/>
  <c r="D34" i="17"/>
  <c r="R6" i="8"/>
  <c r="I33" i="8"/>
  <c r="E9" i="17"/>
  <c r="G34" i="17"/>
  <c r="H19" i="17"/>
  <c r="E5" i="17"/>
  <c r="N5" i="17"/>
  <c r="D10" i="5"/>
  <c r="O33" i="8"/>
  <c r="D11" i="5"/>
  <c r="D5" i="5"/>
  <c r="M34" i="17"/>
  <c r="O34" i="17"/>
  <c r="Q19" i="17"/>
  <c r="H26" i="17"/>
  <c r="E26" i="17"/>
  <c r="C34" i="17"/>
  <c r="Q9" i="17"/>
  <c r="F34" i="17"/>
  <c r="H5" i="17"/>
  <c r="Q26" i="17"/>
  <c r="Q12" i="8"/>
  <c r="R12" i="8" s="1"/>
  <c r="B33" i="8"/>
  <c r="Q52" i="9"/>
  <c r="E52" i="9"/>
  <c r="N52" i="9"/>
  <c r="H52" i="9"/>
  <c r="R33" i="8" l="1"/>
  <c r="R23" i="17"/>
  <c r="R13" i="17"/>
  <c r="I26" i="17"/>
  <c r="I13" i="17"/>
  <c r="E34" i="17"/>
  <c r="R9" i="17"/>
  <c r="R11" i="17"/>
  <c r="R21" i="17"/>
  <c r="Q34" i="17"/>
  <c r="N34" i="17"/>
  <c r="R22" i="17"/>
  <c r="R27" i="17"/>
  <c r="R17" i="17"/>
  <c r="R10" i="17"/>
  <c r="R26" i="17"/>
  <c r="R16" i="17"/>
  <c r="R15" i="17"/>
  <c r="R6" i="17"/>
  <c r="R5" i="17"/>
  <c r="R20" i="17"/>
  <c r="R19" i="17"/>
  <c r="R12" i="17"/>
  <c r="R14" i="17"/>
  <c r="R7" i="17"/>
  <c r="R30" i="17"/>
  <c r="I5" i="17"/>
  <c r="I15" i="17"/>
  <c r="I20" i="17"/>
  <c r="H34" i="17"/>
  <c r="I10" i="17"/>
  <c r="I16" i="17"/>
  <c r="I23" i="17"/>
  <c r="I7" i="17"/>
  <c r="I19" i="17"/>
  <c r="I17" i="17"/>
  <c r="I27" i="17"/>
  <c r="I11" i="17"/>
  <c r="I6" i="17"/>
  <c r="I21" i="17"/>
  <c r="I12" i="17"/>
  <c r="I14" i="17"/>
  <c r="I28" i="17"/>
  <c r="I22" i="17"/>
  <c r="I9" i="17"/>
  <c r="I30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G70" i="9" l="1"/>
  <c r="G68" i="9" s="1"/>
  <c r="P70" i="9"/>
  <c r="P68" i="9" s="1"/>
  <c r="L70" i="9"/>
  <c r="L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B46" i="4"/>
  <c r="B47" i="4" s="1"/>
  <c r="B44" i="3"/>
  <c r="D44" i="2"/>
  <c r="N18" i="16"/>
  <c r="D6" i="16"/>
  <c r="C7" i="7"/>
  <c r="H18" i="3"/>
  <c r="I20" i="15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20" i="1" s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J19" i="2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J15" i="2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J20" i="2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J16" i="2"/>
  <c r="K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8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G21" i="1" l="1"/>
  <c r="K18" i="3"/>
  <c r="C28" i="7"/>
  <c r="K22" i="3"/>
  <c r="F24" i="7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D33" i="1" s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E23" i="2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I16" i="5" s="1"/>
  <c r="C16" i="1"/>
  <c r="C42" i="4"/>
  <c r="B45" i="3"/>
  <c r="K43" i="3"/>
  <c r="D28" i="7" l="1"/>
  <c r="F28" i="7" s="1"/>
  <c r="G18" i="1"/>
  <c r="G7" i="1"/>
  <c r="G19" i="1"/>
  <c r="K23" i="3"/>
  <c r="F27" i="7"/>
  <c r="F26" i="7"/>
  <c r="F25" i="7"/>
  <c r="F23" i="7"/>
  <c r="D22" i="7"/>
  <c r="F22" i="7" s="1"/>
  <c r="F18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K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J23" i="2"/>
  <c r="K23" i="2" s="1"/>
  <c r="B33" i="7"/>
  <c r="L42" i="4"/>
  <c r="M42" i="4" s="1"/>
  <c r="K42" i="15"/>
  <c r="B17" i="1"/>
  <c r="D17" i="1" s="1"/>
  <c r="G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G6" i="1" l="1"/>
  <c r="G5" i="1"/>
  <c r="G16" i="1"/>
  <c r="I7" i="1"/>
  <c r="I19" i="1"/>
  <c r="B20" i="5"/>
  <c r="E20" i="5" s="1"/>
  <c r="D10" i="1"/>
  <c r="E6" i="5"/>
  <c r="F6" i="5" s="1"/>
  <c r="I6" i="5" s="1"/>
  <c r="E10" i="5"/>
  <c r="F10" i="5" s="1"/>
  <c r="I10" i="5" s="1"/>
  <c r="B21" i="5"/>
  <c r="F5" i="1"/>
  <c r="I18" i="1"/>
  <c r="D8" i="1"/>
  <c r="F8" i="1" s="1"/>
  <c r="F6" i="1"/>
  <c r="C11" i="1"/>
  <c r="B32" i="1"/>
  <c r="D32" i="1" s="1"/>
  <c r="B11" i="1"/>
  <c r="L28" i="7" s="1"/>
  <c r="D33" i="7"/>
  <c r="D28" i="1"/>
  <c r="G28" i="1" s="1"/>
  <c r="B22" i="1"/>
  <c r="B29" i="1"/>
  <c r="C12" i="5"/>
  <c r="C21" i="5"/>
  <c r="E11" i="5"/>
  <c r="F11" i="5" s="1"/>
  <c r="I11" i="5" s="1"/>
  <c r="C29" i="1"/>
  <c r="F5" i="5"/>
  <c r="I5" i="5" s="1"/>
  <c r="F16" i="1"/>
  <c r="D22" i="1"/>
  <c r="F22" i="1" s="1"/>
  <c r="D22" i="5"/>
  <c r="F15" i="5"/>
  <c r="I15" i="5" s="1"/>
  <c r="E17" i="5"/>
  <c r="D27" i="1" s="1"/>
  <c r="G27" i="1" s="1"/>
  <c r="F17" i="1"/>
  <c r="G10" i="1" l="1"/>
  <c r="M28" i="7"/>
  <c r="H28" i="7" s="1"/>
  <c r="G28" i="7"/>
  <c r="P27" i="7"/>
  <c r="P26" i="7"/>
  <c r="G25" i="7"/>
  <c r="H24" i="7"/>
  <c r="H25" i="7"/>
  <c r="P24" i="7"/>
  <c r="G24" i="7"/>
  <c r="H22" i="7"/>
  <c r="H23" i="7"/>
  <c r="G22" i="7"/>
  <c r="B22" i="5"/>
  <c r="C32" i="1"/>
  <c r="D34" i="1"/>
  <c r="H6" i="5"/>
  <c r="K6" i="5"/>
  <c r="F28" i="1"/>
  <c r="I5" i="1"/>
  <c r="F10" i="1"/>
  <c r="E7" i="5"/>
  <c r="E21" i="5"/>
  <c r="F21" i="5" s="1"/>
  <c r="I21" i="5" s="1"/>
  <c r="I6" i="1"/>
  <c r="G8" i="1"/>
  <c r="I8" i="1" s="1"/>
  <c r="F33" i="7"/>
  <c r="I17" i="1"/>
  <c r="D11" i="1"/>
  <c r="F11" i="1" s="1"/>
  <c r="H21" i="7"/>
  <c r="G21" i="7"/>
  <c r="E12" i="5"/>
  <c r="C22" i="5"/>
  <c r="H11" i="5"/>
  <c r="F27" i="1"/>
  <c r="D29" i="1"/>
  <c r="F29" i="1" s="1"/>
  <c r="G22" i="1"/>
  <c r="I22" i="1" s="1"/>
  <c r="I16" i="1"/>
  <c r="H5" i="5"/>
  <c r="F7" i="5"/>
  <c r="H7" i="5" s="1"/>
  <c r="F17" i="5"/>
  <c r="H17" i="5" s="1"/>
  <c r="H15" i="5"/>
  <c r="F20" i="5"/>
  <c r="I20" i="5" s="1"/>
  <c r="F12" i="5"/>
  <c r="H12" i="5" s="1"/>
  <c r="H10" i="5"/>
  <c r="I28" i="7" l="1"/>
  <c r="K28" i="7" s="1"/>
  <c r="N28" i="7"/>
  <c r="P28" i="7" s="1"/>
  <c r="I24" i="7"/>
  <c r="K24" i="7" s="1"/>
  <c r="K27" i="7"/>
  <c r="K26" i="7"/>
  <c r="I25" i="7"/>
  <c r="K25" i="7" s="1"/>
  <c r="P25" i="7"/>
  <c r="M33" i="7"/>
  <c r="P22" i="7"/>
  <c r="L33" i="7"/>
  <c r="P23" i="7"/>
  <c r="G23" i="7"/>
  <c r="I22" i="7"/>
  <c r="K22" i="7" s="1"/>
  <c r="H21" i="5"/>
  <c r="H33" i="7"/>
  <c r="I10" i="1"/>
  <c r="E22" i="5"/>
  <c r="G11" i="1"/>
  <c r="I11" i="1" s="1"/>
  <c r="I28" i="1"/>
  <c r="E33" i="1"/>
  <c r="K11" i="5"/>
  <c r="P21" i="7"/>
  <c r="I21" i="7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K5" i="5"/>
  <c r="I23" i="7" l="1"/>
  <c r="K23" i="7" s="1"/>
  <c r="N33" i="7"/>
  <c r="P33" i="7" s="1"/>
  <c r="G33" i="7"/>
  <c r="K21" i="5"/>
  <c r="E32" i="1"/>
  <c r="K21" i="7"/>
  <c r="K20" i="5"/>
  <c r="I22" i="5"/>
  <c r="K22" i="5" s="1"/>
  <c r="I33" i="7" l="1"/>
  <c r="K33" i="7" l="1"/>
</calcChain>
</file>

<file path=xl/sharedStrings.xml><?xml version="1.0" encoding="utf-8"?>
<sst xmlns="http://schemas.openxmlformats.org/spreadsheetml/2006/main" count="687" uniqueCount="245">
  <si>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</si>
  <si>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</si>
  <si>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</si>
  <si>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</si>
  <si>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</si>
  <si>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</si>
  <si>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</si>
  <si>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</si>
  <si>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</si>
  <si>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</si>
  <si>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</si>
  <si>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</si>
  <si>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</si>
  <si>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</si>
  <si>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</si>
  <si>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</si>
  <si>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</si>
  <si>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</si>
  <si>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</si>
  <si>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</si>
  <si>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</si>
  <si>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</si>
  <si>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</si>
  <si>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</si>
  <si>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</si>
  <si>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</si>
  <si>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</si>
  <si>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</si>
  <si>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</si>
  <si>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</si>
  <si>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</si>
  <si>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</si>
  <si>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</si>
  <si>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</si>
  <si>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</si>
  <si>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</si>
  <si>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</si>
  <si>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</si>
  <si>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</si>
  <si>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</si>
  <si>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</si>
  <si>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</si>
  <si>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</si>
  <si>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</si>
  <si>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</si>
  <si>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</si>
  <si>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</si>
  <si>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</si>
  <si>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</si>
  <si>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</si>
  <si>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</si>
  <si>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</si>
  <si>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</si>
  <si>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</si>
  <si>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</si>
  <si>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</si>
  <si>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</si>
  <si>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</si>
  <si>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</si>
  <si>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</si>
  <si>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</si>
  <si>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</si>
  <si>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</si>
  <si>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</si>
  <si>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</si>
  <si>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</si>
  <si>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</si>
  <si>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</si>
  <si>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</si>
  <si>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</si>
  <si>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</si>
  <si>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</si>
  <si>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</si>
  <si>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</si>
  <si>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</si>
  <si>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</si>
  <si>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</si>
  <si>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</si>
  <si>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</si>
  <si>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</si>
  <si>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</si>
  <si>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</si>
  <si>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</si>
  <si>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</si>
  <si>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</si>
  <si>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</si>
  <si>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</si>
  <si>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</si>
  <si>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</si>
  <si>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</si>
  <si>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</si>
  <si>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</si>
  <si>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</si>
  <si>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</si>
  <si>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</si>
  <si>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</si>
  <si>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</si>
  <si>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</si>
  <si>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</si>
  <si>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</si>
  <si>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</si>
  <si>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</si>
  <si>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</si>
  <si>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</si>
  <si>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</si>
  <si>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</si>
  <si>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</si>
  <si>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</si>
  <si>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</si>
  <si>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</si>
  <si>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</si>
  <si>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</si>
  <si>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</si>
  <si>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</si>
  <si>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</si>
  <si>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</si>
  <si>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</si>
  <si>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</si>
  <si>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</si>
  <si>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</si>
  <si>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</si>
  <si>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</si>
  <si>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</si>
  <si>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</si>
  <si>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</si>
  <si>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</si>
  <si>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</si>
  <si>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</si>
  <si>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</si>
  <si>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</si>
  <si>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</si>
  <si>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</si>
  <si>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</si>
  <si>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</si>
  <si>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</si>
  <si>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</si>
  <si>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</si>
  <si>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</si>
  <si>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</si>
  <si>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</si>
  <si>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</si>
  <si>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</si>
  <si>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</si>
  <si>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</si>
  <si>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</si>
  <si>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</si>
  <si>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</si>
  <si>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</si>
  <si>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</si>
  <si>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</si>
  <si>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</si>
  <si>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</si>
  <si>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</si>
  <si>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</si>
  <si>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</si>
  <si>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</si>
  <si>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</si>
  <si>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</si>
  <si>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</si>
  <si>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</si>
  <si>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</si>
  <si>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</si>
  <si>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</si>
  <si>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</si>
  <si>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</si>
  <si>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</si>
  <si>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</si>
  <si>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</si>
  <si>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</si>
  <si>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</si>
  <si>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</si>
  <si>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</si>
  <si>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</si>
  <si>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</si>
  <si>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</si>
  <si>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</si>
  <si>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</si>
  <si>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</si>
  <si>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</si>
  <si>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</si>
  <si>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</si>
  <si>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</si>
  <si>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</si>
  <si>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</si>
  <si>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</si>
  <si>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</si>
  <si>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</si>
  <si>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</si>
  <si>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</si>
  <si>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</si>
  <si>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</si>
  <si>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</si>
  <si>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</si>
  <si>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</si>
  <si>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</si>
  <si>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</si>
  <si>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</si>
  <si>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</si>
  <si>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</si>
  <si>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</si>
  <si>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</si>
  <si>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</si>
  <si>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</si>
  <si>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</si>
  <si>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</si>
  <si>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</si>
  <si>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</si>
  <si>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</si>
  <si>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</si>
  <si>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</si>
  <si>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</si>
  <si>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</si>
  <si>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</si>
  <si>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</si>
  <si>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</si>
  <si>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</si>
  <si>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</si>
  <si>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</si>
  <si>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</si>
  <si>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</si>
  <si>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</si>
  <si>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</si>
  <si>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</si>
  <si>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</si>
  <si>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</si>
  <si>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</si>
  <si>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</si>
  <si>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</si>
  <si>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</si>
  <si>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</si>
  <si>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</si>
  <si>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</si>
  <si>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</si>
  <si>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</si>
  <si>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</si>
  <si>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</si>
  <si>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</si>
  <si>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</si>
  <si>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</si>
  <si>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</si>
  <si>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</si>
  <si>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</si>
  <si>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August 2020</t>
  </si>
  <si>
    <t>ABX Air - DHL</t>
  </si>
  <si>
    <t>Bemidji - DHL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</si>
</sst>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3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ugust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2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2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y%20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ne%20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ul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803553</v>
          </cell>
          <cell r="G5">
            <v>7935068</v>
          </cell>
        </row>
        <row r="6">
          <cell r="D6">
            <v>277184</v>
          </cell>
          <cell r="G6">
            <v>2226061</v>
          </cell>
        </row>
        <row r="7">
          <cell r="D7">
            <v>1152</v>
          </cell>
          <cell r="G7">
            <v>2113</v>
          </cell>
        </row>
        <row r="10">
          <cell r="D10">
            <v>50505</v>
          </cell>
          <cell r="G10">
            <v>427314</v>
          </cell>
        </row>
        <row r="16">
          <cell r="D16">
            <v>10490</v>
          </cell>
          <cell r="G16">
            <v>81444</v>
          </cell>
        </row>
        <row r="17">
          <cell r="D17">
            <v>8805</v>
          </cell>
          <cell r="G17">
            <v>61857</v>
          </cell>
        </row>
        <row r="18">
          <cell r="D18">
            <v>13</v>
          </cell>
          <cell r="G18">
            <v>22</v>
          </cell>
        </row>
        <row r="19">
          <cell r="D19">
            <v>1226</v>
          </cell>
          <cell r="G19">
            <v>9540</v>
          </cell>
        </row>
        <row r="20">
          <cell r="D20">
            <v>985</v>
          </cell>
          <cell r="G20">
            <v>7054</v>
          </cell>
        </row>
        <row r="21">
          <cell r="D21">
            <v>114</v>
          </cell>
          <cell r="G21">
            <v>654</v>
          </cell>
        </row>
        <row r="27">
          <cell r="D27">
            <v>14522.2813567755</v>
          </cell>
          <cell r="G27">
            <v>120427.88746191663</v>
          </cell>
        </row>
        <row r="28">
          <cell r="D28">
            <v>1774.3376853856498</v>
          </cell>
          <cell r="G28">
            <v>10770.813455632229</v>
          </cell>
        </row>
        <row r="32">
          <cell r="B32">
            <v>328103</v>
          </cell>
          <cell r="D32">
            <v>3314637</v>
          </cell>
        </row>
        <row r="33">
          <cell r="B33">
            <v>214180</v>
          </cell>
          <cell r="D33">
            <v>1721379</v>
          </cell>
        </row>
      </sheetData>
      <sheetData sheetId="1"/>
      <sheetData sheetId="2"/>
      <sheetData sheetId="3"/>
      <sheetData sheetId="4"/>
      <sheetData sheetId="5">
        <row r="28">
          <cell r="D28">
            <v>2970</v>
          </cell>
          <cell r="I28">
            <v>1129424</v>
          </cell>
          <cell r="N28">
            <v>1132394</v>
          </cell>
        </row>
      </sheetData>
      <sheetData sheetId="6"/>
      <sheetData sheetId="7">
        <row r="5">
          <cell r="F5">
            <v>8387.8441674034693</v>
          </cell>
          <cell r="I5">
            <v>66812.525890022211</v>
          </cell>
        </row>
        <row r="6">
          <cell r="F6">
            <v>764.00876200186997</v>
          </cell>
          <cell r="I6">
            <v>4016.4284409703296</v>
          </cell>
        </row>
        <row r="10">
          <cell r="F10">
            <v>6134.4371893720299</v>
          </cell>
          <cell r="I10">
            <v>53615.361571894427</v>
          </cell>
        </row>
        <row r="11">
          <cell r="F11">
            <v>1010.32892338378</v>
          </cell>
          <cell r="I11">
            <v>6754.3850146619006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14522.2813567755</v>
          </cell>
        </row>
        <row r="21">
          <cell r="F21">
            <v>1774.33768538565</v>
          </cell>
        </row>
      </sheetData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29141</v>
          </cell>
          <cell r="C24">
            <v>20795</v>
          </cell>
          <cell r="L24">
            <v>879453</v>
          </cell>
          <cell r="M24">
            <v>805280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15735</v>
          </cell>
          <cell r="C25">
            <v>16129</v>
          </cell>
          <cell r="L25">
            <v>1064435</v>
          </cell>
          <cell r="M25">
            <v>1023836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1452</v>
          </cell>
          <cell r="I25">
            <v>282618</v>
          </cell>
          <cell r="N25">
            <v>284070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19542</v>
          </cell>
          <cell r="C26">
            <v>22925</v>
          </cell>
          <cell r="L26">
            <v>1229577</v>
          </cell>
          <cell r="M26">
            <v>1208821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2309</v>
          </cell>
          <cell r="I26">
            <v>511408</v>
          </cell>
          <cell r="N26">
            <v>513717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2270</v>
          </cell>
          <cell r="I27">
            <v>942455</v>
          </cell>
          <cell r="N27">
            <v>944725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9597071</v>
          </cell>
        </row>
        <row r="6">
          <cell r="G6">
            <v>2992319</v>
          </cell>
        </row>
        <row r="7">
          <cell r="G7">
            <v>1621</v>
          </cell>
        </row>
        <row r="10">
          <cell r="G10">
            <v>433771</v>
          </cell>
        </row>
        <row r="16">
          <cell r="G16">
            <v>81242</v>
          </cell>
        </row>
        <row r="17">
          <cell r="G17">
            <v>69109</v>
          </cell>
        </row>
        <row r="18">
          <cell r="G18">
            <v>14</v>
          </cell>
        </row>
        <row r="19">
          <cell r="G19">
            <v>9468</v>
          </cell>
        </row>
        <row r="20">
          <cell r="G20">
            <v>7986</v>
          </cell>
        </row>
        <row r="21">
          <cell r="G21">
            <v>741</v>
          </cell>
        </row>
        <row r="27">
          <cell r="G27">
            <v>115541.92017969447</v>
          </cell>
        </row>
        <row r="28">
          <cell r="G28">
            <v>12262.10043029048</v>
          </cell>
        </row>
        <row r="32">
          <cell r="D32">
            <v>4237941</v>
          </cell>
        </row>
        <row r="33">
          <cell r="D33">
            <v>2030037</v>
          </cell>
        </row>
      </sheetData>
      <sheetData sheetId="1"/>
      <sheetData sheetId="2"/>
      <sheetData sheetId="3"/>
      <sheetData sheetId="4"/>
      <sheetData sheetId="5">
        <row r="27">
          <cell r="B27">
            <v>30108</v>
          </cell>
          <cell r="C27">
            <v>33469</v>
          </cell>
          <cell r="L27">
            <v>1423419</v>
          </cell>
          <cell r="M27">
            <v>1435263</v>
          </cell>
        </row>
      </sheetData>
      <sheetData sheetId="6"/>
      <sheetData sheetId="7">
        <row r="5">
          <cell r="I5">
            <v>63901.264372340011</v>
          </cell>
        </row>
        <row r="6">
          <cell r="I6">
            <v>6139.1590859437292</v>
          </cell>
        </row>
        <row r="10">
          <cell r="I10">
            <v>51640.655807354458</v>
          </cell>
        </row>
        <row r="11">
          <cell r="I11">
            <v>6122.9413443467492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115541.92017969447</v>
          </cell>
        </row>
        <row r="21">
          <cell r="I21">
            <v>12262.10043029048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GT19">
            <v>188</v>
          </cell>
          <cell r="GU19">
            <v>148</v>
          </cell>
          <cell r="GV19">
            <v>174</v>
          </cell>
          <cell r="GW19">
            <v>144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GT41">
            <v>180</v>
          </cell>
          <cell r="GU41">
            <v>202</v>
          </cell>
          <cell r="GV41">
            <v>258</v>
          </cell>
          <cell r="GW41">
            <v>244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3"/>
      <sheetData sheetId="4"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I15">
            <v>10</v>
          </cell>
          <cell r="HJ15">
            <v>15</v>
          </cell>
          <cell r="HK15">
            <v>22</v>
          </cell>
        </row>
        <row r="16">
          <cell r="HD16"/>
          <cell r="HE16"/>
          <cell r="HF16"/>
          <cell r="HG16"/>
          <cell r="HH16"/>
          <cell r="HI16">
            <v>10</v>
          </cell>
          <cell r="HJ16">
            <v>15</v>
          </cell>
          <cell r="HK16">
            <v>22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20</v>
          </cell>
          <cell r="HJ19">
            <v>30</v>
          </cell>
          <cell r="HK19">
            <v>44</v>
          </cell>
        </row>
        <row r="32">
          <cell r="HD32"/>
          <cell r="HE32"/>
          <cell r="HF32"/>
          <cell r="HG32"/>
          <cell r="HH32"/>
          <cell r="HI32">
            <v>779</v>
          </cell>
          <cell r="HJ32">
            <v>2252</v>
          </cell>
          <cell r="HK32">
            <v>4991</v>
          </cell>
        </row>
        <row r="33">
          <cell r="HD33"/>
          <cell r="HE33"/>
          <cell r="HF33"/>
          <cell r="HG33"/>
          <cell r="HH33"/>
          <cell r="HI33">
            <v>1887</v>
          </cell>
          <cell r="HJ33">
            <v>2767</v>
          </cell>
          <cell r="HK33">
            <v>3368</v>
          </cell>
        </row>
        <row r="37">
          <cell r="HD37"/>
          <cell r="HE37"/>
          <cell r="HF37"/>
          <cell r="HG37"/>
          <cell r="HH37"/>
          <cell r="HI37">
            <v>10</v>
          </cell>
          <cell r="HJ37">
            <v>4</v>
          </cell>
          <cell r="HK37">
            <v>7</v>
          </cell>
        </row>
        <row r="38">
          <cell r="HD38"/>
          <cell r="HE38"/>
          <cell r="HF38"/>
          <cell r="HG38"/>
          <cell r="HH38"/>
          <cell r="HI38">
            <v>30</v>
          </cell>
          <cell r="HJ38">
            <v>5</v>
          </cell>
          <cell r="HK38">
            <v>2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2666</v>
          </cell>
          <cell r="HJ41">
            <v>5019</v>
          </cell>
          <cell r="HK41">
            <v>8359</v>
          </cell>
        </row>
        <row r="47">
          <cell r="HK47">
            <v>508110</v>
          </cell>
        </row>
        <row r="48">
          <cell r="HK48"/>
        </row>
        <row r="52">
          <cell r="HK52">
            <v>21418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469247</v>
          </cell>
          <cell r="HJ64">
            <v>468297</v>
          </cell>
          <cell r="HK64">
            <v>529528</v>
          </cell>
        </row>
      </sheetData>
      <sheetData sheetId="5"/>
      <sheetData sheetId="6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7">
        <row r="4">
          <cell r="HK4">
            <v>67</v>
          </cell>
        </row>
        <row r="5">
          <cell r="HK5">
            <v>67</v>
          </cell>
        </row>
        <row r="8">
          <cell r="HK8"/>
        </row>
        <row r="9">
          <cell r="HK9"/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GT19">
            <v>122</v>
          </cell>
          <cell r="GU19">
            <v>119</v>
          </cell>
          <cell r="GV19">
            <v>128</v>
          </cell>
          <cell r="GW19">
            <v>126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  <cell r="HH19">
            <v>120</v>
          </cell>
          <cell r="HI19">
            <v>128</v>
          </cell>
          <cell r="HJ19">
            <v>142</v>
          </cell>
          <cell r="HK19">
            <v>134</v>
          </cell>
        </row>
        <row r="22">
          <cell r="HK22">
            <v>10896</v>
          </cell>
        </row>
        <row r="23">
          <cell r="HK23">
            <v>10793</v>
          </cell>
        </row>
        <row r="27">
          <cell r="HK27">
            <v>295</v>
          </cell>
        </row>
        <row r="28">
          <cell r="HK28">
            <v>322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GT41">
            <v>3640</v>
          </cell>
          <cell r="GU41">
            <v>7378</v>
          </cell>
          <cell r="GV41">
            <v>10060</v>
          </cell>
          <cell r="GW41">
            <v>10189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  <cell r="HH41">
            <v>15548</v>
          </cell>
          <cell r="HI41">
            <v>20585</v>
          </cell>
          <cell r="HJ41">
            <v>23555</v>
          </cell>
          <cell r="HK41">
            <v>21689</v>
          </cell>
        </row>
        <row r="47">
          <cell r="HK47">
            <v>15996</v>
          </cell>
        </row>
        <row r="48">
          <cell r="HK48">
            <v>1211</v>
          </cell>
        </row>
        <row r="52">
          <cell r="HK52">
            <v>8909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GT64">
            <v>39138</v>
          </cell>
          <cell r="GU64">
            <v>20621</v>
          </cell>
          <cell r="GV64">
            <v>46368</v>
          </cell>
          <cell r="GW64">
            <v>49387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  <cell r="HH64">
            <v>36089</v>
          </cell>
          <cell r="HI64">
            <v>28413</v>
          </cell>
          <cell r="HJ64">
            <v>19721</v>
          </cell>
          <cell r="HK64">
            <v>26116</v>
          </cell>
        </row>
      </sheetData>
      <sheetData sheetId="8"/>
      <sheetData sheetId="9">
        <row r="4">
          <cell r="HK4">
            <v>375</v>
          </cell>
        </row>
        <row r="5">
          <cell r="HK5">
            <v>374</v>
          </cell>
        </row>
        <row r="8">
          <cell r="HK8"/>
        </row>
        <row r="9">
          <cell r="HK9"/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GT19">
            <v>303</v>
          </cell>
          <cell r="GU19">
            <v>409</v>
          </cell>
          <cell r="GV19">
            <v>614</v>
          </cell>
          <cell r="GW19">
            <v>652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  <cell r="HH19">
            <v>848</v>
          </cell>
          <cell r="HI19">
            <v>675</v>
          </cell>
          <cell r="HJ19">
            <v>685</v>
          </cell>
          <cell r="HK19">
            <v>749</v>
          </cell>
        </row>
        <row r="22">
          <cell r="HK22">
            <v>53268</v>
          </cell>
        </row>
        <row r="23">
          <cell r="HK23">
            <v>51539</v>
          </cell>
        </row>
        <row r="27">
          <cell r="HK27">
            <v>1404</v>
          </cell>
        </row>
        <row r="28">
          <cell r="HK28">
            <v>1569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GT41">
            <v>24357</v>
          </cell>
          <cell r="GU41">
            <v>42524</v>
          </cell>
          <cell r="GV41">
            <v>65149</v>
          </cell>
          <cell r="GW41">
            <v>62770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  <cell r="HH41">
            <v>96636</v>
          </cell>
          <cell r="HI41">
            <v>95875</v>
          </cell>
          <cell r="HJ41">
            <v>104697</v>
          </cell>
          <cell r="HK41">
            <v>104807</v>
          </cell>
        </row>
        <row r="47">
          <cell r="HK47">
            <v>35987</v>
          </cell>
        </row>
        <row r="48">
          <cell r="HK48">
            <v>52765</v>
          </cell>
        </row>
        <row r="52">
          <cell r="HK52">
            <v>6023</v>
          </cell>
        </row>
        <row r="53">
          <cell r="HK53">
            <v>8913</v>
          </cell>
        </row>
        <row r="57">
          <cell r="HK57"/>
        </row>
        <row r="58">
          <cell r="HK58"/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GT64">
            <v>260013</v>
          </cell>
          <cell r="GU64">
            <v>242015</v>
          </cell>
          <cell r="GV64">
            <v>178925</v>
          </cell>
          <cell r="GW64">
            <v>149664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  <cell r="HH64">
            <v>181495</v>
          </cell>
          <cell r="HI64">
            <v>113147</v>
          </cell>
          <cell r="HJ64">
            <v>101960</v>
          </cell>
          <cell r="HK64">
            <v>103688</v>
          </cell>
        </row>
      </sheetData>
      <sheetData sheetId="10"/>
      <sheetData sheetId="11">
        <row r="4">
          <cell r="HK4">
            <v>857</v>
          </cell>
        </row>
        <row r="5">
          <cell r="HK5">
            <v>863</v>
          </cell>
        </row>
        <row r="8">
          <cell r="HK8">
            <v>59</v>
          </cell>
        </row>
        <row r="9">
          <cell r="HK9">
            <v>49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  <cell r="HH15">
            <v>13</v>
          </cell>
          <cell r="HI15">
            <v>8</v>
          </cell>
          <cell r="HJ15">
            <v>7</v>
          </cell>
          <cell r="HK15">
            <v>8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  <cell r="HH16">
            <v>12</v>
          </cell>
          <cell r="HI16">
            <v>7</v>
          </cell>
          <cell r="HJ16">
            <v>8</v>
          </cell>
          <cell r="HK16">
            <v>10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GT19">
            <v>454</v>
          </cell>
          <cell r="GU19">
            <v>710</v>
          </cell>
          <cell r="GV19">
            <v>1259</v>
          </cell>
          <cell r="GW19">
            <v>1153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  <cell r="HH19">
            <v>1450</v>
          </cell>
          <cell r="HI19">
            <v>1680</v>
          </cell>
          <cell r="HJ19">
            <v>1878</v>
          </cell>
          <cell r="HK19">
            <v>1846</v>
          </cell>
        </row>
        <row r="22">
          <cell r="HK22">
            <v>126224</v>
          </cell>
        </row>
        <row r="23">
          <cell r="HK23">
            <v>119345</v>
          </cell>
        </row>
        <row r="27">
          <cell r="HK27">
            <v>2328</v>
          </cell>
        </row>
        <row r="28">
          <cell r="HK28">
            <v>2230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  <cell r="HH32">
            <v>1524</v>
          </cell>
          <cell r="HI32">
            <v>1089</v>
          </cell>
          <cell r="HJ32">
            <v>778</v>
          </cell>
          <cell r="HK32">
            <v>609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  <cell r="HH33">
            <v>1501</v>
          </cell>
          <cell r="HI33">
            <v>1133</v>
          </cell>
          <cell r="HJ33">
            <v>826</v>
          </cell>
          <cell r="HK33">
            <v>615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  <cell r="HH37">
            <v>39</v>
          </cell>
          <cell r="HI37">
            <v>16</v>
          </cell>
          <cell r="HJ37">
            <v>12</v>
          </cell>
          <cell r="HK37">
            <v>3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  <cell r="HH38">
            <v>41</v>
          </cell>
          <cell r="HI38">
            <v>11</v>
          </cell>
          <cell r="HJ38">
            <v>12</v>
          </cell>
          <cell r="HK38"/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GT41">
            <v>33197</v>
          </cell>
          <cell r="GU41">
            <v>68900</v>
          </cell>
          <cell r="GV41">
            <v>110368</v>
          </cell>
          <cell r="GW41">
            <v>104444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  <cell r="HH41">
            <v>177167</v>
          </cell>
          <cell r="HI41">
            <v>218626</v>
          </cell>
          <cell r="HJ41">
            <v>263415</v>
          </cell>
          <cell r="HK41">
            <v>246793</v>
          </cell>
        </row>
        <row r="47">
          <cell r="HK47">
            <v>49911</v>
          </cell>
        </row>
        <row r="48">
          <cell r="HK48">
            <v>153410</v>
          </cell>
        </row>
        <row r="52">
          <cell r="HK52"/>
        </row>
        <row r="53">
          <cell r="HK53">
            <v>241825</v>
          </cell>
        </row>
        <row r="57">
          <cell r="HK57"/>
        </row>
        <row r="58">
          <cell r="HK58"/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GT64">
            <v>75346</v>
          </cell>
          <cell r="GU64">
            <v>214517</v>
          </cell>
          <cell r="GV64">
            <v>457562</v>
          </cell>
          <cell r="GW64">
            <v>429273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  <cell r="HH64">
            <v>540020</v>
          </cell>
          <cell r="HI64">
            <v>442306</v>
          </cell>
          <cell r="HJ64">
            <v>460317</v>
          </cell>
          <cell r="HK64">
            <v>445146</v>
          </cell>
        </row>
        <row r="70">
          <cell r="HK70">
            <v>119345</v>
          </cell>
        </row>
        <row r="71">
          <cell r="HK71"/>
        </row>
        <row r="73">
          <cell r="HK73">
            <v>615</v>
          </cell>
        </row>
        <row r="74">
          <cell r="HK74"/>
        </row>
      </sheetData>
      <sheetData sheetId="12">
        <row r="4">
          <cell r="HK4">
            <v>25</v>
          </cell>
        </row>
        <row r="5">
          <cell r="HK5">
            <v>26</v>
          </cell>
        </row>
        <row r="8">
          <cell r="HK8"/>
        </row>
        <row r="9">
          <cell r="HK9"/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GT19">
            <v>152</v>
          </cell>
          <cell r="GU19">
            <v>0</v>
          </cell>
          <cell r="GV19">
            <v>0</v>
          </cell>
          <cell r="GW19">
            <v>37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  <cell r="HH19">
            <v>44</v>
          </cell>
          <cell r="HI19">
            <v>41</v>
          </cell>
          <cell r="HJ19">
            <v>46</v>
          </cell>
          <cell r="HK19">
            <v>51</v>
          </cell>
        </row>
        <row r="22">
          <cell r="HK22">
            <v>146</v>
          </cell>
        </row>
        <row r="23">
          <cell r="HK23">
            <v>134</v>
          </cell>
        </row>
        <row r="27">
          <cell r="HK27"/>
        </row>
        <row r="28">
          <cell r="HK28"/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GT41">
            <v>77</v>
          </cell>
          <cell r="GU41">
            <v>0</v>
          </cell>
          <cell r="GV41">
            <v>0</v>
          </cell>
          <cell r="GW41">
            <v>94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  <cell r="HH41">
            <v>183</v>
          </cell>
          <cell r="HI41">
            <v>202</v>
          </cell>
          <cell r="HJ41">
            <v>227</v>
          </cell>
          <cell r="HK41">
            <v>280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13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14">
        <row r="4">
          <cell r="HK4">
            <v>4525</v>
          </cell>
        </row>
        <row r="5">
          <cell r="HK5">
            <v>4512</v>
          </cell>
        </row>
        <row r="8">
          <cell r="HK8">
            <v>6</v>
          </cell>
        </row>
        <row r="9">
          <cell r="HK9">
            <v>12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  <cell r="HH15">
            <v>91</v>
          </cell>
          <cell r="HI15">
            <v>114</v>
          </cell>
          <cell r="HJ15">
            <v>132</v>
          </cell>
          <cell r="HK15">
            <v>140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  <cell r="HH16">
            <v>91</v>
          </cell>
          <cell r="HI16">
            <v>114</v>
          </cell>
          <cell r="HJ16">
            <v>132</v>
          </cell>
          <cell r="HK16">
            <v>137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GT19">
            <v>2021</v>
          </cell>
          <cell r="GU19">
            <v>2538</v>
          </cell>
          <cell r="GV19">
            <v>4968</v>
          </cell>
          <cell r="GW19">
            <v>6798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  <cell r="HH19">
            <v>7795</v>
          </cell>
          <cell r="HI19">
            <v>8651</v>
          </cell>
          <cell r="HJ19">
            <v>9173</v>
          </cell>
          <cell r="HK19">
            <v>9332</v>
          </cell>
        </row>
        <row r="22">
          <cell r="HK22">
            <v>659515</v>
          </cell>
        </row>
        <row r="23">
          <cell r="HK23">
            <v>650911</v>
          </cell>
        </row>
        <row r="27">
          <cell r="HK27">
            <v>19680</v>
          </cell>
        </row>
        <row r="28">
          <cell r="HK28">
            <v>19397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  <cell r="HH32">
            <v>11567</v>
          </cell>
          <cell r="HI32">
            <v>15390</v>
          </cell>
          <cell r="HJ32">
            <v>22340</v>
          </cell>
          <cell r="HK32">
            <v>25087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  <cell r="HH33">
            <v>11831</v>
          </cell>
          <cell r="HI33">
            <v>17265</v>
          </cell>
          <cell r="HJ33">
            <v>25015</v>
          </cell>
          <cell r="HK33">
            <v>22280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  <cell r="HH37">
            <v>1297</v>
          </cell>
          <cell r="HI37">
            <v>503</v>
          </cell>
          <cell r="HJ37">
            <v>727</v>
          </cell>
          <cell r="HK37">
            <v>591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  <cell r="HH38">
            <v>1375</v>
          </cell>
          <cell r="HI38">
            <v>558</v>
          </cell>
          <cell r="HJ38">
            <v>732</v>
          </cell>
          <cell r="HK38">
            <v>554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GT41">
            <v>105822</v>
          </cell>
          <cell r="GU41">
            <v>194083</v>
          </cell>
          <cell r="GV41">
            <v>366782</v>
          </cell>
          <cell r="GW41">
            <v>498428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  <cell r="HH41">
            <v>1015609</v>
          </cell>
          <cell r="HI41">
            <v>1249886</v>
          </cell>
          <cell r="HJ41">
            <v>1410950</v>
          </cell>
          <cell r="HK41">
            <v>1357793</v>
          </cell>
        </row>
        <row r="47">
          <cell r="HK47">
            <v>1607425</v>
          </cell>
        </row>
        <row r="48">
          <cell r="HK48">
            <v>1259636</v>
          </cell>
        </row>
        <row r="52">
          <cell r="HK52">
            <v>1090616</v>
          </cell>
        </row>
        <row r="53">
          <cell r="HK53">
            <v>1251606</v>
          </cell>
        </row>
        <row r="57">
          <cell r="HK57"/>
        </row>
        <row r="58">
          <cell r="HK58"/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GT64">
            <v>1668911</v>
          </cell>
          <cell r="GU64">
            <v>1525260</v>
          </cell>
          <cell r="GV64">
            <v>1543443</v>
          </cell>
          <cell r="GW64">
            <v>3370015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  <cell r="HH64">
            <v>4005777</v>
          </cell>
          <cell r="HI64">
            <v>3926176</v>
          </cell>
          <cell r="HJ64">
            <v>2850985</v>
          </cell>
          <cell r="HK64">
            <v>5209283</v>
          </cell>
        </row>
        <row r="70">
          <cell r="HK70">
            <v>390647</v>
          </cell>
        </row>
        <row r="71">
          <cell r="HK71">
            <v>260264</v>
          </cell>
        </row>
        <row r="73">
          <cell r="HK73">
            <v>13371</v>
          </cell>
        </row>
        <row r="74">
          <cell r="HK74">
            <v>8909</v>
          </cell>
        </row>
      </sheetData>
      <sheetData sheetId="15">
        <row r="4">
          <cell r="HK4">
            <v>54</v>
          </cell>
        </row>
        <row r="5">
          <cell r="HK5">
            <v>54</v>
          </cell>
        </row>
        <row r="8">
          <cell r="HK8">
            <v>1</v>
          </cell>
        </row>
        <row r="9">
          <cell r="HK9">
            <v>1</v>
          </cell>
        </row>
        <row r="15">
          <cell r="HK15"/>
        </row>
        <row r="16"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104</v>
          </cell>
          <cell r="GV19">
            <v>108</v>
          </cell>
          <cell r="GW19">
            <v>108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  <cell r="HH19">
            <v>104</v>
          </cell>
          <cell r="HI19">
            <v>104</v>
          </cell>
          <cell r="HJ19">
            <v>112</v>
          </cell>
          <cell r="HK19">
            <v>110</v>
          </cell>
        </row>
        <row r="22">
          <cell r="HK22">
            <v>777</v>
          </cell>
        </row>
        <row r="23">
          <cell r="HK23">
            <v>730</v>
          </cell>
        </row>
        <row r="27">
          <cell r="HK27">
            <v>33</v>
          </cell>
        </row>
        <row r="28">
          <cell r="HK28">
            <v>49</v>
          </cell>
        </row>
        <row r="32">
          <cell r="HK32"/>
        </row>
        <row r="33">
          <cell r="HK33"/>
        </row>
        <row r="37">
          <cell r="HK37"/>
        </row>
        <row r="38">
          <cell r="HK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145</v>
          </cell>
          <cell r="GV41">
            <v>219</v>
          </cell>
          <cell r="GW41">
            <v>273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  <cell r="HH41">
            <v>568</v>
          </cell>
          <cell r="HI41">
            <v>847</v>
          </cell>
          <cell r="HJ41">
            <v>750</v>
          </cell>
          <cell r="HK41">
            <v>1507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16">
        <row r="4">
          <cell r="HK4">
            <v>44</v>
          </cell>
        </row>
        <row r="5">
          <cell r="HK5">
            <v>44</v>
          </cell>
        </row>
        <row r="8">
          <cell r="HK8"/>
        </row>
        <row r="9">
          <cell r="HK9"/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GT19">
            <v>34</v>
          </cell>
          <cell r="GU19">
            <v>46</v>
          </cell>
          <cell r="GV19">
            <v>62</v>
          </cell>
          <cell r="GW19">
            <v>123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  <cell r="HH19">
            <v>94</v>
          </cell>
          <cell r="HI19">
            <v>93</v>
          </cell>
          <cell r="HJ19">
            <v>84</v>
          </cell>
          <cell r="HK19">
            <v>88</v>
          </cell>
        </row>
        <row r="22">
          <cell r="HK22">
            <v>8549</v>
          </cell>
        </row>
        <row r="23">
          <cell r="HK23">
            <v>7561</v>
          </cell>
        </row>
        <row r="27">
          <cell r="HK27">
            <v>77</v>
          </cell>
        </row>
        <row r="28">
          <cell r="HK28">
            <v>73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GT41">
            <v>3430</v>
          </cell>
          <cell r="GU41">
            <v>5730</v>
          </cell>
          <cell r="GV41">
            <v>8555</v>
          </cell>
          <cell r="GW41">
            <v>16138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  <cell r="HH41">
            <v>13379</v>
          </cell>
          <cell r="HI41">
            <v>15606</v>
          </cell>
          <cell r="HJ41">
            <v>16028</v>
          </cell>
          <cell r="HK41">
            <v>16110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17"/>
      <sheetData sheetId="18"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I15">
            <v>6</v>
          </cell>
          <cell r="HJ15">
            <v>20</v>
          </cell>
          <cell r="HK15">
            <v>22</v>
          </cell>
        </row>
        <row r="16">
          <cell r="HD16"/>
          <cell r="HE16"/>
          <cell r="HF16"/>
          <cell r="HG16"/>
          <cell r="HH16"/>
          <cell r="HI16">
            <v>6</v>
          </cell>
          <cell r="HJ16">
            <v>21</v>
          </cell>
          <cell r="HK16">
            <v>22</v>
          </cell>
        </row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12</v>
          </cell>
          <cell r="HJ19">
            <v>41</v>
          </cell>
          <cell r="HK19">
            <v>44</v>
          </cell>
        </row>
        <row r="32">
          <cell r="HD32"/>
          <cell r="HE32"/>
          <cell r="HF32"/>
          <cell r="HG32"/>
          <cell r="HH32"/>
          <cell r="HI32">
            <v>323</v>
          </cell>
          <cell r="HJ32">
            <v>1896</v>
          </cell>
          <cell r="HK32">
            <v>2519</v>
          </cell>
        </row>
        <row r="33">
          <cell r="HD33"/>
          <cell r="HE33"/>
          <cell r="HF33"/>
          <cell r="HG33"/>
          <cell r="HH33"/>
          <cell r="HI33">
            <v>549</v>
          </cell>
          <cell r="HJ33">
            <v>2191</v>
          </cell>
          <cell r="HK33">
            <v>2659</v>
          </cell>
        </row>
        <row r="37">
          <cell r="HD37"/>
          <cell r="HE37"/>
          <cell r="HF37"/>
          <cell r="HG37"/>
          <cell r="HH37"/>
          <cell r="HI37">
            <v>6</v>
          </cell>
          <cell r="HJ37">
            <v>10</v>
          </cell>
          <cell r="HK37">
            <v>10</v>
          </cell>
        </row>
        <row r="38">
          <cell r="HD38"/>
          <cell r="HE38"/>
          <cell r="HF38"/>
          <cell r="HG38"/>
          <cell r="HH38"/>
          <cell r="HI38">
            <v>2</v>
          </cell>
          <cell r="HJ38">
            <v>13</v>
          </cell>
          <cell r="HK38">
            <v>5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872</v>
          </cell>
          <cell r="HJ41">
            <v>4087</v>
          </cell>
          <cell r="HK41">
            <v>5178</v>
          </cell>
        </row>
        <row r="47">
          <cell r="HK47">
            <v>13913</v>
          </cell>
        </row>
        <row r="48">
          <cell r="HK48"/>
        </row>
        <row r="52">
          <cell r="HK52">
            <v>875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348</v>
          </cell>
          <cell r="HJ64">
            <v>7410</v>
          </cell>
          <cell r="HK64">
            <v>14788</v>
          </cell>
        </row>
      </sheetData>
      <sheetData sheetId="19">
        <row r="4">
          <cell r="HK4">
            <v>62</v>
          </cell>
        </row>
        <row r="5">
          <cell r="HK5">
            <v>62</v>
          </cell>
        </row>
        <row r="8">
          <cell r="HK8"/>
        </row>
        <row r="9">
          <cell r="HK9"/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GT19">
            <v>10</v>
          </cell>
          <cell r="GU19">
            <v>0</v>
          </cell>
          <cell r="GV19">
            <v>60</v>
          </cell>
          <cell r="GW19">
            <v>34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  <cell r="HH19">
            <v>36</v>
          </cell>
          <cell r="HI19">
            <v>94</v>
          </cell>
          <cell r="HJ19">
            <v>126</v>
          </cell>
          <cell r="HK19">
            <v>124</v>
          </cell>
        </row>
        <row r="22">
          <cell r="HK22">
            <v>5276</v>
          </cell>
        </row>
        <row r="23">
          <cell r="HK23">
            <v>5403</v>
          </cell>
        </row>
        <row r="27">
          <cell r="HK27">
            <v>183</v>
          </cell>
        </row>
        <row r="28">
          <cell r="HK28">
            <v>234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GT41">
            <v>58</v>
          </cell>
          <cell r="GU41">
            <v>0</v>
          </cell>
          <cell r="GV41">
            <v>2348</v>
          </cell>
          <cell r="GW41">
            <v>1376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  <cell r="HH41">
            <v>2865</v>
          </cell>
          <cell r="HI41">
            <v>6769</v>
          </cell>
          <cell r="HJ41">
            <v>10630</v>
          </cell>
          <cell r="HK41">
            <v>10679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20">
        <row r="4">
          <cell r="HK4">
            <v>254</v>
          </cell>
        </row>
        <row r="5">
          <cell r="HK5">
            <v>254</v>
          </cell>
        </row>
        <row r="8">
          <cell r="HK8"/>
        </row>
        <row r="9">
          <cell r="HK9"/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GT19">
            <v>62</v>
          </cell>
          <cell r="GU19">
            <v>60</v>
          </cell>
          <cell r="GV19">
            <v>126</v>
          </cell>
          <cell r="GW19">
            <v>194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  <cell r="HH19">
            <v>376</v>
          </cell>
          <cell r="HI19">
            <v>364</v>
          </cell>
          <cell r="HJ19">
            <v>482</v>
          </cell>
          <cell r="HK19">
            <v>508</v>
          </cell>
        </row>
        <row r="22">
          <cell r="HK22">
            <v>32621</v>
          </cell>
        </row>
        <row r="23">
          <cell r="HK23">
            <v>32634</v>
          </cell>
        </row>
        <row r="27">
          <cell r="HK27">
            <v>1032</v>
          </cell>
        </row>
        <row r="28">
          <cell r="HK28">
            <v>1077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GT41">
            <v>3227</v>
          </cell>
          <cell r="GU41">
            <v>5541</v>
          </cell>
          <cell r="GV41">
            <v>8617</v>
          </cell>
          <cell r="GW41">
            <v>14077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  <cell r="HH41">
            <v>45011</v>
          </cell>
          <cell r="HI41">
            <v>47468</v>
          </cell>
          <cell r="HJ41">
            <v>65094</v>
          </cell>
          <cell r="HK41">
            <v>65255</v>
          </cell>
        </row>
        <row r="47">
          <cell r="HK47">
            <v>83593</v>
          </cell>
        </row>
        <row r="48">
          <cell r="HK48">
            <v>4947</v>
          </cell>
        </row>
        <row r="52">
          <cell r="HK52">
            <v>51576</v>
          </cell>
        </row>
        <row r="53">
          <cell r="HK53">
            <v>34732</v>
          </cell>
        </row>
        <row r="57">
          <cell r="HK57"/>
        </row>
        <row r="58">
          <cell r="HK58"/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GT64">
            <v>2750</v>
          </cell>
          <cell r="GU64">
            <v>8315</v>
          </cell>
          <cell r="GV64">
            <v>58369</v>
          </cell>
          <cell r="GW64">
            <v>108811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  <cell r="HH64">
            <v>184770</v>
          </cell>
          <cell r="HI64">
            <v>163351</v>
          </cell>
          <cell r="HJ64">
            <v>163664</v>
          </cell>
          <cell r="HK64">
            <v>174848</v>
          </cell>
        </row>
      </sheetData>
      <sheetData sheetId="21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>
            <v>1</v>
          </cell>
        </row>
        <row r="16">
          <cell r="HD16"/>
          <cell r="HE16"/>
          <cell r="HF16"/>
          <cell r="HG16"/>
          <cell r="HH16"/>
          <cell r="HJ16"/>
          <cell r="HK16">
            <v>1</v>
          </cell>
        </row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32">
          <cell r="HD32"/>
          <cell r="HE32"/>
          <cell r="HF32"/>
          <cell r="HG32"/>
          <cell r="HH32"/>
          <cell r="HI32"/>
          <cell r="HJ32"/>
          <cell r="HK32">
            <v>191</v>
          </cell>
        </row>
        <row r="33">
          <cell r="HD33"/>
          <cell r="HE33"/>
          <cell r="HF33"/>
          <cell r="HG33"/>
          <cell r="HH33"/>
          <cell r="HI33"/>
          <cell r="HJ33"/>
          <cell r="HK33">
            <v>150</v>
          </cell>
        </row>
        <row r="37">
          <cell r="HD37"/>
          <cell r="HE37"/>
          <cell r="HF37"/>
          <cell r="HG37"/>
          <cell r="HH37"/>
          <cell r="HI37"/>
          <cell r="HJ37"/>
          <cell r="HK37">
            <v>1</v>
          </cell>
        </row>
        <row r="38">
          <cell r="HD38"/>
          <cell r="HE38"/>
          <cell r="HF38"/>
          <cell r="HG38"/>
          <cell r="HH38"/>
          <cell r="HI38"/>
          <cell r="HJ38"/>
          <cell r="HK38">
            <v>2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341</v>
          </cell>
        </row>
        <row r="47">
          <cell r="HK47">
            <v>25148</v>
          </cell>
        </row>
        <row r="48">
          <cell r="HK48"/>
        </row>
        <row r="52">
          <cell r="HK52">
            <v>3710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28858</v>
          </cell>
        </row>
      </sheetData>
      <sheetData sheetId="22"/>
      <sheetData sheetId="23"/>
      <sheetData sheetId="24">
        <row r="4">
          <cell r="HK4">
            <v>497</v>
          </cell>
        </row>
        <row r="5">
          <cell r="HK5">
            <v>497</v>
          </cell>
        </row>
        <row r="8">
          <cell r="HK8"/>
        </row>
        <row r="9">
          <cell r="HK9"/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GT19">
            <v>370</v>
          </cell>
          <cell r="GU19">
            <v>525</v>
          </cell>
          <cell r="GV19">
            <v>694</v>
          </cell>
          <cell r="GW19">
            <v>815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  <cell r="HH19">
            <v>766</v>
          </cell>
          <cell r="HI19">
            <v>937</v>
          </cell>
          <cell r="HJ19">
            <v>994</v>
          </cell>
          <cell r="HK19">
            <v>994</v>
          </cell>
        </row>
        <row r="22">
          <cell r="HK22">
            <v>64423</v>
          </cell>
        </row>
        <row r="23">
          <cell r="HK23">
            <v>64708</v>
          </cell>
        </row>
        <row r="27">
          <cell r="HK27">
            <v>921</v>
          </cell>
        </row>
        <row r="28">
          <cell r="HK28">
            <v>968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GT41">
            <v>16532</v>
          </cell>
          <cell r="GU41">
            <v>43146</v>
          </cell>
          <cell r="GV41">
            <v>53700</v>
          </cell>
          <cell r="GW41">
            <v>57824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  <cell r="HH41">
            <v>94924</v>
          </cell>
          <cell r="HI41">
            <v>116184</v>
          </cell>
          <cell r="HJ41">
            <v>131151</v>
          </cell>
          <cell r="HK41">
            <v>129131</v>
          </cell>
        </row>
        <row r="47">
          <cell r="HK47">
            <v>242728</v>
          </cell>
        </row>
        <row r="48">
          <cell r="HK48"/>
        </row>
        <row r="52">
          <cell r="HK52">
            <v>99585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GT64">
            <v>8047</v>
          </cell>
          <cell r="GU64">
            <v>240221</v>
          </cell>
          <cell r="GV64">
            <v>262209</v>
          </cell>
          <cell r="GW64">
            <v>229371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  <cell r="HH64">
            <v>361400</v>
          </cell>
          <cell r="HI64">
            <v>387964</v>
          </cell>
          <cell r="HJ64">
            <v>374742</v>
          </cell>
          <cell r="HK64">
            <v>342313</v>
          </cell>
        </row>
        <row r="70">
          <cell r="HK70">
            <v>64487</v>
          </cell>
        </row>
        <row r="71">
          <cell r="HK71">
            <v>221</v>
          </cell>
        </row>
        <row r="73">
          <cell r="HK73"/>
        </row>
        <row r="74">
          <cell r="HK74"/>
        </row>
      </sheetData>
      <sheetData sheetId="25">
        <row r="4">
          <cell r="HK4">
            <v>146</v>
          </cell>
        </row>
        <row r="5">
          <cell r="HK5">
            <v>146</v>
          </cell>
        </row>
        <row r="8">
          <cell r="HK8"/>
        </row>
        <row r="9">
          <cell r="HK9"/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GT19">
            <v>6</v>
          </cell>
          <cell r="GU19">
            <v>22</v>
          </cell>
          <cell r="GV19">
            <v>414</v>
          </cell>
          <cell r="GW19">
            <v>306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  <cell r="HH19">
            <v>354</v>
          </cell>
          <cell r="HI19">
            <v>294</v>
          </cell>
          <cell r="HJ19">
            <v>303</v>
          </cell>
          <cell r="HK19">
            <v>292</v>
          </cell>
        </row>
        <row r="22">
          <cell r="HK22">
            <v>19937</v>
          </cell>
        </row>
        <row r="23">
          <cell r="HK23">
            <v>18918</v>
          </cell>
        </row>
        <row r="27">
          <cell r="HK27">
            <v>98</v>
          </cell>
        </row>
        <row r="28">
          <cell r="HK28">
            <v>70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GT41">
            <v>155</v>
          </cell>
          <cell r="GU41">
            <v>2245</v>
          </cell>
          <cell r="GV41">
            <v>49563</v>
          </cell>
          <cell r="GW41">
            <v>37696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  <cell r="HH41">
            <v>44747</v>
          </cell>
          <cell r="HI41">
            <v>45154</v>
          </cell>
          <cell r="HJ41">
            <v>46401</v>
          </cell>
          <cell r="HK41">
            <v>38855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/>
        </row>
        <row r="71">
          <cell r="HK71"/>
        </row>
        <row r="73">
          <cell r="HK73"/>
        </row>
        <row r="74">
          <cell r="HK74"/>
        </row>
      </sheetData>
      <sheetData sheetId="26"/>
      <sheetData sheetId="27"/>
      <sheetData sheetId="28"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29">
        <row r="4">
          <cell r="HK4">
            <v>71</v>
          </cell>
        </row>
        <row r="5">
          <cell r="HK5">
            <v>72</v>
          </cell>
        </row>
        <row r="8">
          <cell r="HK8"/>
        </row>
        <row r="9">
          <cell r="HK9"/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GT19">
            <v>75</v>
          </cell>
          <cell r="GU19">
            <v>88</v>
          </cell>
          <cell r="GV19">
            <v>17</v>
          </cell>
          <cell r="GW19">
            <v>0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  <cell r="HH19">
            <v>111</v>
          </cell>
          <cell r="HI19">
            <v>176</v>
          </cell>
          <cell r="HJ19">
            <v>124</v>
          </cell>
          <cell r="HK19">
            <v>143</v>
          </cell>
        </row>
        <row r="22">
          <cell r="HK22">
            <v>4765</v>
          </cell>
        </row>
        <row r="23">
          <cell r="HK23">
            <v>4701</v>
          </cell>
        </row>
        <row r="27">
          <cell r="HK27">
            <v>165</v>
          </cell>
        </row>
        <row r="28">
          <cell r="HK28">
            <v>170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GT41">
            <v>3319</v>
          </cell>
          <cell r="GU41">
            <v>4951</v>
          </cell>
          <cell r="GV41">
            <v>1115</v>
          </cell>
          <cell r="GW41">
            <v>0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  <cell r="HH41">
            <v>7109</v>
          </cell>
          <cell r="HI41">
            <v>11687</v>
          </cell>
          <cell r="HJ41">
            <v>8396</v>
          </cell>
          <cell r="HK41">
            <v>9466</v>
          </cell>
        </row>
        <row r="47">
          <cell r="HK47">
            <v>405</v>
          </cell>
        </row>
        <row r="48">
          <cell r="HK48"/>
        </row>
        <row r="52">
          <cell r="HK52">
            <v>432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GT64">
            <v>3519</v>
          </cell>
          <cell r="GU64">
            <v>616</v>
          </cell>
          <cell r="GV64">
            <v>0</v>
          </cell>
          <cell r="GW64">
            <v>0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  <cell r="HH64">
            <v>240</v>
          </cell>
          <cell r="HI64">
            <v>3429</v>
          </cell>
          <cell r="HJ64">
            <v>379</v>
          </cell>
          <cell r="HK64">
            <v>837</v>
          </cell>
        </row>
      </sheetData>
      <sheetData sheetId="30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33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31">
        <row r="4">
          <cell r="HK4">
            <v>30</v>
          </cell>
        </row>
        <row r="5">
          <cell r="HK5">
            <v>30</v>
          </cell>
        </row>
        <row r="8">
          <cell r="HK8"/>
        </row>
        <row r="9">
          <cell r="HK9"/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GT19">
            <v>0</v>
          </cell>
          <cell r="GU19">
            <v>18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  <cell r="HH19">
            <v>62</v>
          </cell>
          <cell r="HI19">
            <v>60</v>
          </cell>
          <cell r="HJ19">
            <v>60</v>
          </cell>
          <cell r="HK19">
            <v>60</v>
          </cell>
        </row>
        <row r="22">
          <cell r="HK22">
            <v>2047</v>
          </cell>
        </row>
        <row r="23">
          <cell r="HK23">
            <v>2075</v>
          </cell>
        </row>
        <row r="27">
          <cell r="HK27">
            <v>63</v>
          </cell>
        </row>
        <row r="28">
          <cell r="HK28">
            <v>61</v>
          </cell>
        </row>
        <row r="32">
          <cell r="HK32"/>
        </row>
        <row r="33">
          <cell r="HK33"/>
        </row>
        <row r="37">
          <cell r="HK37"/>
        </row>
        <row r="38">
          <cell r="HK38"/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GT41">
            <v>0</v>
          </cell>
          <cell r="GU41">
            <v>769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  <cell r="HH41">
            <v>4019</v>
          </cell>
          <cell r="HI41">
            <v>8872</v>
          </cell>
          <cell r="HJ41">
            <v>4333</v>
          </cell>
          <cell r="HK41">
            <v>4122</v>
          </cell>
        </row>
        <row r="47">
          <cell r="HK47">
            <v>1890</v>
          </cell>
        </row>
        <row r="48">
          <cell r="HK48"/>
        </row>
        <row r="52">
          <cell r="HK52">
            <v>215</v>
          </cell>
        </row>
        <row r="53">
          <cell r="HK53">
            <v>954</v>
          </cell>
        </row>
        <row r="57">
          <cell r="HK57"/>
        </row>
        <row r="58">
          <cell r="BF58"/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GT64">
            <v>0</v>
          </cell>
          <cell r="GU64">
            <v>4225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  <cell r="HH64">
            <v>1614</v>
          </cell>
          <cell r="HI64">
            <v>4874</v>
          </cell>
          <cell r="HJ64">
            <v>3413</v>
          </cell>
          <cell r="HK64">
            <v>3059</v>
          </cell>
        </row>
      </sheetData>
      <sheetData sheetId="32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/>
        </row>
        <row r="71">
          <cell r="HK71"/>
        </row>
        <row r="73">
          <cell r="HK73"/>
        </row>
        <row r="74">
          <cell r="HK74"/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37"/>
      <sheetData sheetId="38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39"/>
      <sheetData sheetId="40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/>
        </row>
        <row r="71">
          <cell r="HK71"/>
        </row>
        <row r="73">
          <cell r="HK73"/>
        </row>
        <row r="74">
          <cell r="HK74"/>
        </row>
      </sheetData>
      <sheetData sheetId="41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AJ57"/>
        </row>
        <row r="58">
          <cell r="AJ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42">
        <row r="4">
          <cell r="HK4">
            <v>65</v>
          </cell>
        </row>
        <row r="5">
          <cell r="HK5">
            <v>65</v>
          </cell>
        </row>
        <row r="8">
          <cell r="HK8"/>
        </row>
        <row r="9">
          <cell r="HK9"/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GT19">
            <v>60</v>
          </cell>
          <cell r="GU19">
            <v>114</v>
          </cell>
          <cell r="GV19">
            <v>176</v>
          </cell>
          <cell r="GW19">
            <v>186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  <cell r="HH19">
            <v>48</v>
          </cell>
          <cell r="HI19">
            <v>102</v>
          </cell>
          <cell r="HJ19">
            <v>124</v>
          </cell>
          <cell r="HK19">
            <v>130</v>
          </cell>
        </row>
        <row r="22">
          <cell r="HK22">
            <v>4121</v>
          </cell>
        </row>
        <row r="23">
          <cell r="HK23">
            <v>3852</v>
          </cell>
        </row>
        <row r="27">
          <cell r="HK27">
            <v>128</v>
          </cell>
        </row>
        <row r="28">
          <cell r="HK28">
            <v>190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GT41">
            <v>1985</v>
          </cell>
          <cell r="GU41">
            <v>5712</v>
          </cell>
          <cell r="GV41">
            <v>7609</v>
          </cell>
          <cell r="GW41">
            <v>8355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  <cell r="HH41">
            <v>3035</v>
          </cell>
          <cell r="HI41">
            <v>6538</v>
          </cell>
          <cell r="HJ41">
            <v>8283</v>
          </cell>
          <cell r="HK41">
            <v>7973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43"/>
      <sheetData sheetId="44">
        <row r="4">
          <cell r="HK4">
            <v>121</v>
          </cell>
        </row>
        <row r="5">
          <cell r="HK5">
            <v>121</v>
          </cell>
        </row>
        <row r="8">
          <cell r="HK8"/>
        </row>
        <row r="9">
          <cell r="HK9"/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GT19">
            <v>6</v>
          </cell>
          <cell r="GU19">
            <v>0</v>
          </cell>
          <cell r="GV19">
            <v>150</v>
          </cell>
          <cell r="GW19">
            <v>236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  <cell r="HH19">
            <v>62</v>
          </cell>
          <cell r="HI19">
            <v>60</v>
          </cell>
          <cell r="HJ19">
            <v>242</v>
          </cell>
          <cell r="HK19">
            <v>242</v>
          </cell>
        </row>
        <row r="22">
          <cell r="HK22">
            <v>7841</v>
          </cell>
        </row>
        <row r="23">
          <cell r="HK23">
            <v>7620</v>
          </cell>
        </row>
        <row r="27">
          <cell r="HK27">
            <v>244</v>
          </cell>
        </row>
        <row r="28">
          <cell r="HK28">
            <v>299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GT41">
            <v>129</v>
          </cell>
          <cell r="GU41">
            <v>0</v>
          </cell>
          <cell r="GV41">
            <v>6204</v>
          </cell>
          <cell r="GW41">
            <v>9704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  <cell r="HH41">
            <v>3779</v>
          </cell>
          <cell r="HI41">
            <v>4078</v>
          </cell>
          <cell r="HJ41">
            <v>15769</v>
          </cell>
          <cell r="HK41">
            <v>15461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45"/>
      <sheetData sheetId="46"/>
      <sheetData sheetId="47">
        <row r="4">
          <cell r="HK4">
            <v>1993</v>
          </cell>
        </row>
        <row r="5">
          <cell r="HK5">
            <v>1988</v>
          </cell>
        </row>
        <row r="8">
          <cell r="HK8">
            <v>3</v>
          </cell>
        </row>
        <row r="9">
          <cell r="HK9">
            <v>3</v>
          </cell>
        </row>
        <row r="15">
          <cell r="HD15"/>
          <cell r="HE15"/>
          <cell r="HF15"/>
          <cell r="HG15"/>
          <cell r="HH15"/>
          <cell r="HJ15">
            <v>1</v>
          </cell>
          <cell r="HK15"/>
        </row>
        <row r="16">
          <cell r="HD16"/>
          <cell r="HE16"/>
          <cell r="HF16"/>
          <cell r="HG16"/>
          <cell r="HH16"/>
          <cell r="HJ16">
            <v>1</v>
          </cell>
          <cell r="HK16"/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GT19">
            <v>1498</v>
          </cell>
          <cell r="GU19">
            <v>1903</v>
          </cell>
          <cell r="GV19">
            <v>3139</v>
          </cell>
          <cell r="GW19">
            <v>3721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  <cell r="HH19">
            <v>3485</v>
          </cell>
          <cell r="HI19">
            <v>4169</v>
          </cell>
          <cell r="HJ19">
            <v>4447</v>
          </cell>
          <cell r="HK19">
            <v>3987</v>
          </cell>
        </row>
        <row r="22">
          <cell r="HK22">
            <v>96947</v>
          </cell>
        </row>
        <row r="23">
          <cell r="HK23">
            <v>100320</v>
          </cell>
        </row>
        <row r="27">
          <cell r="HK27">
            <v>3706</v>
          </cell>
        </row>
        <row r="28">
          <cell r="HK28">
            <v>3684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GT41">
            <v>31194</v>
          </cell>
          <cell r="GU41">
            <v>58535</v>
          </cell>
          <cell r="GV41">
            <v>100391</v>
          </cell>
          <cell r="GW41">
            <v>124292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  <cell r="HH41">
            <v>166652</v>
          </cell>
          <cell r="HI41">
            <v>198917</v>
          </cell>
          <cell r="HJ41">
            <v>221295</v>
          </cell>
          <cell r="HK41">
            <v>197267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>
            <v>33835</v>
          </cell>
        </row>
        <row r="71">
          <cell r="HK71">
            <v>66485</v>
          </cell>
        </row>
        <row r="73">
          <cell r="HK73"/>
        </row>
        <row r="74">
          <cell r="HK74"/>
        </row>
      </sheetData>
      <sheetData sheetId="48">
        <row r="4">
          <cell r="HK4">
            <v>13</v>
          </cell>
        </row>
        <row r="5">
          <cell r="HK5">
            <v>13</v>
          </cell>
        </row>
        <row r="8">
          <cell r="HK8"/>
        </row>
        <row r="9">
          <cell r="HK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  <cell r="HH19">
            <v>56</v>
          </cell>
          <cell r="HI19">
            <v>6</v>
          </cell>
          <cell r="HJ19">
            <v>0</v>
          </cell>
          <cell r="HK19">
            <v>26</v>
          </cell>
        </row>
        <row r="22">
          <cell r="HK22">
            <v>786</v>
          </cell>
        </row>
        <row r="23">
          <cell r="HK23">
            <v>619</v>
          </cell>
        </row>
        <row r="27">
          <cell r="HK27">
            <v>13</v>
          </cell>
        </row>
        <row r="28">
          <cell r="HK28">
            <v>20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  <cell r="HH41">
            <v>2953</v>
          </cell>
          <cell r="HI41">
            <v>361</v>
          </cell>
          <cell r="HJ41"/>
          <cell r="HK41">
            <v>1405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20</v>
          </cell>
          <cell r="HI64">
            <v>11</v>
          </cell>
          <cell r="HJ64">
            <v>0</v>
          </cell>
          <cell r="HK64">
            <v>0</v>
          </cell>
        </row>
      </sheetData>
      <sheetData sheetId="49">
        <row r="4">
          <cell r="HK4">
            <v>133</v>
          </cell>
        </row>
        <row r="5">
          <cell r="HK5">
            <v>133</v>
          </cell>
        </row>
        <row r="8">
          <cell r="HK8"/>
        </row>
        <row r="9">
          <cell r="HK9"/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GT19">
            <v>42</v>
          </cell>
          <cell r="GU19">
            <v>95</v>
          </cell>
          <cell r="GV19">
            <v>270</v>
          </cell>
          <cell r="GW19">
            <v>339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  <cell r="HH19">
            <v>112</v>
          </cell>
          <cell r="HI19">
            <v>272</v>
          </cell>
          <cell r="HJ19">
            <v>286</v>
          </cell>
          <cell r="HK19">
            <v>266</v>
          </cell>
        </row>
        <row r="22">
          <cell r="HK22">
            <v>8607</v>
          </cell>
        </row>
        <row r="23">
          <cell r="HK23">
            <v>9062</v>
          </cell>
        </row>
        <row r="27">
          <cell r="HK27">
            <v>307</v>
          </cell>
        </row>
        <row r="28">
          <cell r="HK28">
            <v>237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GT41">
            <v>1627</v>
          </cell>
          <cell r="GU41">
            <v>4740</v>
          </cell>
          <cell r="GV41">
            <v>13739</v>
          </cell>
          <cell r="GW41">
            <v>17449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  <cell r="HH41">
            <v>7401</v>
          </cell>
          <cell r="HI41">
            <v>18130</v>
          </cell>
          <cell r="HJ41">
            <v>19683</v>
          </cell>
          <cell r="HK41">
            <v>17669</v>
          </cell>
        </row>
        <row r="47">
          <cell r="HK47"/>
        </row>
        <row r="48">
          <cell r="HK48"/>
        </row>
        <row r="52">
          <cell r="HK52">
            <v>629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GT64">
            <v>471</v>
          </cell>
          <cell r="GU64">
            <v>945</v>
          </cell>
          <cell r="GV64">
            <v>1962</v>
          </cell>
          <cell r="GW64">
            <v>363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  <cell r="HH64">
            <v>129</v>
          </cell>
          <cell r="HI64">
            <v>601</v>
          </cell>
          <cell r="HJ64">
            <v>2009</v>
          </cell>
          <cell r="HK64">
            <v>629</v>
          </cell>
        </row>
      </sheetData>
      <sheetData sheetId="50">
        <row r="4">
          <cell r="HK4">
            <v>35</v>
          </cell>
        </row>
        <row r="5">
          <cell r="HK5">
            <v>35</v>
          </cell>
        </row>
        <row r="8">
          <cell r="HK8"/>
        </row>
        <row r="9">
          <cell r="HK9"/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GT19">
            <v>8</v>
          </cell>
          <cell r="GU19">
            <v>0</v>
          </cell>
          <cell r="GV19">
            <v>193</v>
          </cell>
          <cell r="GW19">
            <v>182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  <cell r="HH19">
            <v>112</v>
          </cell>
          <cell r="HI19">
            <v>168</v>
          </cell>
          <cell r="HJ19">
            <v>76</v>
          </cell>
          <cell r="HK19">
            <v>70</v>
          </cell>
        </row>
        <row r="22">
          <cell r="HK22">
            <v>2379</v>
          </cell>
        </row>
        <row r="23">
          <cell r="HK23">
            <v>2390</v>
          </cell>
        </row>
        <row r="27">
          <cell r="HK27">
            <v>47</v>
          </cell>
        </row>
        <row r="28">
          <cell r="HK28">
            <v>43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GT41">
            <v>141</v>
          </cell>
          <cell r="GU41">
            <v>0</v>
          </cell>
          <cell r="GV41">
            <v>6161</v>
          </cell>
          <cell r="GW41">
            <v>6817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  <cell r="HH41">
            <v>6887</v>
          </cell>
          <cell r="HI41">
            <v>10767</v>
          </cell>
          <cell r="HJ41">
            <v>4953</v>
          </cell>
          <cell r="HK41">
            <v>4769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51">
        <row r="8">
          <cell r="HK8"/>
        </row>
        <row r="9">
          <cell r="HK9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52">
        <row r="4">
          <cell r="HK4">
            <v>3210</v>
          </cell>
        </row>
        <row r="5">
          <cell r="HK5">
            <v>3208</v>
          </cell>
        </row>
        <row r="8">
          <cell r="HK8">
            <v>1</v>
          </cell>
        </row>
        <row r="9">
          <cell r="HK9">
            <v>3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  <cell r="HH15">
            <v>31</v>
          </cell>
          <cell r="HI15">
            <v>30</v>
          </cell>
          <cell r="HJ15">
            <v>31</v>
          </cell>
          <cell r="HK15">
            <v>31</v>
          </cell>
        </row>
        <row r="16">
          <cell r="HD16">
            <v>115</v>
          </cell>
          <cell r="HE16">
            <v>58</v>
          </cell>
          <cell r="HF16"/>
          <cell r="HG16">
            <v>30</v>
          </cell>
          <cell r="HH16">
            <v>31</v>
          </cell>
          <cell r="HI16">
            <v>30</v>
          </cell>
          <cell r="HJ16">
            <v>31</v>
          </cell>
          <cell r="HK16">
            <v>31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GT19">
            <v>1550</v>
          </cell>
          <cell r="GU19">
            <v>1468</v>
          </cell>
          <cell r="GV19">
            <v>3144</v>
          </cell>
          <cell r="GW19">
            <v>4141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  <cell r="HH19">
            <v>5716</v>
          </cell>
          <cell r="HI19">
            <v>6288</v>
          </cell>
          <cell r="HJ19">
            <v>6687</v>
          </cell>
          <cell r="HK19">
            <v>6484</v>
          </cell>
        </row>
        <row r="22">
          <cell r="HK22">
            <v>157122</v>
          </cell>
        </row>
        <row r="23">
          <cell r="HK23">
            <v>160740</v>
          </cell>
        </row>
        <row r="27">
          <cell r="HK27">
            <v>5325</v>
          </cell>
        </row>
        <row r="28">
          <cell r="HK28">
            <v>5219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  <cell r="HH32">
            <v>1297</v>
          </cell>
          <cell r="HI32">
            <v>1416</v>
          </cell>
          <cell r="HJ32">
            <v>2076</v>
          </cell>
          <cell r="HK32">
            <v>2167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  <cell r="HH33">
            <v>1375</v>
          </cell>
          <cell r="HI33">
            <v>1485</v>
          </cell>
          <cell r="HJ33">
            <v>1848</v>
          </cell>
          <cell r="HK33">
            <v>2075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  <cell r="HH37">
            <v>11</v>
          </cell>
          <cell r="HI37">
            <v>10</v>
          </cell>
          <cell r="HJ37">
            <v>13</v>
          </cell>
          <cell r="HK37">
            <v>19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  <cell r="HH38">
            <v>6</v>
          </cell>
          <cell r="HI38">
            <v>5</v>
          </cell>
          <cell r="HJ38">
            <v>9</v>
          </cell>
          <cell r="HK38">
            <v>17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GT41">
            <v>26012</v>
          </cell>
          <cell r="GU41">
            <v>38416</v>
          </cell>
          <cell r="GV41">
            <v>84863</v>
          </cell>
          <cell r="GW41">
            <v>110567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  <cell r="HH41">
            <v>299887</v>
          </cell>
          <cell r="HI41">
            <v>282064</v>
          </cell>
          <cell r="HJ41">
            <v>408235</v>
          </cell>
          <cell r="HK41">
            <v>322104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>
            <v>60473</v>
          </cell>
        </row>
        <row r="71">
          <cell r="HK71">
            <v>100267</v>
          </cell>
        </row>
        <row r="73">
          <cell r="HK73">
            <v>781</v>
          </cell>
        </row>
        <row r="74">
          <cell r="HK74">
            <v>1294</v>
          </cell>
        </row>
      </sheetData>
      <sheetData sheetId="53"/>
      <sheetData sheetId="54">
        <row r="4">
          <cell r="HK4">
            <v>25</v>
          </cell>
        </row>
        <row r="5">
          <cell r="HK5">
            <v>25</v>
          </cell>
        </row>
        <row r="8">
          <cell r="HK8"/>
        </row>
        <row r="9">
          <cell r="HK9"/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GT19">
            <v>0</v>
          </cell>
          <cell r="GU19">
            <v>0</v>
          </cell>
          <cell r="GV19">
            <v>116</v>
          </cell>
          <cell r="GW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  <cell r="HH19">
            <v>16</v>
          </cell>
          <cell r="HI19">
            <v>56</v>
          </cell>
          <cell r="HJ19">
            <v>116</v>
          </cell>
          <cell r="HK19">
            <v>50</v>
          </cell>
        </row>
        <row r="22">
          <cell r="HK22">
            <v>1276</v>
          </cell>
        </row>
        <row r="23">
          <cell r="HK23">
            <v>1377</v>
          </cell>
        </row>
        <row r="27">
          <cell r="HK27">
            <v>78</v>
          </cell>
        </row>
        <row r="28">
          <cell r="HK28">
            <v>73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GT41">
            <v>0</v>
          </cell>
          <cell r="GU41">
            <v>0</v>
          </cell>
          <cell r="GV41">
            <v>6402</v>
          </cell>
          <cell r="GW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  <cell r="HH41">
            <v>849</v>
          </cell>
          <cell r="HI41">
            <v>3147</v>
          </cell>
          <cell r="HJ41">
            <v>6402</v>
          </cell>
          <cell r="HK41">
            <v>2653</v>
          </cell>
        </row>
        <row r="47">
          <cell r="HK47">
            <v>14</v>
          </cell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GT64">
            <v>0</v>
          </cell>
          <cell r="GU64">
            <v>0</v>
          </cell>
          <cell r="GV64">
            <v>84</v>
          </cell>
          <cell r="GW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  <cell r="HH64">
            <v>0</v>
          </cell>
          <cell r="HI64">
            <v>256</v>
          </cell>
          <cell r="HJ64">
            <v>84</v>
          </cell>
          <cell r="HK64">
            <v>14</v>
          </cell>
        </row>
      </sheetData>
      <sheetData sheetId="55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13</v>
          </cell>
          <cell r="GU19">
            <v>27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365</v>
          </cell>
          <cell r="GU41">
            <v>1014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</v>
          </cell>
          <cell r="GU64">
            <v>216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56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G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57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22">
          <cell r="HK22"/>
        </row>
        <row r="23">
          <cell r="HK23"/>
        </row>
        <row r="27">
          <cell r="HK27"/>
        </row>
        <row r="28">
          <cell r="HK28"/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  <cell r="HH41">
            <v>0</v>
          </cell>
          <cell r="HI41">
            <v>0</v>
          </cell>
          <cell r="HJ41">
            <v>0</v>
          </cell>
          <cell r="HK41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BH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  <row r="70">
          <cell r="HK70"/>
        </row>
        <row r="71">
          <cell r="HK71"/>
        </row>
        <row r="73">
          <cell r="HK73"/>
        </row>
        <row r="74">
          <cell r="HK74"/>
        </row>
      </sheetData>
      <sheetData sheetId="58"/>
      <sheetData sheetId="59"/>
      <sheetData sheetId="60"/>
      <sheetData sheetId="61">
        <row r="4">
          <cell r="HK4"/>
        </row>
        <row r="5">
          <cell r="HK5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22">
          <cell r="HK22"/>
        </row>
        <row r="23">
          <cell r="HK23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</sheetData>
      <sheetData sheetId="62">
        <row r="4">
          <cell r="HK4"/>
        </row>
        <row r="5">
          <cell r="HK5"/>
        </row>
        <row r="15">
          <cell r="HK15"/>
        </row>
        <row r="16">
          <cell r="HK16"/>
        </row>
        <row r="22">
          <cell r="HK22"/>
        </row>
        <row r="23">
          <cell r="HK23"/>
        </row>
        <row r="32">
          <cell r="HK32"/>
        </row>
        <row r="33">
          <cell r="HK33"/>
        </row>
      </sheetData>
      <sheetData sheetId="63">
        <row r="5">
          <cell r="HK5"/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/>
          <cell r="HK16"/>
        </row>
        <row r="22">
          <cell r="HK22"/>
        </row>
        <row r="23">
          <cell r="HK23"/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/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</sheetData>
      <sheetData sheetId="64">
        <row r="4">
          <cell r="HK4">
            <v>1</v>
          </cell>
        </row>
        <row r="5">
          <cell r="HK5">
            <v>2</v>
          </cell>
        </row>
        <row r="15">
          <cell r="HD15"/>
          <cell r="HE15"/>
          <cell r="HF15"/>
          <cell r="HG15"/>
          <cell r="HH15"/>
          <cell r="HJ15"/>
          <cell r="HK15"/>
        </row>
        <row r="16">
          <cell r="HD16"/>
          <cell r="HE16"/>
          <cell r="HF16"/>
          <cell r="HG16"/>
          <cell r="HH16"/>
          <cell r="HJ16">
            <v>2</v>
          </cell>
          <cell r="HK16"/>
        </row>
        <row r="22">
          <cell r="HK22">
            <v>126</v>
          </cell>
        </row>
        <row r="23">
          <cell r="HK23">
            <v>252</v>
          </cell>
        </row>
        <row r="32">
          <cell r="HD32"/>
          <cell r="HE32"/>
          <cell r="HF32"/>
          <cell r="HG32"/>
          <cell r="HH32"/>
          <cell r="HI32"/>
          <cell r="HJ32"/>
          <cell r="HK32"/>
        </row>
        <row r="33">
          <cell r="HD33"/>
          <cell r="HE33"/>
          <cell r="HF33"/>
          <cell r="HG33"/>
          <cell r="HH33"/>
          <cell r="HI33"/>
          <cell r="HJ33">
            <v>51</v>
          </cell>
          <cell r="HK33"/>
        </row>
        <row r="37">
          <cell r="HD37"/>
          <cell r="HE37"/>
          <cell r="HF37"/>
          <cell r="HG37"/>
          <cell r="HH37"/>
          <cell r="HI37"/>
          <cell r="HJ37"/>
          <cell r="HK37"/>
        </row>
        <row r="38">
          <cell r="HD38"/>
          <cell r="HE38"/>
          <cell r="HF38"/>
          <cell r="HG38"/>
          <cell r="HH38"/>
          <cell r="HI38"/>
          <cell r="HJ38"/>
          <cell r="HK38"/>
        </row>
      </sheetData>
      <sheetData sheetId="65">
        <row r="4">
          <cell r="HK4">
            <v>32</v>
          </cell>
        </row>
        <row r="5">
          <cell r="HK5">
            <v>32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GT19">
            <v>40</v>
          </cell>
          <cell r="GU19">
            <v>0</v>
          </cell>
          <cell r="GV19">
            <v>0</v>
          </cell>
          <cell r="GW19">
            <v>2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  <cell r="HH19">
            <v>62</v>
          </cell>
          <cell r="HI19">
            <v>66</v>
          </cell>
          <cell r="HJ19">
            <v>66</v>
          </cell>
          <cell r="HK19">
            <v>64</v>
          </cell>
        </row>
        <row r="47">
          <cell r="HK47">
            <v>2248616</v>
          </cell>
        </row>
        <row r="48">
          <cell r="HK48"/>
        </row>
        <row r="52">
          <cell r="HK52">
            <v>1131437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GT64">
            <v>2215535</v>
          </cell>
          <cell r="GU64">
            <v>0</v>
          </cell>
          <cell r="GV64">
            <v>0</v>
          </cell>
          <cell r="GW64">
            <v>18647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  <cell r="HH64">
            <v>2303278</v>
          </cell>
          <cell r="HI64">
            <v>2947662</v>
          </cell>
          <cell r="HJ64">
            <v>3566632</v>
          </cell>
          <cell r="HK64">
            <v>3380053</v>
          </cell>
        </row>
      </sheetData>
      <sheetData sheetId="66">
        <row r="4">
          <cell r="HK4">
            <v>62</v>
          </cell>
        </row>
        <row r="5">
          <cell r="HK5">
            <v>61</v>
          </cell>
        </row>
        <row r="8">
          <cell r="HK8"/>
        </row>
        <row r="9">
          <cell r="HK9"/>
        </row>
        <row r="15">
          <cell r="HK15"/>
        </row>
        <row r="16"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124</v>
          </cell>
          <cell r="GV19">
            <v>119</v>
          </cell>
          <cell r="GW19">
            <v>127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  <cell r="HH19">
            <v>127</v>
          </cell>
          <cell r="HI19">
            <v>123</v>
          </cell>
          <cell r="HJ19">
            <v>118</v>
          </cell>
          <cell r="HK19">
            <v>123</v>
          </cell>
        </row>
        <row r="47">
          <cell r="HK47">
            <v>2210080</v>
          </cell>
        </row>
        <row r="48">
          <cell r="HK48"/>
        </row>
        <row r="52">
          <cell r="HK52">
            <v>1425528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707600</v>
          </cell>
          <cell r="GU64">
            <v>2081845</v>
          </cell>
          <cell r="GV64">
            <v>2131850</v>
          </cell>
          <cell r="GW64">
            <v>2326355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  <cell r="HH64">
            <v>2977764</v>
          </cell>
          <cell r="HI64">
            <v>3541644</v>
          </cell>
          <cell r="HJ64">
            <v>3086714</v>
          </cell>
          <cell r="HK64">
            <v>3635608</v>
          </cell>
        </row>
      </sheetData>
      <sheetData sheetId="67">
        <row r="4">
          <cell r="HK4">
            <v>1</v>
          </cell>
        </row>
        <row r="5">
          <cell r="HK5">
            <v>1</v>
          </cell>
        </row>
        <row r="15">
          <cell r="HK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</v>
          </cell>
        </row>
        <row r="47">
          <cell r="HK47">
            <v>39615</v>
          </cell>
        </row>
        <row r="48">
          <cell r="HK48"/>
        </row>
        <row r="52">
          <cell r="HK52">
            <v>20096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59711</v>
          </cell>
        </row>
      </sheetData>
      <sheetData sheetId="68">
        <row r="4">
          <cell r="HK4"/>
        </row>
        <row r="5">
          <cell r="HK5"/>
        </row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GT19">
            <v>2</v>
          </cell>
          <cell r="GU19"/>
          <cell r="GV19"/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GT64">
            <v>105861</v>
          </cell>
          <cell r="GU64"/>
          <cell r="GV64"/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69">
        <row r="4">
          <cell r="HK4"/>
        </row>
        <row r="5">
          <cell r="HK5"/>
        </row>
        <row r="8">
          <cell r="HK8"/>
        </row>
        <row r="9">
          <cell r="HK9"/>
        </row>
        <row r="15">
          <cell r="HK15"/>
        </row>
        <row r="16">
          <cell r="HK16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2</v>
          </cell>
          <cell r="GU19">
            <v>4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7">
          <cell r="HK47"/>
        </row>
        <row r="52">
          <cell r="HK52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60721</v>
          </cell>
          <cell r="GU64">
            <v>125645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70">
        <row r="4">
          <cell r="HK4">
            <v>14</v>
          </cell>
        </row>
        <row r="5">
          <cell r="HK5">
            <v>14</v>
          </cell>
        </row>
        <row r="15">
          <cell r="HK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28</v>
          </cell>
        </row>
        <row r="47">
          <cell r="HK47">
            <v>28754</v>
          </cell>
        </row>
        <row r="48">
          <cell r="HK48"/>
        </row>
        <row r="52">
          <cell r="HK52">
            <v>19208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47962</v>
          </cell>
        </row>
      </sheetData>
      <sheetData sheetId="71">
        <row r="4">
          <cell r="HK4">
            <v>30</v>
          </cell>
        </row>
        <row r="5">
          <cell r="HK5">
            <v>30</v>
          </cell>
        </row>
        <row r="12">
          <cell r="HK12">
            <v>60</v>
          </cell>
        </row>
        <row r="15">
          <cell r="HK15"/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GT19">
            <v>84</v>
          </cell>
          <cell r="GU19">
            <v>90</v>
          </cell>
          <cell r="GV19">
            <v>92</v>
          </cell>
          <cell r="GW19">
            <v>82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  <cell r="HH19">
            <v>86</v>
          </cell>
          <cell r="HI19">
            <v>86</v>
          </cell>
          <cell r="HJ19">
            <v>88</v>
          </cell>
          <cell r="HK19">
            <v>60</v>
          </cell>
        </row>
        <row r="47">
          <cell r="HK47">
            <v>53016</v>
          </cell>
        </row>
        <row r="48">
          <cell r="HK48"/>
        </row>
        <row r="52">
          <cell r="HK52">
            <v>41755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GT64">
            <v>128008</v>
          </cell>
          <cell r="GU64">
            <v>126727</v>
          </cell>
          <cell r="GV64">
            <v>124719</v>
          </cell>
          <cell r="GW64">
            <v>109569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  <cell r="HH64">
            <v>145075</v>
          </cell>
          <cell r="HI64">
            <v>145930</v>
          </cell>
          <cell r="HJ64">
            <v>147747</v>
          </cell>
          <cell r="HK64">
            <v>94771</v>
          </cell>
        </row>
      </sheetData>
      <sheetData sheetId="72">
        <row r="4">
          <cell r="HK4">
            <v>4</v>
          </cell>
        </row>
        <row r="5">
          <cell r="HK5">
            <v>4</v>
          </cell>
        </row>
        <row r="15">
          <cell r="HK15"/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2</v>
          </cell>
          <cell r="GW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  <cell r="HH19">
            <v>0</v>
          </cell>
          <cell r="HI19">
            <v>6</v>
          </cell>
          <cell r="HJ19">
            <v>10</v>
          </cell>
          <cell r="HK19">
            <v>8</v>
          </cell>
        </row>
        <row r="47">
          <cell r="HK47">
            <v>139672.43</v>
          </cell>
        </row>
        <row r="48">
          <cell r="HK48"/>
        </row>
        <row r="52">
          <cell r="HK52">
            <v>114328.35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36833</v>
          </cell>
          <cell r="GW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  <cell r="HH64">
            <v>0</v>
          </cell>
          <cell r="HI64">
            <v>131963</v>
          </cell>
          <cell r="HJ64">
            <v>283339</v>
          </cell>
          <cell r="HK64">
            <v>254000.78</v>
          </cell>
        </row>
      </sheetData>
      <sheetData sheetId="73">
        <row r="4">
          <cell r="HK4"/>
        </row>
        <row r="5">
          <cell r="HK5"/>
        </row>
        <row r="15">
          <cell r="HK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46833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74">
        <row r="4">
          <cell r="HK4">
            <v>21</v>
          </cell>
        </row>
        <row r="5">
          <cell r="HK5">
            <v>21</v>
          </cell>
        </row>
        <row r="15">
          <cell r="HK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38</v>
          </cell>
          <cell r="GU19">
            <v>40</v>
          </cell>
          <cell r="GV19">
            <v>44</v>
          </cell>
          <cell r="GW19">
            <v>38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  <cell r="HH19">
            <v>52</v>
          </cell>
          <cell r="HI19">
            <v>42</v>
          </cell>
          <cell r="HJ19">
            <v>34</v>
          </cell>
          <cell r="HK19">
            <v>42</v>
          </cell>
        </row>
        <row r="47">
          <cell r="HK47">
            <v>688400</v>
          </cell>
        </row>
        <row r="48">
          <cell r="HK48"/>
        </row>
        <row r="52">
          <cell r="HK52">
            <v>419593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1063472</v>
          </cell>
          <cell r="GU64">
            <v>1147904</v>
          </cell>
          <cell r="GV64">
            <v>1114604</v>
          </cell>
          <cell r="GW64">
            <v>1114604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  <cell r="HH64">
            <v>1216194</v>
          </cell>
          <cell r="HI64">
            <v>1002985</v>
          </cell>
          <cell r="HJ64">
            <v>842468</v>
          </cell>
          <cell r="HK64">
            <v>1107993</v>
          </cell>
        </row>
      </sheetData>
      <sheetData sheetId="75">
        <row r="4">
          <cell r="HK4"/>
        </row>
        <row r="5">
          <cell r="HK5"/>
        </row>
        <row r="15">
          <cell r="HK15"/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76"/>
      <sheetData sheetId="77">
        <row r="4">
          <cell r="HK4">
            <v>145</v>
          </cell>
        </row>
        <row r="5">
          <cell r="HK5">
            <v>145</v>
          </cell>
        </row>
        <row r="15">
          <cell r="HK15"/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GT19">
            <v>236</v>
          </cell>
          <cell r="GU19">
            <v>234</v>
          </cell>
          <cell r="GV19">
            <v>242</v>
          </cell>
          <cell r="GW19">
            <v>250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  <cell r="HH19">
            <v>280</v>
          </cell>
          <cell r="HI19">
            <v>280</v>
          </cell>
          <cell r="HJ19">
            <v>284</v>
          </cell>
          <cell r="HK19">
            <v>290</v>
          </cell>
        </row>
        <row r="47">
          <cell r="HK47">
            <v>8790717</v>
          </cell>
        </row>
        <row r="48">
          <cell r="HK48"/>
        </row>
        <row r="52">
          <cell r="HK52">
            <v>7344596</v>
          </cell>
        </row>
        <row r="53">
          <cell r="HK53"/>
        </row>
        <row r="57">
          <cell r="HK57"/>
        </row>
        <row r="58">
          <cell r="HK58"/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GT64">
            <v>15683019</v>
          </cell>
          <cell r="GU64">
            <v>15376219</v>
          </cell>
          <cell r="GV64">
            <v>16026922</v>
          </cell>
          <cell r="GW64">
            <v>15280794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  <cell r="HH64">
            <v>16270353</v>
          </cell>
          <cell r="HI64">
            <v>16798628</v>
          </cell>
          <cell r="HJ64">
            <v>16240245</v>
          </cell>
          <cell r="HK64">
            <v>16135313</v>
          </cell>
        </row>
      </sheetData>
      <sheetData sheetId="78">
        <row r="4">
          <cell r="HK4">
            <v>21</v>
          </cell>
        </row>
        <row r="5">
          <cell r="HK5">
            <v>21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GT19">
            <v>42</v>
          </cell>
          <cell r="GU19">
            <v>42</v>
          </cell>
          <cell r="GV19">
            <v>44</v>
          </cell>
          <cell r="GW19">
            <v>42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  <cell r="HH19">
            <v>42</v>
          </cell>
          <cell r="HI19">
            <v>42</v>
          </cell>
          <cell r="HJ19">
            <v>46</v>
          </cell>
          <cell r="HK19">
            <v>42</v>
          </cell>
        </row>
        <row r="47">
          <cell r="HK47"/>
        </row>
        <row r="48">
          <cell r="HK48">
            <v>57265</v>
          </cell>
        </row>
        <row r="52">
          <cell r="HK52"/>
        </row>
        <row r="53">
          <cell r="HK53">
            <v>113059</v>
          </cell>
        </row>
        <row r="57">
          <cell r="HK57"/>
        </row>
        <row r="58">
          <cell r="HK58"/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GT64">
            <v>182998</v>
          </cell>
          <cell r="GU64">
            <v>152330</v>
          </cell>
          <cell r="GV64">
            <v>171253</v>
          </cell>
          <cell r="GW64">
            <v>152296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  <cell r="HH64">
            <v>184077</v>
          </cell>
          <cell r="HI64">
            <v>178462</v>
          </cell>
          <cell r="HJ64">
            <v>182633</v>
          </cell>
          <cell r="HK64">
            <v>170324</v>
          </cell>
        </row>
      </sheetData>
      <sheetData sheetId="79">
        <row r="4">
          <cell r="HK4">
            <v>18</v>
          </cell>
        </row>
        <row r="5">
          <cell r="HK5">
            <v>18</v>
          </cell>
        </row>
        <row r="15">
          <cell r="HK15"/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GT19">
            <v>30</v>
          </cell>
          <cell r="GU19">
            <v>30</v>
          </cell>
          <cell r="GV19">
            <v>36</v>
          </cell>
          <cell r="GW19">
            <v>30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  <cell r="HH19">
            <v>30</v>
          </cell>
          <cell r="HI19">
            <v>36</v>
          </cell>
          <cell r="HJ19">
            <v>32</v>
          </cell>
          <cell r="HK19">
            <v>36</v>
          </cell>
        </row>
        <row r="47">
          <cell r="HK47">
            <v>65169</v>
          </cell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GT64">
            <v>49063</v>
          </cell>
          <cell r="GU64">
            <v>62630</v>
          </cell>
          <cell r="GV64">
            <v>71798</v>
          </cell>
          <cell r="GW64">
            <v>59763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  <cell r="HH64">
            <v>45381</v>
          </cell>
          <cell r="HI64">
            <v>68429</v>
          </cell>
          <cell r="HJ64">
            <v>54475</v>
          </cell>
          <cell r="HK64">
            <v>65169</v>
          </cell>
        </row>
      </sheetData>
      <sheetData sheetId="80">
        <row r="4">
          <cell r="HK4">
            <v>136</v>
          </cell>
        </row>
        <row r="5">
          <cell r="HK5">
            <v>136</v>
          </cell>
        </row>
        <row r="15">
          <cell r="HK15">
            <v>16</v>
          </cell>
        </row>
        <row r="16">
          <cell r="HK16">
            <v>17</v>
          </cell>
        </row>
        <row r="19">
          <cell r="GP19">
            <v>282</v>
          </cell>
          <cell r="GQ19">
            <v>236</v>
          </cell>
          <cell r="GR19">
            <v>255</v>
          </cell>
          <cell r="GS19">
            <v>295</v>
          </cell>
          <cell r="GT19">
            <v>264</v>
          </cell>
          <cell r="GU19">
            <v>276</v>
          </cell>
          <cell r="GV19">
            <v>298</v>
          </cell>
          <cell r="GW19">
            <v>261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  <cell r="HH19">
            <v>304</v>
          </cell>
          <cell r="HI19">
            <v>318</v>
          </cell>
          <cell r="HJ19">
            <v>314</v>
          </cell>
          <cell r="HK19">
            <v>305</v>
          </cell>
        </row>
        <row r="47">
          <cell r="HK47">
            <v>6313951</v>
          </cell>
        </row>
        <row r="48">
          <cell r="HK48">
            <v>762921</v>
          </cell>
        </row>
        <row r="52">
          <cell r="HK52">
            <v>5367430</v>
          </cell>
        </row>
        <row r="53">
          <cell r="HK53">
            <v>778290</v>
          </cell>
        </row>
        <row r="57">
          <cell r="HK57"/>
        </row>
        <row r="58">
          <cell r="HK58"/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GT64">
            <v>11129346</v>
          </cell>
          <cell r="GU64">
            <v>12302785</v>
          </cell>
          <cell r="GV64">
            <v>13072481</v>
          </cell>
          <cell r="GW64">
            <v>12478290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  <cell r="HH64">
            <v>13074677</v>
          </cell>
          <cell r="HI64">
            <v>14408897</v>
          </cell>
          <cell r="HJ64">
            <v>13714440</v>
          </cell>
          <cell r="HK64">
            <v>13222592</v>
          </cell>
        </row>
      </sheetData>
      <sheetData sheetId="81"/>
      <sheetData sheetId="82"/>
      <sheetData sheetId="83"/>
      <sheetData sheetId="84">
        <row r="4">
          <cell r="HK4">
            <v>218</v>
          </cell>
        </row>
        <row r="5">
          <cell r="HK5">
            <v>218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GT19">
            <v>384</v>
          </cell>
          <cell r="GU19">
            <v>394</v>
          </cell>
          <cell r="GV19">
            <v>400</v>
          </cell>
          <cell r="GW19">
            <v>386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  <cell r="HH19">
            <v>394</v>
          </cell>
          <cell r="HI19">
            <v>444</v>
          </cell>
          <cell r="HJ19">
            <v>428</v>
          </cell>
          <cell r="HK19">
            <v>436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  <cell r="HH19">
            <v>0</v>
          </cell>
          <cell r="HI19">
            <v>0</v>
          </cell>
          <cell r="HJ19">
            <v>0</v>
          </cell>
          <cell r="HK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  <cell r="HH64">
            <v>0</v>
          </cell>
          <cell r="HI64">
            <v>0</v>
          </cell>
          <cell r="HJ64">
            <v>0</v>
          </cell>
          <cell r="HK64">
            <v>0</v>
          </cell>
        </row>
      </sheetData>
      <sheetData sheetId="86">
        <row r="4">
          <cell r="HK4"/>
        </row>
        <row r="5">
          <cell r="HK5"/>
        </row>
        <row r="8">
          <cell r="HK8"/>
        </row>
        <row r="9">
          <cell r="HK9"/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GT19">
            <v>0</v>
          </cell>
          <cell r="GU19">
            <v>0</v>
          </cell>
          <cell r="GV19">
            <v>0</v>
          </cell>
          <cell r="GW19">
            <v>4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  <cell r="HH19">
            <v>0</v>
          </cell>
          <cell r="HI19">
            <v>2</v>
          </cell>
          <cell r="HJ19">
            <v>0</v>
          </cell>
          <cell r="HK19">
            <v>0</v>
          </cell>
        </row>
        <row r="47">
          <cell r="HK47"/>
        </row>
        <row r="48">
          <cell r="HK48"/>
        </row>
        <row r="52">
          <cell r="HK52"/>
        </row>
        <row r="53">
          <cell r="HK53"/>
        </row>
        <row r="57">
          <cell r="HK57"/>
        </row>
        <row r="58">
          <cell r="HK58"/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3860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  <cell r="HH64">
            <v>0</v>
          </cell>
          <cell r="HI64">
            <v>2979</v>
          </cell>
          <cell r="HJ64">
            <v>0</v>
          </cell>
          <cell r="HK64">
            <v>0</v>
          </cell>
        </row>
      </sheetData>
      <sheetData sheetId="87">
        <row r="4">
          <cell r="HK4">
            <v>40</v>
          </cell>
        </row>
        <row r="5">
          <cell r="HK5">
            <v>40</v>
          </cell>
        </row>
      </sheetData>
      <sheetData sheetId="88">
        <row r="4">
          <cell r="HK4">
            <v>776</v>
          </cell>
        </row>
        <row r="5">
          <cell r="HK5">
            <v>777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K6" sqref="K6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0" customWidth="1"/>
    <col min="11" max="12" width="8.7109375" customWidth="1"/>
    <col min="14" max="14" width="9.85546875" customWidth="1"/>
  </cols>
  <sheetData>
    <row r="1" spans="1:14" hidden="1" x14ac:dyDescent="0.2"/>
    <row r="2" spans="1:14" ht="12.75" customHeight="1" x14ac:dyDescent="0.2">
      <c r="A2" s="351">
        <v>44409</v>
      </c>
      <c r="B2" s="16"/>
      <c r="C2" s="16"/>
      <c r="D2" s="552" t="s">
        <v>229</v>
      </c>
      <c r="E2" s="552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3"/>
      <c r="E3" s="554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1015029</v>
      </c>
      <c r="C5" s="268">
        <f>'Major Airline Stats'!K5</f>
        <v>991748</v>
      </c>
      <c r="D5" s="5">
        <f>'Major Airline Stats'!K6</f>
        <v>2006777</v>
      </c>
      <c r="E5" s="9">
        <f>'[1]Monthly Summary'!D5</f>
        <v>803553</v>
      </c>
      <c r="F5" s="38">
        <f>(D5-E5)/E5</f>
        <v>1.4973797621314338</v>
      </c>
      <c r="G5" s="9">
        <f>+D5+'[2]Monthly Summary'!G5</f>
        <v>11603848</v>
      </c>
      <c r="H5" s="9">
        <f>'[1]Monthly Summary'!G5</f>
        <v>7935068</v>
      </c>
      <c r="I5" s="83">
        <f>(G5-H5)/H5</f>
        <v>0.4623501651151572</v>
      </c>
      <c r="J5" s="9"/>
    </row>
    <row r="6" spans="1:14" x14ac:dyDescent="0.2">
      <c r="A6" s="65" t="s">
        <v>5</v>
      </c>
      <c r="B6" s="266">
        <f>'Regional Major'!M5</f>
        <v>288058</v>
      </c>
      <c r="C6" s="266">
        <f>'Regional Major'!M6</f>
        <v>294831</v>
      </c>
      <c r="D6" s="5">
        <f>B6+C6</f>
        <v>582889</v>
      </c>
      <c r="E6" s="9">
        <f>'[1]Monthly Summary'!D6</f>
        <v>277184</v>
      </c>
      <c r="F6" s="38">
        <f>(D6-E6)/E6</f>
        <v>1.1028955495266681</v>
      </c>
      <c r="G6" s="9">
        <f>+D6+'[2]Monthly Summary'!G6</f>
        <v>3575208</v>
      </c>
      <c r="H6" s="9">
        <f>'[1]Monthly Summary'!G6</f>
        <v>2226061</v>
      </c>
      <c r="I6" s="83">
        <f>(G6-H6)/H6</f>
        <v>0.60606919576777096</v>
      </c>
      <c r="J6" s="19"/>
      <c r="K6" s="2"/>
    </row>
    <row r="7" spans="1:14" x14ac:dyDescent="0.2">
      <c r="A7" s="65" t="s">
        <v>6</v>
      </c>
      <c r="B7" s="9">
        <f>Charter!G5</f>
        <v>126</v>
      </c>
      <c r="C7" s="267">
        <f>Charter!G6</f>
        <v>252</v>
      </c>
      <c r="D7" s="5">
        <f>B7+C7</f>
        <v>378</v>
      </c>
      <c r="E7" s="9">
        <f>'[1]Monthly Summary'!D7</f>
        <v>1152</v>
      </c>
      <c r="F7" s="38">
        <f>(D7-E7)/E7</f>
        <v>-0.671875</v>
      </c>
      <c r="G7" s="9">
        <f>+D7+'[2]Monthly Summary'!G7</f>
        <v>1999</v>
      </c>
      <c r="H7" s="9">
        <f>'[1]Monthly Summary'!G7</f>
        <v>2113</v>
      </c>
      <c r="I7" s="83">
        <f>(G7-H7)/H7</f>
        <v>-5.3951727401798391E-2</v>
      </c>
      <c r="J7" s="19"/>
      <c r="K7" s="2"/>
    </row>
    <row r="8" spans="1:14" x14ac:dyDescent="0.2">
      <c r="A8" s="68" t="s">
        <v>7</v>
      </c>
      <c r="B8" s="146">
        <f>SUM(B5:B7)</f>
        <v>1303213</v>
      </c>
      <c r="C8" s="146">
        <f>SUM(C5:C7)</f>
        <v>1286831</v>
      </c>
      <c r="D8" s="146">
        <f>SUM(D5:D7)</f>
        <v>2590044</v>
      </c>
      <c r="E8" s="146">
        <f>SUM(E5:E7)</f>
        <v>1081889</v>
      </c>
      <c r="F8" s="90">
        <f>(D8-E8)/E8</f>
        <v>1.3940016027522233</v>
      </c>
      <c r="G8" s="146">
        <f>SUM(G5:G7)</f>
        <v>15181055</v>
      </c>
      <c r="H8" s="146">
        <f>SUM(H5:H7)</f>
        <v>10163242</v>
      </c>
      <c r="I8" s="89">
        <f>(G8-H8)/H8</f>
        <v>0.49372168841399233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36758</v>
      </c>
      <c r="C10" s="269">
        <f>'Major Airline Stats'!K10+'Regional Major'!M11</f>
        <v>36565</v>
      </c>
      <c r="D10" s="118">
        <f>SUM(B10:C10)</f>
        <v>73323</v>
      </c>
      <c r="E10" s="118">
        <f>'[1]Monthly Summary'!D10</f>
        <v>50505</v>
      </c>
      <c r="F10" s="91">
        <f>(D10-E10)/E10</f>
        <v>0.45179685179685181</v>
      </c>
      <c r="G10" s="118">
        <f>+D10+'[2]Monthly Summary'!G10</f>
        <v>507094</v>
      </c>
      <c r="H10" s="118">
        <f>'[1]Monthly Summary'!G10</f>
        <v>427314</v>
      </c>
      <c r="I10" s="94">
        <f>(G10-H10)/H10</f>
        <v>0.18670111440299172</v>
      </c>
      <c r="J10" s="237"/>
    </row>
    <row r="11" spans="1:14" ht="15.75" thickBot="1" x14ac:dyDescent="0.3">
      <c r="A11" s="67" t="s">
        <v>13</v>
      </c>
      <c r="B11" s="246">
        <f>B10+B8</f>
        <v>1339971</v>
      </c>
      <c r="C11" s="246">
        <f>C10+C8</f>
        <v>1323396</v>
      </c>
      <c r="D11" s="246">
        <f>D10+D8</f>
        <v>2663367</v>
      </c>
      <c r="E11" s="246">
        <f>E10+E8</f>
        <v>1132394</v>
      </c>
      <c r="F11" s="92">
        <f>(D11-E11)/E11</f>
        <v>1.3519790814857726</v>
      </c>
      <c r="G11" s="246">
        <f>G8+G10</f>
        <v>15688149</v>
      </c>
      <c r="H11" s="246">
        <f>H8+H10</f>
        <v>10590556</v>
      </c>
      <c r="I11" s="95">
        <f>(G11-H11)/H11</f>
        <v>0.48133384120720385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2" t="s">
        <v>229</v>
      </c>
      <c r="E13" s="552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3"/>
      <c r="E14" s="554"/>
      <c r="F14" s="462" t="s">
        <v>2</v>
      </c>
      <c r="G14" s="520" t="s">
        <v>228</v>
      </c>
      <c r="H14" s="520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7165</v>
      </c>
      <c r="C16" s="277">
        <f>'Major Airline Stats'!K16+'Major Airline Stats'!K20</f>
        <v>7153</v>
      </c>
      <c r="D16" s="46">
        <f t="shared" ref="D16:D21" si="0">SUM(B16:C16)</f>
        <v>14318</v>
      </c>
      <c r="E16" s="9">
        <f>'[1]Monthly Summary'!D16</f>
        <v>10490</v>
      </c>
      <c r="F16" s="93">
        <f t="shared" ref="F16:F22" si="1">(D16-E16)/E16</f>
        <v>0.36491897044804578</v>
      </c>
      <c r="G16" s="9">
        <f>+D16+'[2]Monthly Summary'!G16</f>
        <v>95560</v>
      </c>
      <c r="H16" s="9">
        <f>'[1]Monthly Summary'!G16</f>
        <v>81444</v>
      </c>
      <c r="I16" s="235">
        <f t="shared" ref="I16:I22" si="2">(G16-H16)/H16</f>
        <v>0.17332154609302097</v>
      </c>
      <c r="N16" s="128"/>
    </row>
    <row r="17" spans="1:12" x14ac:dyDescent="0.2">
      <c r="A17" s="66" t="s">
        <v>5</v>
      </c>
      <c r="B17" s="46">
        <f>'Regional Major'!M15+'Regional Major'!M18</f>
        <v>5731</v>
      </c>
      <c r="C17" s="46">
        <f>'Regional Major'!M16+'Regional Major'!M19</f>
        <v>5727</v>
      </c>
      <c r="D17" s="46">
        <f>SUM(B17:C17)</f>
        <v>11458</v>
      </c>
      <c r="E17" s="9">
        <f>'[1]Monthly Summary'!D17</f>
        <v>8805</v>
      </c>
      <c r="F17" s="93">
        <f t="shared" si="1"/>
        <v>0.30130607609312893</v>
      </c>
      <c r="G17" s="9">
        <f>+D17+'[2]Monthly Summary'!G17</f>
        <v>80567</v>
      </c>
      <c r="H17" s="9">
        <f>'[1]Monthly Summary'!G17</f>
        <v>61857</v>
      </c>
      <c r="I17" s="235">
        <f t="shared" si="2"/>
        <v>0.30247183018898427</v>
      </c>
    </row>
    <row r="18" spans="1:12" x14ac:dyDescent="0.2">
      <c r="A18" s="66" t="s">
        <v>10</v>
      </c>
      <c r="B18" s="46">
        <f>Charter!G10</f>
        <v>1</v>
      </c>
      <c r="C18" s="46">
        <f>Charter!G11</f>
        <v>2</v>
      </c>
      <c r="D18" s="46">
        <f t="shared" si="0"/>
        <v>3</v>
      </c>
      <c r="E18" s="9">
        <f>'[1]Monthly Summary'!D18</f>
        <v>13</v>
      </c>
      <c r="F18" s="93">
        <f t="shared" si="1"/>
        <v>-0.76923076923076927</v>
      </c>
      <c r="G18" s="9">
        <f>+D18+'[2]Monthly Summary'!G18</f>
        <v>17</v>
      </c>
      <c r="H18" s="9">
        <f>'[1]Monthly Summary'!G18</f>
        <v>22</v>
      </c>
      <c r="I18" s="235">
        <f t="shared" si="2"/>
        <v>-0.22727272727272727</v>
      </c>
    </row>
    <row r="19" spans="1:12" x14ac:dyDescent="0.2">
      <c r="A19" s="66" t="s">
        <v>11</v>
      </c>
      <c r="B19" s="46">
        <f>Cargo!R4+Cargo!R8</f>
        <v>718</v>
      </c>
      <c r="C19" s="46">
        <f>Cargo!R5+Cargo!R9</f>
        <v>718</v>
      </c>
      <c r="D19" s="46">
        <f t="shared" si="0"/>
        <v>1436</v>
      </c>
      <c r="E19" s="9">
        <f>'[1]Monthly Summary'!D19</f>
        <v>1226</v>
      </c>
      <c r="F19" s="93">
        <f t="shared" si="1"/>
        <v>0.17128874388254486</v>
      </c>
      <c r="G19" s="9">
        <f>+D19+'[2]Monthly Summary'!G19</f>
        <v>10904</v>
      </c>
      <c r="H19" s="9">
        <f>'[1]Monthly Summary'!G19</f>
        <v>9540</v>
      </c>
      <c r="I19" s="235">
        <f t="shared" si="2"/>
        <v>0.1429769392033543</v>
      </c>
    </row>
    <row r="20" spans="1:12" x14ac:dyDescent="0.2">
      <c r="A20" s="66" t="s">
        <v>148</v>
      </c>
      <c r="B20" s="46">
        <f>'[3]General Avation'!$HK$4</f>
        <v>776</v>
      </c>
      <c r="C20" s="46">
        <f>'[3]General Avation'!$HK$5</f>
        <v>777</v>
      </c>
      <c r="D20" s="46">
        <f t="shared" si="0"/>
        <v>1553</v>
      </c>
      <c r="E20" s="9">
        <f>'[1]Monthly Summary'!D20</f>
        <v>985</v>
      </c>
      <c r="F20" s="93">
        <f t="shared" si="1"/>
        <v>0.57664974619289344</v>
      </c>
      <c r="G20" s="9">
        <f>+D20+'[2]Monthly Summary'!G20</f>
        <v>9539</v>
      </c>
      <c r="H20" s="9">
        <f>'[1]Monthly Summary'!G20</f>
        <v>7054</v>
      </c>
      <c r="I20" s="235">
        <f t="shared" si="2"/>
        <v>0.35228239296852848</v>
      </c>
    </row>
    <row r="21" spans="1:12" ht="12.75" customHeight="1" x14ac:dyDescent="0.2">
      <c r="A21" s="66" t="s">
        <v>12</v>
      </c>
      <c r="B21" s="17">
        <f>'[3]Military '!$HK$4</f>
        <v>40</v>
      </c>
      <c r="C21" s="17">
        <f>'[3]Military '!$HK$5</f>
        <v>40</v>
      </c>
      <c r="D21" s="17">
        <f t="shared" si="0"/>
        <v>80</v>
      </c>
      <c r="E21" s="118">
        <f>'[1]Monthly Summary'!D21</f>
        <v>114</v>
      </c>
      <c r="F21" s="233">
        <f t="shared" si="1"/>
        <v>-0.2982456140350877</v>
      </c>
      <c r="G21" s="118">
        <f>+D21+'[2]Monthly Summary'!G21</f>
        <v>821</v>
      </c>
      <c r="H21" s="118">
        <f>'[1]Monthly Summary'!G21</f>
        <v>654</v>
      </c>
      <c r="I21" s="236">
        <f t="shared" si="2"/>
        <v>0.25535168195718655</v>
      </c>
    </row>
    <row r="22" spans="1:12" ht="15.75" thickBot="1" x14ac:dyDescent="0.3">
      <c r="A22" s="67" t="s">
        <v>28</v>
      </c>
      <c r="B22" s="247">
        <f>SUM(B16:B21)</f>
        <v>14431</v>
      </c>
      <c r="C22" s="247">
        <f>SUM(C16:C21)</f>
        <v>14417</v>
      </c>
      <c r="D22" s="247">
        <f>SUM(D16:D21)</f>
        <v>28848</v>
      </c>
      <c r="E22" s="247">
        <f>SUM(E16:E21)</f>
        <v>21633</v>
      </c>
      <c r="F22" s="243">
        <f t="shared" si="1"/>
        <v>0.33351823602829012</v>
      </c>
      <c r="G22" s="247">
        <f>SUM(G16:G21)</f>
        <v>197408</v>
      </c>
      <c r="H22" s="247">
        <f>SUM(H16:H21)</f>
        <v>160571</v>
      </c>
      <c r="I22" s="244">
        <f t="shared" si="2"/>
        <v>0.22941253401921891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2" t="s">
        <v>229</v>
      </c>
      <c r="E24" s="552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3"/>
      <c r="E25" s="554"/>
      <c r="F25" s="462" t="s">
        <v>2</v>
      </c>
      <c r="G25" s="520" t="s">
        <v>228</v>
      </c>
      <c r="H25" s="520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(Cargo!R16+'Major Airline Stats'!K28+'Regional Major'!M25)*0.00045359237</f>
        <v>10506.610156515419</v>
      </c>
      <c r="C27" s="21">
        <f>(Cargo!R21+'Major Airline Stats'!K33+'Regional Major'!M30)*0.00045359237</f>
        <v>7787.2553696301602</v>
      </c>
      <c r="D27" s="21">
        <f>(SUM(B27:C27)+('Cargo Summary'!E17*0.00045359237))</f>
        <v>18293.865526145579</v>
      </c>
      <c r="E27" s="9">
        <f>'[1]Monthly Summary'!D27</f>
        <v>14522.2813567755</v>
      </c>
      <c r="F27" s="96">
        <f>(D27-E27)/E27</f>
        <v>0.25971017064825097</v>
      </c>
      <c r="G27" s="9">
        <f>+D27+'[2]Monthly Summary'!G27</f>
        <v>133835.78570584004</v>
      </c>
      <c r="H27" s="9">
        <f>'[1]Monthly Summary'!G27</f>
        <v>120427.88746191663</v>
      </c>
      <c r="I27" s="98">
        <f>(G27-H27)/H27</f>
        <v>0.11133549318602338</v>
      </c>
    </row>
    <row r="28" spans="1:12" x14ac:dyDescent="0.2">
      <c r="A28" s="60" t="s">
        <v>16</v>
      </c>
      <c r="B28" s="21">
        <f>(Cargo!R17+'Major Airline Stats'!K29+'Regional Major'!M26)*0.00045359237</f>
        <v>1039.7040188573499</v>
      </c>
      <c r="C28" s="21">
        <f>(Cargo!R22+'Major Airline Stats'!K34+'Regional Major'!M31)*0.00045359237</f>
        <v>1101.9477782382301</v>
      </c>
      <c r="D28" s="21">
        <f>SUM(B28:C28)</f>
        <v>2141.6517970955802</v>
      </c>
      <c r="E28" s="9">
        <f>'[1]Monthly Summary'!D28</f>
        <v>1774.3376853856498</v>
      </c>
      <c r="F28" s="96">
        <f>(D28-E28)/E28</f>
        <v>0.20701477217967962</v>
      </c>
      <c r="G28" s="9">
        <f>+D28+'[2]Monthly Summary'!G28</f>
        <v>14403.75222738606</v>
      </c>
      <c r="H28" s="9">
        <f>'[1]Monthly Summary'!G28</f>
        <v>10770.813455632229</v>
      </c>
      <c r="I28" s="98">
        <f>(G28-H28)/H28</f>
        <v>0.33729474442379365</v>
      </c>
    </row>
    <row r="29" spans="1:12" ht="15.75" thickBot="1" x14ac:dyDescent="0.3">
      <c r="A29" s="61" t="s">
        <v>62</v>
      </c>
      <c r="B29" s="53">
        <f>SUM(B27:B28)</f>
        <v>11546.314175372769</v>
      </c>
      <c r="C29" s="53">
        <f>SUM(C27:C28)</f>
        <v>8889.2031478683894</v>
      </c>
      <c r="D29" s="53">
        <f>SUM(D27:D28)</f>
        <v>20435.517323241158</v>
      </c>
      <c r="E29" s="53">
        <f>SUM(E27:E28)</f>
        <v>16296.61904216115</v>
      </c>
      <c r="F29" s="97">
        <f>(D29-E29)/E29</f>
        <v>0.253972819170174</v>
      </c>
      <c r="G29" s="53">
        <f>SUM(G27:G28)</f>
        <v>148239.53793322609</v>
      </c>
      <c r="H29" s="53">
        <f>SUM(H27:H28)</f>
        <v>131198.70091754885</v>
      </c>
      <c r="I29" s="99">
        <f>(G29-H29)/H29</f>
        <v>0.12988571454214681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1" t="s">
        <v>144</v>
      </c>
      <c r="C31" s="550"/>
      <c r="D31" s="551" t="s">
        <v>151</v>
      </c>
      <c r="E31" s="550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849391</v>
      </c>
      <c r="C32" s="365">
        <f>B32/C8</f>
        <v>0.66006414206682928</v>
      </c>
      <c r="D32" s="366">
        <f>+'[2]Monthly Summary'!D32+B32</f>
        <v>5087332</v>
      </c>
      <c r="E32" s="367">
        <f>+D32/D34</f>
        <v>0.67338988980396464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437440</v>
      </c>
      <c r="C33" s="370">
        <f>+B33/C8</f>
        <v>0.33993585793317072</v>
      </c>
      <c r="D33" s="371">
        <f>+'[2]Monthly Summary'!D33+B33</f>
        <v>2467477</v>
      </c>
      <c r="E33" s="372">
        <f>+D33/D34</f>
        <v>0.32661011019603542</v>
      </c>
      <c r="G33" s="381"/>
      <c r="H33" s="381"/>
      <c r="I33" s="380"/>
    </row>
    <row r="34" spans="1:14" ht="13.5" thickBot="1" x14ac:dyDescent="0.25">
      <c r="B34" s="281"/>
      <c r="D34" s="373">
        <f>SUM(D32:D33)</f>
        <v>7554809</v>
      </c>
    </row>
    <row r="35" spans="1:14" ht="13.5" thickBot="1" x14ac:dyDescent="0.25">
      <c r="B35" s="549" t="s">
        <v>242</v>
      </c>
      <c r="C35" s="550"/>
      <c r="D35" s="551" t="s">
        <v>227</v>
      </c>
      <c r="E35" s="550"/>
    </row>
    <row r="36" spans="1:14" x14ac:dyDescent="0.2">
      <c r="A36" s="363" t="s">
        <v>145</v>
      </c>
      <c r="B36" s="364">
        <f>'[1]Monthly Summary'!$B$32</f>
        <v>328103</v>
      </c>
      <c r="C36" s="365">
        <f>+B36/B38</f>
        <v>0.60504017275112809</v>
      </c>
      <c r="D36" s="366">
        <f>'[1]Monthly Summary'!$D$32</f>
        <v>3314637</v>
      </c>
      <c r="E36" s="367">
        <f>+D36/D38</f>
        <v>0.65818635206877818</v>
      </c>
    </row>
    <row r="37" spans="1:14" ht="13.5" thickBot="1" x14ac:dyDescent="0.25">
      <c r="A37" s="368" t="s">
        <v>146</v>
      </c>
      <c r="B37" s="369">
        <f>'[1]Monthly Summary'!$B$33</f>
        <v>214180</v>
      </c>
      <c r="C37" s="372">
        <f>+B37/B38</f>
        <v>0.39495982724887191</v>
      </c>
      <c r="D37" s="371">
        <f>'[1]Monthly Summary'!$D$33</f>
        <v>1721379</v>
      </c>
      <c r="E37" s="372">
        <f>+D37/D38</f>
        <v>0.34181364793122182</v>
      </c>
      <c r="M37" s="12"/>
    </row>
    <row r="38" spans="1:14" x14ac:dyDescent="0.2">
      <c r="B38" s="388">
        <f>+SUM(B36:B37)</f>
        <v>542283</v>
      </c>
      <c r="D38" s="373">
        <f>SUM(D36:D37)</f>
        <v>5036016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August 2021</oddHeader>
    <oddFooter>&amp;LPrinted on &amp;D&amp;RPage &amp;P of &amp;N</oddFooter>
  </headerFooter>
  <ignoredErrors>
    <ignoredError sqref="F8 F22 F29" formula="1"/>
    <ignoredError sqref="F7 F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G13" sqref="G13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44409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5" t="s">
        <v>140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7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[3]Delta!$HK$32</f>
        <v>25087</v>
      </c>
      <c r="C4" s="20">
        <f>'[3]Atlantic Southeast'!$HK$32</f>
        <v>0</v>
      </c>
      <c r="D4" s="20">
        <f>[3]Pinnacle!$HK$32</f>
        <v>0</v>
      </c>
      <c r="E4" s="20">
        <f>'[3]Sky West'!$HK$32</f>
        <v>2167</v>
      </c>
      <c r="F4" s="20">
        <f>'[3]Go Jet'!$HK$32</f>
        <v>0</v>
      </c>
      <c r="G4" s="20">
        <f>'[3]Sun Country'!$HK$32</f>
        <v>609</v>
      </c>
      <c r="H4" s="20">
        <f>[3]Icelandair!$HK$32</f>
        <v>2519</v>
      </c>
      <c r="I4" s="20">
        <f>[3]KLM!$HK$32</f>
        <v>191</v>
      </c>
      <c r="J4" s="20">
        <f>'[3]Air Georgian'!$HK$32</f>
        <v>0</v>
      </c>
      <c r="K4" s="20">
        <f>'[3]Sky Regional'!$HK$32</f>
        <v>0</v>
      </c>
      <c r="L4" s="20">
        <f>[3]Condor!$HK$32</f>
        <v>0</v>
      </c>
      <c r="M4" s="20">
        <f>'[3]Aer Lingus'!$HK$32</f>
        <v>0</v>
      </c>
      <c r="N4" s="20">
        <f>'[3]Air France'!$HK$32</f>
        <v>4991</v>
      </c>
      <c r="O4" s="20">
        <f>'[3]Charter Misc'!$HK$32+[3]Ryan!$HK$32+[3]Omni!$HK$32</f>
        <v>0</v>
      </c>
      <c r="P4" s="254">
        <f>SUM(B4:O4)</f>
        <v>35564</v>
      </c>
    </row>
    <row r="5" spans="1:16" x14ac:dyDescent="0.2">
      <c r="A5" s="60" t="s">
        <v>31</v>
      </c>
      <c r="B5" s="13">
        <f>[3]Delta!$HK$33</f>
        <v>22280</v>
      </c>
      <c r="C5" s="13">
        <f>'[3]Atlantic Southeast'!$HK$33</f>
        <v>0</v>
      </c>
      <c r="D5" s="13">
        <f>[3]Pinnacle!$HK$33</f>
        <v>0</v>
      </c>
      <c r="E5" s="13">
        <f>'[3]Sky West'!$HK$33</f>
        <v>2075</v>
      </c>
      <c r="F5" s="13">
        <f>'[3]Go Jet'!$HK$33</f>
        <v>0</v>
      </c>
      <c r="G5" s="13">
        <f>'[3]Sun Country'!$HK$33</f>
        <v>615</v>
      </c>
      <c r="H5" s="13">
        <f>[3]Icelandair!$HK$33</f>
        <v>2659</v>
      </c>
      <c r="I5" s="13">
        <f>[3]KLM!$HK$33</f>
        <v>150</v>
      </c>
      <c r="J5" s="13">
        <f>'[3]Air Georgian'!$HK$33</f>
        <v>0</v>
      </c>
      <c r="K5" s="13">
        <f>'[3]Sky Regional'!$HK$33</f>
        <v>0</v>
      </c>
      <c r="L5" s="13">
        <f>[3]Condor!$HK$33</f>
        <v>0</v>
      </c>
      <c r="M5" s="13">
        <f>'[3]Aer Lingus'!$HK$33</f>
        <v>0</v>
      </c>
      <c r="N5" s="13">
        <f>'[3]Air France'!$HK$33</f>
        <v>3368</v>
      </c>
      <c r="O5" s="13">
        <f>'[3]Charter Misc'!$HK$33++[3]Ryan!$HK$33+[3]Omni!$HK$33</f>
        <v>0</v>
      </c>
      <c r="P5" s="255">
        <f>SUM(B5:O5)</f>
        <v>31147</v>
      </c>
    </row>
    <row r="6" spans="1:16" ht="15" x14ac:dyDescent="0.25">
      <c r="A6" s="58" t="s">
        <v>7</v>
      </c>
      <c r="B6" s="33">
        <f t="shared" ref="B6:O6" si="0">SUM(B4:B5)</f>
        <v>47367</v>
      </c>
      <c r="C6" s="33">
        <f t="shared" si="0"/>
        <v>0</v>
      </c>
      <c r="D6" s="33">
        <f t="shared" si="0"/>
        <v>0</v>
      </c>
      <c r="E6" s="33">
        <f t="shared" si="0"/>
        <v>4242</v>
      </c>
      <c r="F6" s="33">
        <f t="shared" ref="F6" si="1">SUM(F4:F5)</f>
        <v>0</v>
      </c>
      <c r="G6" s="33">
        <f t="shared" si="0"/>
        <v>1224</v>
      </c>
      <c r="H6" s="33">
        <f t="shared" si="0"/>
        <v>5178</v>
      </c>
      <c r="I6" s="33">
        <f t="shared" ref="I6" si="2">SUM(I4:I5)</f>
        <v>341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8359</v>
      </c>
      <c r="O6" s="33">
        <f t="shared" si="0"/>
        <v>0</v>
      </c>
      <c r="P6" s="256">
        <f>SUM(B6:O6)</f>
        <v>66711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[3]Delta!$HK$37</f>
        <v>591</v>
      </c>
      <c r="C9" s="20">
        <f>'[3]Atlantic Southeast'!$HK$37</f>
        <v>0</v>
      </c>
      <c r="D9" s="20">
        <f>[3]Pinnacle!$HK$37</f>
        <v>0</v>
      </c>
      <c r="E9" s="20">
        <f>'[3]Sky West'!$HK$37</f>
        <v>19</v>
      </c>
      <c r="F9" s="20">
        <f>'[3]Go Jet'!$HK$37</f>
        <v>0</v>
      </c>
      <c r="G9" s="20">
        <f>'[3]Sun Country'!$HK$37</f>
        <v>3</v>
      </c>
      <c r="H9" s="20">
        <f>[3]Icelandair!$HK$37</f>
        <v>10</v>
      </c>
      <c r="I9" s="20">
        <f>[3]KLM!$HK$37</f>
        <v>1</v>
      </c>
      <c r="J9" s="20">
        <f>'[3]Air Georgian'!$HK$37</f>
        <v>0</v>
      </c>
      <c r="K9" s="20">
        <f>'[3]Sky Regional'!$HK$37</f>
        <v>0</v>
      </c>
      <c r="L9" s="20">
        <f>[3]Condor!$HK$37</f>
        <v>0</v>
      </c>
      <c r="M9" s="20">
        <f>'[3]Aer Lingus'!$HK$37</f>
        <v>0</v>
      </c>
      <c r="N9" s="20">
        <f>'[3]Air France'!$HK$37</f>
        <v>7</v>
      </c>
      <c r="O9" s="20">
        <f>'[3]Charter Misc'!$HK$37+[3]Ryan!$HK$37+[3]Omni!$HK$37</f>
        <v>0</v>
      </c>
      <c r="P9" s="254">
        <f>SUM(B9:O9)</f>
        <v>631</v>
      </c>
    </row>
    <row r="10" spans="1:16" x14ac:dyDescent="0.2">
      <c r="A10" s="60" t="s">
        <v>33</v>
      </c>
      <c r="B10" s="13">
        <f>[3]Delta!$HK$38</f>
        <v>554</v>
      </c>
      <c r="C10" s="13">
        <f>'[3]Atlantic Southeast'!$HK$38</f>
        <v>0</v>
      </c>
      <c r="D10" s="13">
        <f>[3]Pinnacle!$HK$38</f>
        <v>0</v>
      </c>
      <c r="E10" s="13">
        <f>'[3]Sky West'!$HK$38</f>
        <v>17</v>
      </c>
      <c r="F10" s="13">
        <f>'[3]Go Jet'!$HK$38</f>
        <v>0</v>
      </c>
      <c r="G10" s="13">
        <f>'[3]Sun Country'!$HK$38</f>
        <v>0</v>
      </c>
      <c r="H10" s="13">
        <f>[3]Icelandair!$HK$38</f>
        <v>5</v>
      </c>
      <c r="I10" s="13">
        <f>[3]KLM!$HK$38</f>
        <v>2</v>
      </c>
      <c r="J10" s="13">
        <f>'[3]Air Georgian'!$HK$38</f>
        <v>0</v>
      </c>
      <c r="K10" s="13">
        <f>'[3]Sky Regional'!$HK$38</f>
        <v>0</v>
      </c>
      <c r="L10" s="13">
        <f>[3]Condor!$HK$38</f>
        <v>0</v>
      </c>
      <c r="M10" s="13">
        <f>'[3]Aer Lingus'!$HK$38</f>
        <v>0</v>
      </c>
      <c r="N10" s="13">
        <f>'[3]Air France'!$HK$38</f>
        <v>2</v>
      </c>
      <c r="O10" s="13">
        <f>'[3]Charter Misc'!$HK$38+[3]Ryan!$HK$38+[3]Omni!$HK$38</f>
        <v>0</v>
      </c>
      <c r="P10" s="255">
        <f>SUM(B10:O10)</f>
        <v>580</v>
      </c>
    </row>
    <row r="11" spans="1:16" ht="15.75" thickBot="1" x14ac:dyDescent="0.3">
      <c r="A11" s="61" t="s">
        <v>34</v>
      </c>
      <c r="B11" s="257">
        <f t="shared" ref="B11:G11" si="5">SUM(B9:B10)</f>
        <v>1145</v>
      </c>
      <c r="C11" s="257">
        <f t="shared" si="5"/>
        <v>0</v>
      </c>
      <c r="D11" s="257">
        <f t="shared" si="5"/>
        <v>0</v>
      </c>
      <c r="E11" s="257">
        <f t="shared" si="5"/>
        <v>36</v>
      </c>
      <c r="F11" s="257">
        <f t="shared" ref="F11" si="6">SUM(F9:F10)</f>
        <v>0</v>
      </c>
      <c r="G11" s="257">
        <f t="shared" si="5"/>
        <v>3</v>
      </c>
      <c r="H11" s="257">
        <f t="shared" ref="H11:O11" si="7">SUM(H9:H10)</f>
        <v>15</v>
      </c>
      <c r="I11" s="257">
        <f t="shared" ref="I11" si="8">SUM(I9:I10)</f>
        <v>3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9</v>
      </c>
      <c r="O11" s="257">
        <f t="shared" si="7"/>
        <v>0</v>
      </c>
      <c r="P11" s="258">
        <f>SUM(B11:O11)</f>
        <v>1211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8" t="s">
        <v>141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90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SUM([3]Delta!$HD$32:$HK$32)</f>
        <v>141774</v>
      </c>
      <c r="C16" s="20">
        <f>SUM('[3]Atlantic Southeast'!$HD$32:$HK$32)</f>
        <v>0</v>
      </c>
      <c r="D16" s="20">
        <f>SUM([3]Pinnacle!$HD$32:$HK$32)</f>
        <v>0</v>
      </c>
      <c r="E16" s="20">
        <f>SUM('[3]Sky West'!$HD$32:$HK$32)</f>
        <v>11513</v>
      </c>
      <c r="F16" s="20">
        <f>SUM('[3]Go Jet'!$HD$32:$HK$32)</f>
        <v>0</v>
      </c>
      <c r="G16" s="20">
        <f>SUM('[3]Sun Country'!$HD$32:$HK$32)</f>
        <v>48553</v>
      </c>
      <c r="H16" s="20">
        <f>SUM([3]Icelandair!$HD$32:$HK$32)</f>
        <v>4738</v>
      </c>
      <c r="I16" s="20">
        <f>SUM([3]KLM!$HD$32:$HK$32)</f>
        <v>191</v>
      </c>
      <c r="J16" s="20">
        <f>SUM('[3]Air Georgian'!$HD$32:$HK$32)</f>
        <v>0</v>
      </c>
      <c r="K16" s="20">
        <f>SUM('[3]Sky Regional'!$HD$32:$HK$32)</f>
        <v>0</v>
      </c>
      <c r="L16" s="20">
        <f>SUM([3]Condor!$HD$32:$HK$32)</f>
        <v>0</v>
      </c>
      <c r="M16" s="20">
        <f>SUM('[3]Aer Lingus'!$HD$32:$HK$32)</f>
        <v>0</v>
      </c>
      <c r="N16" s="20">
        <f>SUM('[3]Air France'!$HD$32:$HK$32)</f>
        <v>8022</v>
      </c>
      <c r="O16" s="20">
        <f>SUM('[3]Charter Misc'!$HD$32:$HK$32)+SUM([3]Ryan!$HD$32:$HK$32)+SUM([3]Omni!$HD$32:$HK$32)</f>
        <v>0</v>
      </c>
      <c r="P16" s="254">
        <f>SUM(B16:O16)</f>
        <v>214791</v>
      </c>
    </row>
    <row r="17" spans="1:19" x14ac:dyDescent="0.2">
      <c r="A17" s="60" t="s">
        <v>31</v>
      </c>
      <c r="B17" s="13">
        <f>SUM([3]Delta!$HD$33:$HK$33)</f>
        <v>140105</v>
      </c>
      <c r="C17" s="13">
        <f>SUM('[3]Atlantic Southeast'!$HD$33:$HK$33)</f>
        <v>0</v>
      </c>
      <c r="D17" s="13">
        <f>SUM([3]Pinnacle!$HD$33:$HK$33)</f>
        <v>0</v>
      </c>
      <c r="E17" s="13">
        <f>SUM('[3]Sky West'!$HD$33:$HK$33)</f>
        <v>11222</v>
      </c>
      <c r="F17" s="13">
        <f>SUM('[3]Go Jet'!$HD$33:$HK$33)</f>
        <v>0</v>
      </c>
      <c r="G17" s="13">
        <f>SUM('[3]Sun Country'!$HD$33:$HK$33)</f>
        <v>44409</v>
      </c>
      <c r="H17" s="13">
        <f>SUM([3]Icelandair!$HD$33:$HK$33)</f>
        <v>5399</v>
      </c>
      <c r="I17" s="13">
        <f>SUM([3]KLM!$HD$33:$HK$33)</f>
        <v>150</v>
      </c>
      <c r="J17" s="13">
        <f>SUM('[3]Air Georgian'!$HD$33:$HK$33)</f>
        <v>0</v>
      </c>
      <c r="K17" s="13">
        <f>SUM('[3]Sky Regional'!$HD$33:$HK$33)</f>
        <v>0</v>
      </c>
      <c r="L17" s="13">
        <f>SUM([3]Condor!$HD$33:$HK$33)</f>
        <v>0</v>
      </c>
      <c r="M17" s="13">
        <f>SUM('[3]Aer Lingus'!$HD$33:$HK$33)</f>
        <v>0</v>
      </c>
      <c r="N17" s="13">
        <f>SUM('[3]Air France'!$HD$33:$HK$33)</f>
        <v>8022</v>
      </c>
      <c r="O17" s="13">
        <f>SUM('[3]Charter Misc'!$HD$33:$HK$33)++SUM([3]Ryan!$HD$33:$HK$33)+SUM([3]Omni!$HD$33:$HK$33)</f>
        <v>51</v>
      </c>
      <c r="P17" s="255">
        <f>SUM(B17:O17)</f>
        <v>209358</v>
      </c>
    </row>
    <row r="18" spans="1:19" ht="15" x14ac:dyDescent="0.25">
      <c r="A18" s="58" t="s">
        <v>7</v>
      </c>
      <c r="B18" s="33">
        <f t="shared" ref="B18:O18" si="11">SUM(B16:B17)</f>
        <v>281879</v>
      </c>
      <c r="C18" s="33">
        <f t="shared" si="11"/>
        <v>0</v>
      </c>
      <c r="D18" s="33">
        <f t="shared" si="11"/>
        <v>0</v>
      </c>
      <c r="E18" s="33">
        <f t="shared" si="11"/>
        <v>22735</v>
      </c>
      <c r="F18" s="33">
        <f t="shared" ref="F18" si="12">SUM(F16:F17)</f>
        <v>0</v>
      </c>
      <c r="G18" s="33">
        <f t="shared" si="11"/>
        <v>92962</v>
      </c>
      <c r="H18" s="33">
        <f t="shared" si="11"/>
        <v>10137</v>
      </c>
      <c r="I18" s="33">
        <f t="shared" ref="I18" si="13">SUM(I16:I17)</f>
        <v>341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16044</v>
      </c>
      <c r="O18" s="33">
        <f t="shared" si="11"/>
        <v>51</v>
      </c>
      <c r="P18" s="256">
        <f>SUM(B18:O18)</f>
        <v>424149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SUM([3]Delta!$HD$37:$HK$37)</f>
        <v>5151</v>
      </c>
      <c r="C21" s="20">
        <f>SUM('[3]Atlantic Southeast'!$HD$37:$HK$37)</f>
        <v>0</v>
      </c>
      <c r="D21" s="20">
        <f>SUM([3]Pinnacle!$HD$37:$HK$37)</f>
        <v>0</v>
      </c>
      <c r="E21" s="20">
        <f>SUM('[3]Sky West'!$HD$37:$HK$37)</f>
        <v>85</v>
      </c>
      <c r="F21" s="20">
        <f>SUM('[3]Go Jet'!$HD$37:$HK$37)</f>
        <v>0</v>
      </c>
      <c r="G21" s="20">
        <f>SUM('[3]Sun Country'!$HD$37:$HK$37)</f>
        <v>1004</v>
      </c>
      <c r="H21" s="20">
        <f>SUM([3]Icelandair!$HD$37:$HK$37)</f>
        <v>26</v>
      </c>
      <c r="I21" s="20">
        <f>SUM([3]KLM!$HD$37:$HK$37)</f>
        <v>1</v>
      </c>
      <c r="J21" s="20">
        <f>SUM('[3]Air Georgian'!$HD$37:$HK$37)</f>
        <v>0</v>
      </c>
      <c r="K21" s="20">
        <f>SUM('[3]Sky Regional'!$HD$37:$HK$37)</f>
        <v>0</v>
      </c>
      <c r="L21" s="20">
        <f>SUM([3]Condor!$HD$37:$HK$37)</f>
        <v>0</v>
      </c>
      <c r="M21" s="20">
        <f>SUM('[3]Aer Lingus'!$HD$37:$HK$37)</f>
        <v>0</v>
      </c>
      <c r="N21" s="20">
        <f>SUM('[3]Air France'!$HD$37:$HK$37)</f>
        <v>21</v>
      </c>
      <c r="O21" s="20">
        <f>SUM('[3]Charter Misc'!$HD$37:$HK$37)++SUM([3]Ryan!$HD$37:$HK$37)+SUM([3]Omni!$HD$37:$HK$37)</f>
        <v>0</v>
      </c>
      <c r="P21" s="254">
        <f>SUM(B21:O21)</f>
        <v>6288</v>
      </c>
    </row>
    <row r="22" spans="1:19" x14ac:dyDescent="0.2">
      <c r="A22" s="60" t="s">
        <v>33</v>
      </c>
      <c r="B22" s="13">
        <f>SUM([3]Delta!$HD$38:$HK$38)</f>
        <v>5115</v>
      </c>
      <c r="C22" s="13">
        <f>SUM('[3]Atlantic Southeast'!$HD$38:$HK$38)</f>
        <v>0</v>
      </c>
      <c r="D22" s="13">
        <f>SUM([3]Pinnacle!$HD$38:$HK$38)</f>
        <v>0</v>
      </c>
      <c r="E22" s="13">
        <f>SUM('[3]Sky West'!$HD$38:$HK$38)</f>
        <v>58</v>
      </c>
      <c r="F22" s="13">
        <f>SUM('[3]Go Jet'!$HD$38:$HK$38)</f>
        <v>0</v>
      </c>
      <c r="G22" s="13">
        <f>SUM('[3]Sun Country'!$HD$38:$HK$38)</f>
        <v>970</v>
      </c>
      <c r="H22" s="13">
        <f>SUM([3]Icelandair!$HD$38:$HK$38)</f>
        <v>20</v>
      </c>
      <c r="I22" s="13">
        <f>SUM([3]KLM!$HD$38:$HK$38)</f>
        <v>2</v>
      </c>
      <c r="J22" s="13">
        <f>SUM('[3]Air Georgian'!$HD$38:$HK$38)</f>
        <v>0</v>
      </c>
      <c r="K22" s="13">
        <f>SUM('[3]Sky Regional'!$HD$38:$HK$38)</f>
        <v>0</v>
      </c>
      <c r="L22" s="13">
        <f>SUM([3]Condor!$HD$38:$HK$38)</f>
        <v>0</v>
      </c>
      <c r="M22" s="13">
        <f>SUM('[3]Aer Lingus'!$HD$38:$HK$38)</f>
        <v>0</v>
      </c>
      <c r="N22" s="13">
        <f>SUM('[3]Air France'!$HD$38:$HK$38)</f>
        <v>37</v>
      </c>
      <c r="O22" s="13">
        <f>SUM('[3]Charter Misc'!$HD$38:$HK$38)++SUM([3]Ryan!$HD$38:$HK$38)+SUM([3]Omni!$HD$38:$HK$38)</f>
        <v>0</v>
      </c>
      <c r="P22" s="255">
        <f>SUM(B22:O22)</f>
        <v>6202</v>
      </c>
    </row>
    <row r="23" spans="1:19" ht="15.75" thickBot="1" x14ac:dyDescent="0.3">
      <c r="A23" s="61" t="s">
        <v>34</v>
      </c>
      <c r="B23" s="257">
        <f t="shared" ref="B23:O23" si="16">SUM(B21:B22)</f>
        <v>10266</v>
      </c>
      <c r="C23" s="257">
        <f t="shared" si="16"/>
        <v>0</v>
      </c>
      <c r="D23" s="257">
        <f t="shared" si="16"/>
        <v>0</v>
      </c>
      <c r="E23" s="257">
        <f t="shared" si="16"/>
        <v>143</v>
      </c>
      <c r="F23" s="257">
        <f t="shared" ref="F23" si="17">SUM(F21:F22)</f>
        <v>0</v>
      </c>
      <c r="G23" s="257">
        <f t="shared" si="16"/>
        <v>1974</v>
      </c>
      <c r="H23" s="257">
        <f t="shared" si="16"/>
        <v>46</v>
      </c>
      <c r="I23" s="257">
        <f t="shared" ref="I23" si="18">SUM(I21:I22)</f>
        <v>3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58</v>
      </c>
      <c r="O23" s="257">
        <f t="shared" si="16"/>
        <v>0</v>
      </c>
      <c r="P23" s="258">
        <f>SUM(B23:O23)</f>
        <v>12490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91" t="s">
        <v>142</v>
      </c>
      <c r="B26" s="592"/>
      <c r="C26" s="592"/>
      <c r="D26" s="592"/>
      <c r="E26" s="592"/>
      <c r="F26" s="592"/>
      <c r="G26" s="592"/>
      <c r="H26" s="592"/>
      <c r="I26" s="592"/>
      <c r="J26" s="592"/>
      <c r="K26" s="592"/>
      <c r="L26" s="592"/>
      <c r="M26" s="592"/>
      <c r="N26" s="592"/>
      <c r="O26" s="592"/>
      <c r="P26" s="593"/>
    </row>
    <row r="27" spans="1:19" x14ac:dyDescent="0.2">
      <c r="A27" s="60" t="s">
        <v>22</v>
      </c>
      <c r="B27" s="20">
        <f>[3]Delta!$HK$15</f>
        <v>140</v>
      </c>
      <c r="C27" s="20">
        <f>'[3]Atlantic Southeast'!$HK$15</f>
        <v>0</v>
      </c>
      <c r="D27" s="20">
        <f>[3]Pinnacle!$HK$15</f>
        <v>0</v>
      </c>
      <c r="E27" s="20">
        <f>'[3]Sky West'!$HK$15</f>
        <v>31</v>
      </c>
      <c r="F27" s="20">
        <f>'[3]Go Jet'!$HK$15</f>
        <v>0</v>
      </c>
      <c r="G27" s="20">
        <f>'[3]Sun Country'!$HK$15</f>
        <v>8</v>
      </c>
      <c r="H27" s="20">
        <f>[3]Icelandair!$HK$15</f>
        <v>22</v>
      </c>
      <c r="I27" s="20">
        <f>[3]KLM!$HK$15</f>
        <v>1</v>
      </c>
      <c r="J27" s="20">
        <f>'[3]Air Georgian'!$HK$15</f>
        <v>0</v>
      </c>
      <c r="K27" s="20">
        <f>'[3]Sky Regional'!$HK$15</f>
        <v>0</v>
      </c>
      <c r="L27" s="20">
        <f>[3]Condor!$HK$15</f>
        <v>0</v>
      </c>
      <c r="M27" s="20">
        <f>'[3]Aer Lingus'!$HK$15</f>
        <v>0</v>
      </c>
      <c r="N27" s="20">
        <f>'[3]Air France'!$HK$15</f>
        <v>22</v>
      </c>
      <c r="O27" s="20">
        <f>'[3]Charter Misc'!$HK$15+[3]Ryan!$HK$15+[3]Omni!$HK$15</f>
        <v>0</v>
      </c>
      <c r="P27" s="254">
        <f>SUM(B27:O27)</f>
        <v>224</v>
      </c>
    </row>
    <row r="28" spans="1:19" x14ac:dyDescent="0.2">
      <c r="A28" s="60" t="s">
        <v>23</v>
      </c>
      <c r="B28" s="20">
        <f>[3]Delta!$HK$16</f>
        <v>137</v>
      </c>
      <c r="C28" s="20">
        <f>'[3]Atlantic Southeast'!$HK$16</f>
        <v>0</v>
      </c>
      <c r="D28" s="20">
        <f>[3]Pinnacle!$HK$16</f>
        <v>0</v>
      </c>
      <c r="E28" s="20">
        <f>'[3]Sky West'!$HK$16</f>
        <v>31</v>
      </c>
      <c r="F28" s="20">
        <f>'[3]Go Jet'!$HK$16</f>
        <v>0</v>
      </c>
      <c r="G28" s="20">
        <f>'[3]Sun Country'!$HK$16</f>
        <v>10</v>
      </c>
      <c r="H28" s="20">
        <f>[3]Icelandair!$HK$16</f>
        <v>22</v>
      </c>
      <c r="I28" s="20">
        <f>[3]KLM!$HK$16</f>
        <v>1</v>
      </c>
      <c r="J28" s="20">
        <f>'[3]Air Georgian'!$HK$16</f>
        <v>0</v>
      </c>
      <c r="K28" s="20">
        <f>'[3]Sky Regional'!$HK$16</f>
        <v>0</v>
      </c>
      <c r="L28" s="20">
        <f>[3]Condor!$HK$16</f>
        <v>0</v>
      </c>
      <c r="M28" s="20">
        <f>'[3]Aer Lingus'!$HK$16</f>
        <v>0</v>
      </c>
      <c r="N28" s="20">
        <f>'[3]Air France'!$HK$16</f>
        <v>22</v>
      </c>
      <c r="O28" s="20">
        <f>'[3]Charter Misc'!$HK$16+[3]Ryan!$HK$16+[3]Omni!$HK$16</f>
        <v>0</v>
      </c>
      <c r="P28" s="254">
        <f>SUM(B28:O28)</f>
        <v>223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277</v>
      </c>
      <c r="C30" s="354">
        <f t="shared" si="21"/>
        <v>0</v>
      </c>
      <c r="D30" s="354">
        <f t="shared" si="21"/>
        <v>0</v>
      </c>
      <c r="E30" s="354">
        <f>SUM(E27:E28)</f>
        <v>62</v>
      </c>
      <c r="F30" s="354">
        <f>SUM(F27:F28)</f>
        <v>0</v>
      </c>
      <c r="G30" s="354">
        <f t="shared" si="21"/>
        <v>18</v>
      </c>
      <c r="H30" s="354">
        <f t="shared" si="21"/>
        <v>44</v>
      </c>
      <c r="I30" s="354">
        <f t="shared" ref="I30" si="22">SUM(I27:I28)</f>
        <v>2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44</v>
      </c>
      <c r="O30" s="354">
        <f>SUM(O27:O28)</f>
        <v>0</v>
      </c>
      <c r="P30" s="355">
        <f>SUM(B30:O30)</f>
        <v>447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4" t="s">
        <v>143</v>
      </c>
      <c r="B33" s="595"/>
      <c r="C33" s="595"/>
      <c r="D33" s="595"/>
      <c r="E33" s="595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6"/>
    </row>
    <row r="34" spans="1:16" x14ac:dyDescent="0.2">
      <c r="A34" s="60" t="s">
        <v>22</v>
      </c>
      <c r="B34" s="20">
        <f>SUM([3]Delta!$HD$15:$HK$15)</f>
        <v>1351</v>
      </c>
      <c r="C34" s="20">
        <f>SUM('[3]Atlantic Southeast'!$HD$15:$HK$15)</f>
        <v>0</v>
      </c>
      <c r="D34" s="20">
        <f>SUM([3]Pinnacle!$HD$15:$HK$15)</f>
        <v>1</v>
      </c>
      <c r="E34" s="20">
        <f>SUM('[3]Sky West'!$HD$15:$HK$15)</f>
        <v>358</v>
      </c>
      <c r="F34" s="20">
        <f>SUM('[3]Go Jet'!$HD$15:$HK$15)</f>
        <v>0</v>
      </c>
      <c r="G34" s="20">
        <f>SUM('[3]Sun Country'!$HD$15:$HK$15)</f>
        <v>547</v>
      </c>
      <c r="H34" s="20">
        <f>SUM([3]Icelandair!$HD$15:$HK$15)</f>
        <v>48</v>
      </c>
      <c r="I34" s="20">
        <f>SUM([3]KLM!$HD$15:$HK$15)</f>
        <v>1</v>
      </c>
      <c r="J34" s="20">
        <f>SUM('[3]Air Georgian'!$HD$15:$HK$15)</f>
        <v>0</v>
      </c>
      <c r="K34" s="20">
        <f>SUM('[3]Sky Regional'!$HD$15:$HK$15)</f>
        <v>0</v>
      </c>
      <c r="L34" s="20">
        <f>SUM([3]Condor!$HD$15:$HK$15)</f>
        <v>0</v>
      </c>
      <c r="M34" s="20">
        <f>SUM('[3]Aer Lingus'!$HD$15:$HK$15)</f>
        <v>0</v>
      </c>
      <c r="N34" s="20">
        <f>SUM('[3]Air France'!$HD$15:$HK$15)</f>
        <v>47</v>
      </c>
      <c r="O34" s="20">
        <f>SUM('[3]Charter Misc'!$HD$15:$HK$15)+SUM([3]Ryan!$HD$15:$HK$15)+SUM([3]Omni!$HD$15:$HK$15)</f>
        <v>0</v>
      </c>
      <c r="P34" s="254">
        <f>SUM(B34:O34)</f>
        <v>2353</v>
      </c>
    </row>
    <row r="35" spans="1:16" x14ac:dyDescent="0.2">
      <c r="A35" s="60" t="s">
        <v>23</v>
      </c>
      <c r="B35" s="20">
        <f>SUM([3]Delta!$HD$16:$HK$16)</f>
        <v>1345</v>
      </c>
      <c r="C35" s="20">
        <f>SUM('[3]Atlantic Southeast'!$HD$16:$HK$16)</f>
        <v>0</v>
      </c>
      <c r="D35" s="20">
        <f>SUM([3]Pinnacle!$HD$16:$HK$16)</f>
        <v>1</v>
      </c>
      <c r="E35" s="20">
        <f>SUM('[3]Sky West'!$HD$16:$HK$16)</f>
        <v>326</v>
      </c>
      <c r="F35" s="20">
        <f>SUM('[3]Go Jet'!$HD$16:$HK$16)</f>
        <v>0</v>
      </c>
      <c r="G35" s="20">
        <f>SUM('[3]Sun Country'!$HD$16:$HK$16)</f>
        <v>544</v>
      </c>
      <c r="H35" s="20">
        <f>SUM([3]Icelandair!$HD$16:$HK$16)</f>
        <v>49</v>
      </c>
      <c r="I35" s="20">
        <f>SUM([3]KLM!$HD$16:$HK$16)</f>
        <v>1</v>
      </c>
      <c r="J35" s="20">
        <f>SUM('[3]Air Georgian'!$HD$16:$HK$16)</f>
        <v>0</v>
      </c>
      <c r="K35" s="20">
        <f>SUM('[3]Sky Regional'!$HD$16:$HK$16)</f>
        <v>0</v>
      </c>
      <c r="L35" s="20">
        <f>SUM([3]Condor!$HD$16:$HK$16)</f>
        <v>0</v>
      </c>
      <c r="M35" s="20">
        <f>SUM('[3]Aer Lingus'!$HD$16:$HK$16)</f>
        <v>0</v>
      </c>
      <c r="N35" s="20">
        <f>SUM('[3]Air France'!$HD$16:$HK$16)</f>
        <v>47</v>
      </c>
      <c r="O35" s="20">
        <f>SUM('[3]Charter Misc'!$HD$16:$HK$16)+SUM([3]Ryan!$HD$16:$HK$16)+SUM([3]Omni!$HD$16:$HK$16)</f>
        <v>2</v>
      </c>
      <c r="P35" s="254">
        <f>SUM(B35:O35)</f>
        <v>2315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2696</v>
      </c>
      <c r="C37" s="354">
        <f t="shared" si="24"/>
        <v>0</v>
      </c>
      <c r="D37" s="354">
        <f t="shared" si="24"/>
        <v>2</v>
      </c>
      <c r="E37" s="354">
        <f>+SUM(E34:E35)</f>
        <v>684</v>
      </c>
      <c r="F37" s="354">
        <f>+SUM(F34:F35)</f>
        <v>0</v>
      </c>
      <c r="G37" s="354">
        <f t="shared" si="24"/>
        <v>1091</v>
      </c>
      <c r="H37" s="354">
        <f t="shared" si="24"/>
        <v>97</v>
      </c>
      <c r="I37" s="354">
        <f t="shared" ref="I37" si="25">+SUM(I34:I35)</f>
        <v>2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94</v>
      </c>
      <c r="O37" s="354">
        <f>+SUM(O34:O35)</f>
        <v>2</v>
      </c>
      <c r="P37" s="355">
        <f>SUM(B37:O37)</f>
        <v>4668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&amp;"Arial,Bold"August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C22" sqref="C22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5" t="s">
        <v>132</v>
      </c>
      <c r="B1" s="606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11" t="s">
        <v>136</v>
      </c>
      <c r="K1" s="612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7" t="s">
        <v>237</v>
      </c>
      <c r="T1" s="598"/>
      <c r="U1" s="521" t="s">
        <v>235</v>
      </c>
      <c r="V1" s="522" t="s">
        <v>209</v>
      </c>
      <c r="W1" s="523" t="s">
        <v>96</v>
      </c>
      <c r="X1" s="524" t="s">
        <v>236</v>
      </c>
      <c r="Y1" s="525" t="s">
        <v>210</v>
      </c>
      <c r="Z1" s="526" t="s">
        <v>96</v>
      </c>
      <c r="AA1" s="527" t="s">
        <v>234</v>
      </c>
    </row>
    <row r="2" spans="1:27" s="198" customFormat="1" ht="13.5" customHeight="1" thickBot="1" x14ac:dyDescent="0.25">
      <c r="A2" s="607">
        <v>44409</v>
      </c>
      <c r="B2" s="608"/>
      <c r="C2" s="609" t="s">
        <v>9</v>
      </c>
      <c r="D2" s="610"/>
      <c r="E2" s="610"/>
      <c r="F2" s="610"/>
      <c r="G2" s="610"/>
      <c r="H2" s="610"/>
      <c r="I2" s="424"/>
      <c r="J2" s="607">
        <f>+A2</f>
        <v>44409</v>
      </c>
      <c r="K2" s="608"/>
      <c r="L2" s="602" t="s">
        <v>138</v>
      </c>
      <c r="M2" s="603"/>
      <c r="N2" s="603"/>
      <c r="O2" s="603"/>
      <c r="P2" s="603"/>
      <c r="Q2" s="603"/>
      <c r="R2" s="604"/>
      <c r="S2" s="580">
        <f>+J2</f>
        <v>44409</v>
      </c>
      <c r="T2" s="581"/>
      <c r="U2" s="599" t="s">
        <v>238</v>
      </c>
      <c r="V2" s="600"/>
      <c r="W2" s="600"/>
      <c r="X2" s="600"/>
      <c r="Y2" s="600"/>
      <c r="Z2" s="600"/>
      <c r="AA2" s="601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Lingus'!$HK$19</f>
        <v>0</v>
      </c>
      <c r="D4" s="469">
        <f>'[3]Aer Lingus'!$GW$19</f>
        <v>0</v>
      </c>
      <c r="E4" s="478" t="e">
        <f>(C4-D4)/D4</f>
        <v>#DIV/0!</v>
      </c>
      <c r="F4" s="469">
        <f>SUM('[3]Aer Lingus'!$HD$19:$HK$19)</f>
        <v>0</v>
      </c>
      <c r="G4" s="469">
        <f>SUM('[3]Aer Lingus'!$GP$19:$GW$19)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Lingus'!$HK$41</f>
        <v>0</v>
      </c>
      <c r="M4" s="469">
        <f>'[3]Aer Lingus'!$GW$41</f>
        <v>0</v>
      </c>
      <c r="N4" s="478" t="e">
        <f>(L4-M4)/M4</f>
        <v>#DIV/0!</v>
      </c>
      <c r="O4" s="477">
        <f>SUM('[3]Aer Lingus'!$HD$41:$HK$41)</f>
        <v>0</v>
      </c>
      <c r="P4" s="469">
        <f>SUM('[3]Aer Lingus'!$GP$41:$GW$41)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Lingus'!$HK$64</f>
        <v>0</v>
      </c>
      <c r="V4" s="469">
        <f>'[3]Aer Lingus'!$GW$64</f>
        <v>0</v>
      </c>
      <c r="W4" s="478" t="e">
        <f>(U4-V4)/V4</f>
        <v>#DIV/0!</v>
      </c>
      <c r="X4" s="477">
        <f>SUM('[3]Aer Lingus'!$HD$64:$HK$64)</f>
        <v>0</v>
      </c>
      <c r="Y4" s="469">
        <f>SUM('[3]Aer Lingus'!$GP$64:$GW$64)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0</v>
      </c>
      <c r="E6" s="326" t="e">
        <f>(C6-D6)/D6</f>
        <v>#DIV/0!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0</v>
      </c>
      <c r="N6" s="326" t="e">
        <f>(L6-M6)/M6</f>
        <v>#DIV/0!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+[3]AirCanada!$HK$19</f>
        <v>0</v>
      </c>
      <c r="D7" s="9">
        <f>+[3]AirCanada!$GW$19</f>
        <v>0</v>
      </c>
      <c r="E7" s="84" t="e">
        <f>(C7-D7)/D7</f>
        <v>#DIV/0!</v>
      </c>
      <c r="F7" s="267">
        <f>SUM([3]AirCanada!$HD$19:$HK$19)</f>
        <v>0</v>
      </c>
      <c r="G7" s="267">
        <f>SUM([3]AirCanada!$GP$19:$GW$19)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+[3]AirCanada!$HK$41</f>
        <v>0</v>
      </c>
      <c r="M7" s="267">
        <f>+[3]AirCanada!$GW$41</f>
        <v>0</v>
      </c>
      <c r="N7" s="405" t="e">
        <f>(L7-M7)/M7</f>
        <v>#DIV/0!</v>
      </c>
      <c r="O7" s="403">
        <f>SUM([3]AirCanada!$HD$41:$HK$41)</f>
        <v>0</v>
      </c>
      <c r="P7" s="267">
        <f>SUM([3]AirCanada!$GP$41:$GW$41)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8">
        <f>+[3]AirCanada!$HK$64</f>
        <v>0</v>
      </c>
      <c r="V7" s="283">
        <f>+[3]AirCanada!$GW$64</f>
        <v>0</v>
      </c>
      <c r="W7" s="509" t="e">
        <f>(U7-V7)/V7</f>
        <v>#DIV/0!</v>
      </c>
      <c r="X7" s="508">
        <f>SUM([3]AirCanada!$HD$64:$HK$64)</f>
        <v>0</v>
      </c>
      <c r="Y7" s="283">
        <f>SUM([3]AirCanada!$GP$64:$GW$64)</f>
        <v>0</v>
      </c>
      <c r="Z7" s="490" t="e">
        <f>(X7-Y7)/Y7</f>
        <v>#DIV/0!</v>
      </c>
      <c r="AA7" s="509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Georgian'!$HK$19</f>
        <v>0</v>
      </c>
      <c r="D8" s="9">
        <f>'[3]Air Georgian'!$GW$19</f>
        <v>0</v>
      </c>
      <c r="E8" s="84" t="e">
        <f>(C8-D8)/D8</f>
        <v>#DIV/0!</v>
      </c>
      <c r="F8" s="267">
        <f>SUM('[3]Air Georgian'!$HD$19:$HK$19)</f>
        <v>0</v>
      </c>
      <c r="G8" s="267">
        <f>SUM('[3]Air Georgian'!$GP$19:$GW$19)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Georgian'!$HK$41</f>
        <v>0</v>
      </c>
      <c r="M8" s="9">
        <f>'[3]Air Georgian'!$GW$41</f>
        <v>0</v>
      </c>
      <c r="N8" s="84" t="e">
        <f>(L8-M8)/M8</f>
        <v>#DIV/0!</v>
      </c>
      <c r="O8" s="327">
        <f>SUM('[3]Air Georgian'!$HD$41:$HK$41)</f>
        <v>0</v>
      </c>
      <c r="P8" s="9">
        <f>SUM('[3]Air Georgian'!$GP$41:$GW$41)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Georgian'!$HK$64</f>
        <v>0</v>
      </c>
      <c r="V8" s="2">
        <f>'[3]Air Georgian'!$GW$64</f>
        <v>0</v>
      </c>
      <c r="W8" s="83" t="e">
        <f>(U8-V8)/V8</f>
        <v>#DIV/0!</v>
      </c>
      <c r="X8" s="451">
        <f>SUM('[3]Air Georgian'!$HD$64:$HK$64)</f>
        <v>0</v>
      </c>
      <c r="Y8" s="2">
        <f>SUM('[3]Air Georgian'!$GP$64:$GW$64)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Regional'!$HK$19</f>
        <v>0</v>
      </c>
      <c r="D9" s="9">
        <f>'[3]Sky Regional'!$GW$19</f>
        <v>0</v>
      </c>
      <c r="E9" s="84" t="e">
        <f>(C9-D9)/D9</f>
        <v>#DIV/0!</v>
      </c>
      <c r="F9" s="267">
        <f>SUM('[3]Sky Regional'!$HD$19:$HK$19)</f>
        <v>0</v>
      </c>
      <c r="G9" s="267">
        <f>SUM('[3]Sky Regional'!$GP$19:$GW$19)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Regional'!$HK$41</f>
        <v>0</v>
      </c>
      <c r="M9" s="9">
        <f>'[3]Sky Regional'!$GW$41</f>
        <v>0</v>
      </c>
      <c r="N9" s="84" t="e">
        <f>(L9-M9)/M9</f>
        <v>#DIV/0!</v>
      </c>
      <c r="O9" s="327">
        <f>SUM('[3]Sky Regional'!$HD$41:$HK$41)</f>
        <v>0</v>
      </c>
      <c r="P9" s="9">
        <f>SUM('[3]Sky Regional'!$GP$41:$GW$41)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Regional'!$HK$64</f>
        <v>0</v>
      </c>
      <c r="V9" s="2">
        <f>'[3]Sky Regional'!$GW$64</f>
        <v>0</v>
      </c>
      <c r="W9" s="83" t="e">
        <f>(U9-V9)/V9</f>
        <v>#DIV/0!</v>
      </c>
      <c r="X9" s="451">
        <f>SUM('[3]Sky Regional'!$HD$64:$HK$64)</f>
        <v>0</v>
      </c>
      <c r="Y9" s="2">
        <f>SUM('[3]Sky Regional'!$GP$64:$GW$64)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One'!$HK$19</f>
        <v>0</v>
      </c>
      <c r="D11" s="325">
        <f>'[3]Air Choice One'!$GW$19</f>
        <v>144</v>
      </c>
      <c r="E11" s="326">
        <f>(C11-D11)/D11</f>
        <v>-1</v>
      </c>
      <c r="F11" s="325">
        <f>SUM('[3]Air Choice One'!$HD$19:$HK$19)</f>
        <v>264</v>
      </c>
      <c r="G11" s="325">
        <f>SUM('[3]Air Choice One'!$GP$19:$GW$19)</f>
        <v>1396</v>
      </c>
      <c r="H11" s="324">
        <f>(F11-G11)/G11</f>
        <v>-0.81088825214899718</v>
      </c>
      <c r="I11" s="326">
        <f>F11/$F$70</f>
        <v>1.4989183941133387E-3</v>
      </c>
      <c r="J11" s="322" t="s">
        <v>178</v>
      </c>
      <c r="K11" s="54"/>
      <c r="L11" s="323">
        <f>'[3]Air Choice One'!$HK$41</f>
        <v>0</v>
      </c>
      <c r="M11" s="325">
        <f>'[3]Air Choice One'!$GW$41</f>
        <v>244</v>
      </c>
      <c r="N11" s="326">
        <f>(L11-M11)/M11</f>
        <v>-1</v>
      </c>
      <c r="O11" s="323">
        <f>SUM('[3]Air Choice One'!$HD$41:$HK$41)</f>
        <v>471</v>
      </c>
      <c r="P11" s="325">
        <f>SUM('[3]Air Choice One'!$GP$41:$GW$41)</f>
        <v>2881</v>
      </c>
      <c r="Q11" s="324">
        <f>(O11-P11)/P11</f>
        <v>-0.83651509892398468</v>
      </c>
      <c r="R11" s="326">
        <f>O11/$O$70</f>
        <v>3.1029597624516305E-5</v>
      </c>
      <c r="S11" s="322" t="s">
        <v>178</v>
      </c>
      <c r="T11" s="54"/>
      <c r="U11" s="477">
        <f>'[3]Air Choice One'!$HK$64</f>
        <v>0</v>
      </c>
      <c r="V11" s="469">
        <f>'[3]Air Choice One'!$GW$64</f>
        <v>0</v>
      </c>
      <c r="W11" s="478" t="e">
        <f>(U11-V11)/V11</f>
        <v>#DIV/0!</v>
      </c>
      <c r="X11" s="477">
        <f>SUM('[3]Air Choice One'!$HD$64:$HK$64)</f>
        <v>0</v>
      </c>
      <c r="Y11" s="469">
        <f>SUM('[3]Air Choice One'!$GP$64:$GW$64)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France'!$HK$19</f>
        <v>44</v>
      </c>
      <c r="D13" s="325">
        <f>'[3]Air France'!$GW$19</f>
        <v>0</v>
      </c>
      <c r="E13" s="326" t="e">
        <f>(C13-D13)/D13</f>
        <v>#DIV/0!</v>
      </c>
      <c r="F13" s="325">
        <f>SUM('[3]Air France'!$HD$19:$HK$19)</f>
        <v>94</v>
      </c>
      <c r="G13" s="325">
        <f>SUM('[3]Air France'!$GP$19:$GW$19)</f>
        <v>0</v>
      </c>
      <c r="H13" s="324" t="e">
        <f>(F13-G13)/G13</f>
        <v>#DIV/0!</v>
      </c>
      <c r="I13" s="326">
        <f>F13/$F$70</f>
        <v>5.3370579184338577E-4</v>
      </c>
      <c r="J13" s="322" t="s">
        <v>156</v>
      </c>
      <c r="K13" s="54"/>
      <c r="L13" s="323">
        <f>'[3]Air France'!$HK$41</f>
        <v>8359</v>
      </c>
      <c r="M13" s="325">
        <f>'[3]Air France'!$GW$41</f>
        <v>0</v>
      </c>
      <c r="N13" s="326" t="e">
        <f>(L13-M13)/M13</f>
        <v>#DIV/0!</v>
      </c>
      <c r="O13" s="323">
        <f>SUM('[3]Air France'!$HD$41:$HK$41)</f>
        <v>16044</v>
      </c>
      <c r="P13" s="325">
        <f>SUM('[3]Air France'!$GP$41:$GW$41)</f>
        <v>0</v>
      </c>
      <c r="Q13" s="324" t="e">
        <f>(O13-P13)/P13</f>
        <v>#DIV/0!</v>
      </c>
      <c r="R13" s="326">
        <f>O13/$O$70</f>
        <v>1.0569827267255618E-3</v>
      </c>
      <c r="S13" s="322" t="s">
        <v>156</v>
      </c>
      <c r="T13" s="54"/>
      <c r="U13" s="477">
        <f>'[3]Air France'!$HK$64</f>
        <v>529528</v>
      </c>
      <c r="V13" s="469">
        <f>'[3]Air France'!$GW$64</f>
        <v>0</v>
      </c>
      <c r="W13" s="478" t="e">
        <f>(U13-V13)/V13</f>
        <v>#DIV/0!</v>
      </c>
      <c r="X13" s="477">
        <f>SUM('[3]Air France'!$HD$64:$HK$64)</f>
        <v>1467072</v>
      </c>
      <c r="Y13" s="469">
        <f>SUM('[3]Air France'!$GP$64:$GW$64)</f>
        <v>0</v>
      </c>
      <c r="Z13" s="479" t="e">
        <f>(X13-Y13)/Y13</f>
        <v>#DIV/0!</v>
      </c>
      <c r="AA13" s="478">
        <f>X13/$X$70</f>
        <v>3.9186783008216076E-2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194</v>
      </c>
      <c r="D15" s="325">
        <f>SUM(D16:D18)</f>
        <v>126</v>
      </c>
      <c r="E15" s="326">
        <f>(C15-D15)/D15</f>
        <v>0.53968253968253965</v>
      </c>
      <c r="F15" s="325">
        <f>SUM(F16:F18)</f>
        <v>1199</v>
      </c>
      <c r="G15" s="325">
        <f>SUM(G16:G18)</f>
        <v>1132</v>
      </c>
      <c r="H15" s="324">
        <f>(F15-G15)/G15</f>
        <v>5.918727915194346E-2</v>
      </c>
      <c r="I15" s="326">
        <f>F15/$F$70</f>
        <v>6.8075877065980799E-3</v>
      </c>
      <c r="J15" s="322" t="s">
        <v>128</v>
      </c>
      <c r="K15" s="54"/>
      <c r="L15" s="323">
        <f>SUM(L16:L18)</f>
        <v>25811</v>
      </c>
      <c r="M15" s="325">
        <f>SUM(M16:M18)</f>
        <v>10189</v>
      </c>
      <c r="N15" s="326">
        <f>(L15-M15)/M15</f>
        <v>1.5332221022671508</v>
      </c>
      <c r="O15" s="323">
        <f>SUM(O16:O18)</f>
        <v>144931</v>
      </c>
      <c r="P15" s="325">
        <f>SUM(P16:P18)</f>
        <v>78579</v>
      </c>
      <c r="Q15" s="324">
        <f>(O15-P15)/P15</f>
        <v>0.8443986306774075</v>
      </c>
      <c r="R15" s="326">
        <f>O15/$O$70</f>
        <v>9.5480904741375213E-3</v>
      </c>
      <c r="S15" s="322" t="s">
        <v>128</v>
      </c>
      <c r="T15" s="54"/>
      <c r="U15" s="477">
        <f>SUM(U16:U18)</f>
        <v>29175</v>
      </c>
      <c r="V15" s="469">
        <f>SUM(V16:V18)</f>
        <v>49387</v>
      </c>
      <c r="W15" s="478">
        <f>(U15-V15)/V15</f>
        <v>-0.40925749691214286</v>
      </c>
      <c r="X15" s="477">
        <f>SUM(X16:X18)</f>
        <v>242420</v>
      </c>
      <c r="Y15" s="469">
        <f>SUM(Y16:Y18)</f>
        <v>247951</v>
      </c>
      <c r="Z15" s="479">
        <f>(X15-Y15)/Y15</f>
        <v>-2.2306826752059881E-2</v>
      </c>
      <c r="AA15" s="478">
        <f>X15/$X$70</f>
        <v>6.475251342028027E-3</v>
      </c>
    </row>
    <row r="16" spans="1:27" ht="14.1" customHeight="1" x14ac:dyDescent="0.2">
      <c r="A16" s="322"/>
      <c r="B16" s="397" t="s">
        <v>128</v>
      </c>
      <c r="C16" s="403">
        <f>[3]Alaska!$HK$19</f>
        <v>134</v>
      </c>
      <c r="D16" s="267">
        <f>[3]Alaska!$GW$19</f>
        <v>126</v>
      </c>
      <c r="E16" s="405">
        <f>(C16-D16)/D16</f>
        <v>6.3492063492063489E-2</v>
      </c>
      <c r="F16" s="267">
        <f>SUM([3]Alaska!$HD$19:$HK$19)</f>
        <v>905</v>
      </c>
      <c r="G16" s="267">
        <f>SUM([3]Alaska!$GP$19:$GW$19)</f>
        <v>908</v>
      </c>
      <c r="H16" s="404">
        <f>(F16-G16)/G16</f>
        <v>-3.3039647577092512E-3</v>
      </c>
      <c r="I16" s="405">
        <f>F16/$F$70</f>
        <v>5.1383376767900439E-3</v>
      </c>
      <c r="J16" s="322"/>
      <c r="K16" s="397" t="s">
        <v>128</v>
      </c>
      <c r="L16" s="403">
        <f>[3]Alaska!$HK$41</f>
        <v>21689</v>
      </c>
      <c r="M16" s="267">
        <f>[3]Alaska!$GW$41</f>
        <v>10189</v>
      </c>
      <c r="N16" s="405">
        <f>(L16-M16)/M16</f>
        <v>1.1286681715575622</v>
      </c>
      <c r="O16" s="403">
        <f>SUM([3]Alaska!$HD$41:$HK$41)</f>
        <v>120079</v>
      </c>
      <c r="P16" s="267">
        <f>SUM([3]Alaska!$GP$41:$GW$41)</f>
        <v>66220</v>
      </c>
      <c r="Q16" s="404">
        <f>(O16-P16)/P16</f>
        <v>0.81333434007852612</v>
      </c>
      <c r="R16" s="405">
        <f>O16/$O$70</f>
        <v>7.9108345077585854E-3</v>
      </c>
      <c r="S16" s="322"/>
      <c r="T16" s="397" t="s">
        <v>128</v>
      </c>
      <c r="U16" s="508">
        <f>[3]Alaska!$HK$64</f>
        <v>26116</v>
      </c>
      <c r="V16" s="283">
        <f>[3]Alaska!$GW$64</f>
        <v>49387</v>
      </c>
      <c r="W16" s="509">
        <f>(U16-V16)/V16</f>
        <v>-0.47119687367120905</v>
      </c>
      <c r="X16" s="508">
        <f>SUM([3]Alaska!$HD$64:$HK$64)</f>
        <v>224094</v>
      </c>
      <c r="Y16" s="283">
        <f>SUM([3]Alaska!$GP$64:$GW$64)</f>
        <v>235044</v>
      </c>
      <c r="Z16" s="490">
        <f>(X16-Y16)/Y16</f>
        <v>-4.6587022004390667E-2</v>
      </c>
      <c r="AA16" s="509">
        <f>X16/$X$70</f>
        <v>5.9857477693277322E-3</v>
      </c>
    </row>
    <row r="17" spans="1:27" ht="14.1" customHeight="1" x14ac:dyDescent="0.2">
      <c r="A17" s="322"/>
      <c r="B17" s="397" t="s">
        <v>97</v>
      </c>
      <c r="C17" s="327">
        <f>'[3]Sky West_AS'!$HK$19</f>
        <v>0</v>
      </c>
      <c r="D17" s="9">
        <f>'[3]Sky West_AS'!$GW$19</f>
        <v>0</v>
      </c>
      <c r="E17" s="84" t="e">
        <f>(C17-D17)/D17</f>
        <v>#DIV/0!</v>
      </c>
      <c r="F17" s="9">
        <f>SUM('[3]Sky West_AS'!$HD$19:$HK$19)</f>
        <v>0</v>
      </c>
      <c r="G17" s="9">
        <f>SUM('[3]Sky West_AS'!$GP$19:$GW$19)</f>
        <v>40</v>
      </c>
      <c r="H17" s="38">
        <f>(F17-G17)/G17</f>
        <v>-1</v>
      </c>
      <c r="I17" s="84">
        <f>F17/$F$70</f>
        <v>0</v>
      </c>
      <c r="J17" s="322"/>
      <c r="K17" s="397" t="s">
        <v>97</v>
      </c>
      <c r="L17" s="327">
        <f>'[3]Sky West_AS'!$HK$41</f>
        <v>0</v>
      </c>
      <c r="M17" s="9">
        <f>'[3]Sky West_AS'!$GW$41</f>
        <v>0</v>
      </c>
      <c r="N17" s="84" t="e">
        <f>(L17-M17)/M17</f>
        <v>#DIV/0!</v>
      </c>
      <c r="O17" s="327">
        <f>SUM('[3]Sky West_AS'!$HD$41:$HK$41)</f>
        <v>0</v>
      </c>
      <c r="P17" s="9">
        <f>SUM('[3]Sky West_AS'!$GP$41:$GW$41)</f>
        <v>1379</v>
      </c>
      <c r="Q17" s="38">
        <f>(O17-P17)/P17</f>
        <v>-1</v>
      </c>
      <c r="R17" s="405">
        <f>O17/$O$70</f>
        <v>0</v>
      </c>
      <c r="S17" s="322"/>
      <c r="T17" s="397" t="s">
        <v>97</v>
      </c>
      <c r="U17" s="451">
        <f>'[3]Sky West_AS'!$HK$64</f>
        <v>0</v>
      </c>
      <c r="V17" s="2">
        <f>'[3]Sky West_AS'!$GW$64</f>
        <v>0</v>
      </c>
      <c r="W17" s="83" t="e">
        <f>(U17-V17)/V17</f>
        <v>#DIV/0!</v>
      </c>
      <c r="X17" s="451">
        <f>SUM('[3]Sky West_AS'!$HD$64:$HK$64)</f>
        <v>0</v>
      </c>
      <c r="Y17" s="2">
        <f>SUM('[3]Sky West_AS'!$GP$64:$GW$64)</f>
        <v>286</v>
      </c>
      <c r="Z17" s="3">
        <f>(X17-Y17)/Y17</f>
        <v>-1</v>
      </c>
      <c r="AA17" s="509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[3]Horizon_AS!$HK$19</f>
        <v>60</v>
      </c>
      <c r="D18" s="9">
        <f>[3]Horizon_AS!$GW$19</f>
        <v>0</v>
      </c>
      <c r="E18" s="84" t="e">
        <f>(C18-D18)/D18</f>
        <v>#DIV/0!</v>
      </c>
      <c r="F18" s="9">
        <f>SUM([3]Horizon_AS!$HD$19:$HK$19)</f>
        <v>294</v>
      </c>
      <c r="G18" s="9">
        <f>SUM([3]Horizon_AS!$GP$19:$GW$19)</f>
        <v>184</v>
      </c>
      <c r="H18" s="38">
        <f>(F18-G18)/G18</f>
        <v>0.59782608695652173</v>
      </c>
      <c r="I18" s="84">
        <f>F18/$F$70</f>
        <v>1.6692500298080362E-3</v>
      </c>
      <c r="J18" s="322"/>
      <c r="K18" s="397" t="s">
        <v>193</v>
      </c>
      <c r="L18" s="327">
        <f>[3]Horizon_AS!$HK$41</f>
        <v>4122</v>
      </c>
      <c r="M18" s="9">
        <f>[3]Horizon_AS!$GW$41</f>
        <v>0</v>
      </c>
      <c r="N18" s="84" t="e">
        <f>(L18-M18)/M18</f>
        <v>#DIV/0!</v>
      </c>
      <c r="O18" s="327">
        <f>SUM([3]Horizon_AS!$HD$41:$HK$41)</f>
        <v>24852</v>
      </c>
      <c r="P18" s="9">
        <f>SUM([3]Horizon_AS!$GP$41:$GW$41)</f>
        <v>10980</v>
      </c>
      <c r="Q18" s="38">
        <f>(O18-P18)/P18</f>
        <v>1.2633879781420765</v>
      </c>
      <c r="R18" s="405">
        <f>O18/$O$70</f>
        <v>1.6372559663789369E-3</v>
      </c>
      <c r="S18" s="322"/>
      <c r="T18" s="397" t="s">
        <v>193</v>
      </c>
      <c r="U18" s="451">
        <f>[3]Horizon_AS!$HK$64</f>
        <v>3059</v>
      </c>
      <c r="V18" s="2">
        <f>[3]Horizon_AS!$GW$64</f>
        <v>0</v>
      </c>
      <c r="W18" s="83" t="e">
        <f>(U18-V18)/V18</f>
        <v>#DIV/0!</v>
      </c>
      <c r="X18" s="451">
        <f>SUM([3]Horizon_AS!$HD$64:$HK$64)</f>
        <v>18326</v>
      </c>
      <c r="Y18" s="2">
        <f>SUM([3]Horizon_AS!$GP$64:$GW$64)</f>
        <v>12621</v>
      </c>
      <c r="Z18" s="3">
        <f>(X18-Y18)/Y18</f>
        <v>0.45202440377149194</v>
      </c>
      <c r="AA18" s="509">
        <f>X18/$X$70</f>
        <v>4.8950357270029546E-4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1234</v>
      </c>
      <c r="D20" s="325">
        <f>SUM(D21:D27)</f>
        <v>991</v>
      </c>
      <c r="E20" s="326">
        <f t="shared" ref="E20:E27" si="0">(C20-D20)/D20</f>
        <v>0.24520686175580222</v>
      </c>
      <c r="F20" s="323">
        <f>SUM(F21:F27)</f>
        <v>7907</v>
      </c>
      <c r="G20" s="325">
        <f>SUM(G21:G27)</f>
        <v>7855</v>
      </c>
      <c r="H20" s="324">
        <f t="shared" ref="H20:H27" si="1">(F20-G20)/G20</f>
        <v>6.6199872692552517E-3</v>
      </c>
      <c r="I20" s="326">
        <f t="shared" ref="I20:I27" si="2">F20/$F$70</f>
        <v>4.4893741447932456E-2</v>
      </c>
      <c r="J20" s="322" t="s">
        <v>17</v>
      </c>
      <c r="K20" s="330"/>
      <c r="L20" s="323">
        <f>SUM(L21:L27)</f>
        <v>136000</v>
      </c>
      <c r="M20" s="325">
        <f>SUM(M21:M27)</f>
        <v>80219</v>
      </c>
      <c r="N20" s="326">
        <f t="shared" ref="N20:N27" si="3">(L20-M20)/M20</f>
        <v>0.6953589548610678</v>
      </c>
      <c r="O20" s="323">
        <f>SUM(O21:O27)</f>
        <v>819812</v>
      </c>
      <c r="P20" s="325">
        <f>SUM(P21:P27)</f>
        <v>628958</v>
      </c>
      <c r="Q20" s="324">
        <f t="shared" ref="Q20:Q27" si="4">(O20-P20)/P20</f>
        <v>0.30344474511811598</v>
      </c>
      <c r="R20" s="326">
        <f t="shared" ref="R20:R27" si="5">O20/$O$70</f>
        <v>5.4009419294585907E-2</v>
      </c>
      <c r="S20" s="322" t="s">
        <v>17</v>
      </c>
      <c r="T20" s="330"/>
      <c r="U20" s="477">
        <f>SUM(U21:U27)</f>
        <v>105168</v>
      </c>
      <c r="V20" s="469">
        <f>SUM(V21:V27)</f>
        <v>150027</v>
      </c>
      <c r="W20" s="478">
        <f t="shared" ref="W20:W24" si="6">(U20-V20)/V20</f>
        <v>-0.29900617888780018</v>
      </c>
      <c r="X20" s="477">
        <f>SUM(X21:X27)</f>
        <v>1154632</v>
      </c>
      <c r="Y20" s="469">
        <f>SUM(Y21:Y27)</f>
        <v>1527748</v>
      </c>
      <c r="Z20" s="479">
        <f t="shared" ref="Z20:Z24" si="7">(X20-Y20)/Y20</f>
        <v>-0.24422614200771331</v>
      </c>
      <c r="AA20" s="478">
        <f t="shared" ref="AA20:AA27" si="8">X20/$X$70</f>
        <v>3.0841235902765881E-2</v>
      </c>
    </row>
    <row r="21" spans="1:27" ht="14.1" customHeight="1" x14ac:dyDescent="0.2">
      <c r="A21" s="52"/>
      <c r="B21" s="332" t="s">
        <v>17</v>
      </c>
      <c r="C21" s="327">
        <f>[3]American!$HK$19</f>
        <v>749</v>
      </c>
      <c r="D21" s="9">
        <f>[3]American!$GW$19</f>
        <v>652</v>
      </c>
      <c r="E21" s="84">
        <f t="shared" si="0"/>
        <v>0.14877300613496933</v>
      </c>
      <c r="F21" s="9">
        <f>SUM([3]American!$HD$19:$HK$19)</f>
        <v>4940</v>
      </c>
      <c r="G21" s="9">
        <f>SUM([3]American!$GP$19:$GW$19)</f>
        <v>4879</v>
      </c>
      <c r="H21" s="38">
        <f t="shared" si="1"/>
        <v>1.250256200040992E-2</v>
      </c>
      <c r="I21" s="84">
        <f t="shared" si="2"/>
        <v>2.8047942677726867E-2</v>
      </c>
      <c r="J21" s="52"/>
      <c r="K21" s="331" t="s">
        <v>17</v>
      </c>
      <c r="L21" s="327">
        <f>[3]American!$HK$41</f>
        <v>104807</v>
      </c>
      <c r="M21" s="9">
        <f>[3]American!$GW$41</f>
        <v>62770</v>
      </c>
      <c r="N21" s="84">
        <f t="shared" si="3"/>
        <v>0.66969890074876537</v>
      </c>
      <c r="O21" s="327">
        <f>SUM([3]American!$HD$41:$HK$41)</f>
        <v>635132</v>
      </c>
      <c r="P21" s="9">
        <f>SUM([3]American!$GP$41:$GW$41)</f>
        <v>488950</v>
      </c>
      <c r="Q21" s="38">
        <f t="shared" si="4"/>
        <v>0.2989712649555169</v>
      </c>
      <c r="R21" s="84">
        <f t="shared" si="5"/>
        <v>4.1842654773788304E-2</v>
      </c>
      <c r="S21" s="52"/>
      <c r="T21" s="54" t="s">
        <v>17</v>
      </c>
      <c r="U21" s="451">
        <f>[3]American!$HK$64</f>
        <v>103688</v>
      </c>
      <c r="V21" s="2">
        <f>[3]American!$GW$64</f>
        <v>149664</v>
      </c>
      <c r="W21" s="83">
        <f t="shared" si="6"/>
        <v>-0.30719478298054309</v>
      </c>
      <c r="X21" s="451">
        <f>SUM([3]American!$HD$64:$HK$64)</f>
        <v>1140513</v>
      </c>
      <c r="Y21" s="2">
        <f>SUM([3]American!$GP$64:$GW$64)</f>
        <v>1516401</v>
      </c>
      <c r="Z21" s="3">
        <f t="shared" si="7"/>
        <v>-0.24788166190869038</v>
      </c>
      <c r="AA21" s="83">
        <f t="shared" si="8"/>
        <v>3.0464104998970429E-2</v>
      </c>
    </row>
    <row r="22" spans="1:27" ht="14.1" customHeight="1" x14ac:dyDescent="0.2">
      <c r="A22" s="52"/>
      <c r="B22" s="398" t="s">
        <v>165</v>
      </c>
      <c r="C22" s="327">
        <f>'[3]American Eagle'!$HK$19</f>
        <v>143</v>
      </c>
      <c r="D22" s="9">
        <f>'[3]American Eagle'!$GW$19</f>
        <v>0</v>
      </c>
      <c r="E22" s="84" t="e">
        <f t="shared" si="0"/>
        <v>#DIV/0!</v>
      </c>
      <c r="F22" s="9">
        <f>SUM('[3]American Eagle'!$HD$19:$HK$19)</f>
        <v>1286</v>
      </c>
      <c r="G22" s="9">
        <f>SUM('[3]American Eagle'!$GP$19:$GW$19)</f>
        <v>668</v>
      </c>
      <c r="H22" s="38">
        <f t="shared" si="1"/>
        <v>0.92514970059880242</v>
      </c>
      <c r="I22" s="84">
        <f t="shared" si="2"/>
        <v>7.3015494501127024E-3</v>
      </c>
      <c r="J22" s="52"/>
      <c r="K22" s="396" t="s">
        <v>165</v>
      </c>
      <c r="L22" s="327">
        <f>'[3]American Eagle'!$HK$41</f>
        <v>9466</v>
      </c>
      <c r="M22" s="9">
        <f>'[3]American Eagle'!$GW$41</f>
        <v>0</v>
      </c>
      <c r="N22" s="84" t="e">
        <f t="shared" si="3"/>
        <v>#DIV/0!</v>
      </c>
      <c r="O22" s="327">
        <f>SUM('[3]American Eagle'!$HD$41:$HK$41)</f>
        <v>82602</v>
      </c>
      <c r="P22" s="9">
        <f>SUM('[3]American Eagle'!$GP$41:$GW$41)</f>
        <v>36751</v>
      </c>
      <c r="Q22" s="38">
        <f t="shared" si="4"/>
        <v>1.2476123098691192</v>
      </c>
      <c r="R22" s="84">
        <f t="shared" si="5"/>
        <v>5.4418403884931976E-3</v>
      </c>
      <c r="S22" s="52"/>
      <c r="T22" s="397" t="s">
        <v>165</v>
      </c>
      <c r="U22" s="451">
        <f>'[3]American Eagle'!$HK$64</f>
        <v>837</v>
      </c>
      <c r="V22" s="2">
        <f>'[3]American Eagle'!$GW$64</f>
        <v>0</v>
      </c>
      <c r="W22" s="83" t="e">
        <f t="shared" si="6"/>
        <v>#DIV/0!</v>
      </c>
      <c r="X22" s="451">
        <f>SUM('[3]American Eagle'!$HD$64:$HK$64)</f>
        <v>9098</v>
      </c>
      <c r="Y22" s="2">
        <f>SUM('[3]American Eagle'!$GP$64:$GW$64)</f>
        <v>5052</v>
      </c>
      <c r="Z22" s="3">
        <f t="shared" si="7"/>
        <v>0.80087094220110844</v>
      </c>
      <c r="AA22" s="83">
        <f t="shared" si="8"/>
        <v>2.4301557920044134E-4</v>
      </c>
    </row>
    <row r="23" spans="1:27" ht="14.1" customHeight="1" x14ac:dyDescent="0.2">
      <c r="A23" s="52"/>
      <c r="B23" s="398" t="s">
        <v>52</v>
      </c>
      <c r="C23" s="327">
        <f>[3]Republic!$HK$19</f>
        <v>266</v>
      </c>
      <c r="D23" s="9">
        <f>[3]Republic!$GW$19</f>
        <v>339</v>
      </c>
      <c r="E23" s="84">
        <f t="shared" si="0"/>
        <v>-0.21533923303834809</v>
      </c>
      <c r="F23" s="9">
        <f>SUM([3]Republic!$HD$19:$HK$19)</f>
        <v>1145</v>
      </c>
      <c r="G23" s="9">
        <f>SUM([3]Republic!$GP$19:$GW$19)</f>
        <v>2004</v>
      </c>
      <c r="H23" s="38">
        <f t="shared" si="1"/>
        <v>-0.42864271457085829</v>
      </c>
      <c r="I23" s="84">
        <f t="shared" si="2"/>
        <v>6.5009907623476242E-3</v>
      </c>
      <c r="J23" s="337"/>
      <c r="K23" s="333" t="s">
        <v>52</v>
      </c>
      <c r="L23" s="327">
        <f>[3]Republic!$HK$41</f>
        <v>17669</v>
      </c>
      <c r="M23" s="9">
        <f>[3]Republic!$GW$41</f>
        <v>17449</v>
      </c>
      <c r="N23" s="84">
        <f t="shared" si="3"/>
        <v>1.2608172388102469E-2</v>
      </c>
      <c r="O23" s="327">
        <f>SUM([3]Republic!$HD$41:$HK$41)</f>
        <v>72757</v>
      </c>
      <c r="P23" s="9">
        <f>SUM([3]Republic!$GP$41:$GW$41)</f>
        <v>87257</v>
      </c>
      <c r="Q23" s="38">
        <f t="shared" si="4"/>
        <v>-0.16617577959361426</v>
      </c>
      <c r="R23" s="84">
        <f t="shared" si="5"/>
        <v>4.7932493298661E-3</v>
      </c>
      <c r="S23" s="52"/>
      <c r="T23" s="399" t="s">
        <v>52</v>
      </c>
      <c r="U23" s="451">
        <f>[3]Republic!$HK$64</f>
        <v>629</v>
      </c>
      <c r="V23" s="2">
        <f>[3]Republic!$GW$64</f>
        <v>363</v>
      </c>
      <c r="W23" s="83">
        <f t="shared" si="6"/>
        <v>0.73278236914600547</v>
      </c>
      <c r="X23" s="451">
        <f>SUM([3]Republic!$HD$64:$HK$64)</f>
        <v>3795</v>
      </c>
      <c r="Y23" s="2">
        <f>SUM([3]Republic!$GP$64:$GW$64)</f>
        <v>5651</v>
      </c>
      <c r="Z23" s="3">
        <f t="shared" si="7"/>
        <v>-0.32843744470005309</v>
      </c>
      <c r="AA23" s="83">
        <f t="shared" si="8"/>
        <v>1.0136778666362661E-4</v>
      </c>
    </row>
    <row r="24" spans="1:27" ht="14.1" customHeight="1" x14ac:dyDescent="0.2">
      <c r="A24" s="52"/>
      <c r="B24" s="398" t="s">
        <v>182</v>
      </c>
      <c r="C24" s="327">
        <f>[3]PSA!$HK$19</f>
        <v>26</v>
      </c>
      <c r="D24" s="9">
        <f>[3]PSA!$GW$19</f>
        <v>0</v>
      </c>
      <c r="E24" s="84" t="e">
        <f t="shared" si="0"/>
        <v>#DIV/0!</v>
      </c>
      <c r="F24" s="9">
        <f>SUM([3]PSA!$HD$19:$HK$19)</f>
        <v>140</v>
      </c>
      <c r="G24" s="9">
        <f>SUM([3]PSA!$GP$19:$GW$19)</f>
        <v>0</v>
      </c>
      <c r="H24" s="38" t="e">
        <f t="shared" si="1"/>
        <v>#DIV/0!</v>
      </c>
      <c r="I24" s="84">
        <f t="shared" si="2"/>
        <v>7.9488096657525536E-4</v>
      </c>
      <c r="J24" s="337"/>
      <c r="K24" s="398" t="s">
        <v>182</v>
      </c>
      <c r="L24" s="327">
        <f>[3]PSA!$HK$41</f>
        <v>1405</v>
      </c>
      <c r="M24" s="9">
        <f>[3]PSA!$GW$41</f>
        <v>0</v>
      </c>
      <c r="N24" s="84" t="e">
        <f t="shared" si="3"/>
        <v>#DIV/0!</v>
      </c>
      <c r="O24" s="327">
        <f>SUM([3]PSA!$HD$41:$HK$41)</f>
        <v>7181</v>
      </c>
      <c r="P24" s="9">
        <f>SUM([3]PSA!$GP$41:$GW$41)</f>
        <v>0</v>
      </c>
      <c r="Q24" s="38" t="e">
        <f t="shared" si="4"/>
        <v>#DIV/0!</v>
      </c>
      <c r="R24" s="84">
        <f t="shared" si="5"/>
        <v>4.7308607333683991E-4</v>
      </c>
      <c r="S24" s="52"/>
      <c r="T24" s="397" t="s">
        <v>182</v>
      </c>
      <c r="U24" s="451">
        <f>[3]PSA!$HK$64</f>
        <v>0</v>
      </c>
      <c r="V24" s="2">
        <f>[3]PSA!$GW$64</f>
        <v>0</v>
      </c>
      <c r="W24" s="83" t="e">
        <f t="shared" si="6"/>
        <v>#DIV/0!</v>
      </c>
      <c r="X24" s="451">
        <f>SUM([3]PSA!$HD$64:$HK$64)</f>
        <v>31</v>
      </c>
      <c r="Y24" s="2">
        <f>SUM([3]PSA!$GP$64:$GW$64)</f>
        <v>0</v>
      </c>
      <c r="Z24" s="3" t="e">
        <f t="shared" si="7"/>
        <v>#DIV/0!</v>
      </c>
      <c r="AA24" s="83">
        <f t="shared" si="8"/>
        <v>8.2803725601381425E-7</v>
      </c>
    </row>
    <row r="25" spans="1:27" ht="14.1" customHeight="1" x14ac:dyDescent="0.2">
      <c r="A25" s="52"/>
      <c r="B25" s="397" t="s">
        <v>97</v>
      </c>
      <c r="C25" s="327">
        <f>'[3]Sky West_AA'!$HK$19</f>
        <v>50</v>
      </c>
      <c r="D25" s="9">
        <f>'[3]Sky West_AA'!$GW$19</f>
        <v>0</v>
      </c>
      <c r="E25" s="84" t="e">
        <f>(C25-D25)/D25</f>
        <v>#DIV/0!</v>
      </c>
      <c r="F25" s="9">
        <f>SUM('[3]Sky West_AA'!$HD$19:$HK$19)</f>
        <v>396</v>
      </c>
      <c r="G25" s="9">
        <f>SUM('[3]Sky West_AA'!$GP$19:$GW$19)</f>
        <v>298</v>
      </c>
      <c r="H25" s="38">
        <f>(F25-G25)/G25</f>
        <v>0.32885906040268459</v>
      </c>
      <c r="I25" s="84">
        <f t="shared" si="2"/>
        <v>2.2483775911700081E-3</v>
      </c>
      <c r="J25" s="337"/>
      <c r="K25" s="397" t="s">
        <v>97</v>
      </c>
      <c r="L25" s="327">
        <f>'[3]Sky West_AA'!$HK$41</f>
        <v>2653</v>
      </c>
      <c r="M25" s="9">
        <f>'[3]Sky West_AA'!$GW$41</f>
        <v>0</v>
      </c>
      <c r="N25" s="84" t="e">
        <f>(L25-M25)/M25</f>
        <v>#DIV/0!</v>
      </c>
      <c r="O25" s="327">
        <f>SUM('[3]Sky West_AA'!$HD$41:$HK$41)</f>
        <v>22140</v>
      </c>
      <c r="P25" s="9">
        <f>SUM('[3]Sky West_AA'!$GP$41:$GW$41)</f>
        <v>15806</v>
      </c>
      <c r="Q25" s="38">
        <f>(O25-P25)/P25</f>
        <v>0.40073389851954955</v>
      </c>
      <c r="R25" s="405">
        <f t="shared" si="5"/>
        <v>1.4585887291014672E-3</v>
      </c>
      <c r="S25" s="52"/>
      <c r="T25" s="397" t="s">
        <v>97</v>
      </c>
      <c r="U25" s="451">
        <f>'[3]Sky West_AA'!$HK$64</f>
        <v>14</v>
      </c>
      <c r="V25" s="2">
        <f>'[3]Sky West_AA'!$GW$64</f>
        <v>0</v>
      </c>
      <c r="W25" s="83" t="e">
        <f>(U25-V25)/V25</f>
        <v>#DIV/0!</v>
      </c>
      <c r="X25" s="451">
        <f>SUM('[3]Sky West_AA'!$HD$64:$HK$64)</f>
        <v>1195</v>
      </c>
      <c r="Y25" s="2">
        <f>SUM('[3]Sky West_AA'!$GP$64:$GW$64)</f>
        <v>644</v>
      </c>
      <c r="Z25" s="3">
        <f>(X25-Y25)/Y25</f>
        <v>0.85559006211180122</v>
      </c>
      <c r="AA25" s="509">
        <f t="shared" si="8"/>
        <v>3.1919500675371229E-5</v>
      </c>
    </row>
    <row r="26" spans="1:27" ht="14.1" customHeight="1" x14ac:dyDescent="0.2">
      <c r="A26" s="52"/>
      <c r="B26" s="398" t="s">
        <v>51</v>
      </c>
      <c r="C26" s="327">
        <f>[3]MESA!$HK$19</f>
        <v>0</v>
      </c>
      <c r="D26" s="9">
        <f>[3]MESA!$GW$19</f>
        <v>0</v>
      </c>
      <c r="E26" s="84" t="e">
        <f t="shared" si="0"/>
        <v>#DIV/0!</v>
      </c>
      <c r="F26" s="9">
        <f>SUM([3]MESA!$HD$19:$HK$19)</f>
        <v>0</v>
      </c>
      <c r="G26" s="9">
        <f>SUM([3]MESA!$GP$19:$GW$19)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[3]MESA!$HK$41</f>
        <v>0</v>
      </c>
      <c r="M26" s="9">
        <f>[3]MESA!$GW$41</f>
        <v>0</v>
      </c>
      <c r="N26" s="84" t="e">
        <f t="shared" si="3"/>
        <v>#DIV/0!</v>
      </c>
      <c r="O26" s="327">
        <f>SUM([3]MESA!$HD$41:$HK$41)</f>
        <v>0</v>
      </c>
      <c r="P26" s="9">
        <f>SUM([3]MESA!$GP$41:$GW$41)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[3]MESA!$HK$64</f>
        <v>0</v>
      </c>
      <c r="V26" s="2">
        <f>[3]MESA!$GW$64</f>
        <v>0</v>
      </c>
      <c r="W26" s="83" t="e">
        <f t="shared" ref="W26:W27" si="9">(U26-V26)/V26</f>
        <v>#DIV/0!</v>
      </c>
      <c r="X26" s="451">
        <f>SUM([3]MESA!$HD$64:$HK$64)</f>
        <v>0</v>
      </c>
      <c r="Y26" s="2">
        <f>SUM([3]MESA!$GP$64:$GW$64)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Wisconsin'!$HK$19</f>
        <v>0</v>
      </c>
      <c r="D27" s="9">
        <f>'[3]Air Wisconsin'!$GW$19</f>
        <v>0</v>
      </c>
      <c r="E27" s="84" t="e">
        <f t="shared" si="0"/>
        <v>#DIV/0!</v>
      </c>
      <c r="F27" s="9">
        <f>SUM('[3]Air Wisconsin'!$HD$19:$HK$19)</f>
        <v>0</v>
      </c>
      <c r="G27" s="9">
        <f>SUM('[3]Air Wisconsin'!$GP$19:$GW$19)</f>
        <v>6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Wisconsin'!$HK$41</f>
        <v>0</v>
      </c>
      <c r="M27" s="9">
        <f>'[3]Air Wisconsin'!$GW$41</f>
        <v>0</v>
      </c>
      <c r="N27" s="84" t="e">
        <f t="shared" si="3"/>
        <v>#DIV/0!</v>
      </c>
      <c r="O27" s="327">
        <f>SUM('[3]Air Wisconsin'!$HD$41:$HK$41)</f>
        <v>0</v>
      </c>
      <c r="P27" s="9">
        <f>SUM('[3]Air Wisconsin'!$GP$41:$GW$41)</f>
        <v>194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Wisconsin'!$HK$64</f>
        <v>0</v>
      </c>
      <c r="V27" s="2">
        <f>'[3]Air Wisconsin'!$GW$64</f>
        <v>0</v>
      </c>
      <c r="W27" s="83" t="e">
        <f t="shared" si="9"/>
        <v>#DIV/0!</v>
      </c>
      <c r="X27" s="451">
        <f>SUM('[3]Air Wisconsin'!$HD$64:$HK$64)</f>
        <v>0</v>
      </c>
      <c r="Y27" s="2">
        <f>SUM('[3]Air Wisconsin'!$GP$64:$GW$64)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Air'!$HK$19</f>
        <v>51</v>
      </c>
      <c r="D29" s="325">
        <f>'[3]Boutique Air'!$GW$19</f>
        <v>37</v>
      </c>
      <c r="E29" s="326">
        <f>(C29-D29)/D29</f>
        <v>0.3783783783783784</v>
      </c>
      <c r="F29" s="325">
        <f>SUM('[3]Boutique Air'!$HD$19:$HK$19)</f>
        <v>364</v>
      </c>
      <c r="G29" s="325">
        <f>SUM('[3]Boutique Air'!$GP$19:$GW$19)</f>
        <v>840</v>
      </c>
      <c r="H29" s="324">
        <f>(F29-G29)/G29</f>
        <v>-0.56666666666666665</v>
      </c>
      <c r="I29" s="326">
        <f>F29/$F$70</f>
        <v>2.066690513095664E-3</v>
      </c>
      <c r="J29" s="322" t="s">
        <v>179</v>
      </c>
      <c r="K29" s="332"/>
      <c r="L29" s="323">
        <f>'[3]Boutique Air'!$HK$41</f>
        <v>280</v>
      </c>
      <c r="M29" s="325">
        <f>'[3]Boutique Air'!$GW$41</f>
        <v>94</v>
      </c>
      <c r="N29" s="326">
        <f>(L29-M29)/M29</f>
        <v>1.9787234042553192</v>
      </c>
      <c r="O29" s="323">
        <f>SUM('[3]Boutique Air'!$HD$41:$HK$41)</f>
        <v>1707</v>
      </c>
      <c r="P29" s="325">
        <f>SUM('[3]Boutique Air'!$GP$41:$GW$41)</f>
        <v>2550</v>
      </c>
      <c r="Q29" s="324">
        <f>(O29-P29)/P29</f>
        <v>-0.33058823529411763</v>
      </c>
      <c r="R29" s="326">
        <f>O29/$O$70</f>
        <v>1.1245758629522152E-4</v>
      </c>
      <c r="S29" s="322" t="s">
        <v>179</v>
      </c>
      <c r="T29" s="54"/>
      <c r="U29" s="477">
        <f>'[3]Boutique Air'!$HK$64</f>
        <v>0</v>
      </c>
      <c r="V29" s="469">
        <f>'[3]Boutique Air'!$GW$64</f>
        <v>0</v>
      </c>
      <c r="W29" s="478" t="e">
        <f>(U29-V29)/V29</f>
        <v>#DIV/0!</v>
      </c>
      <c r="X29" s="477">
        <f>SUM('[3]Boutique Air'!$HD$64:$HK$64)</f>
        <v>0</v>
      </c>
      <c r="Y29" s="469">
        <f>SUM('[3]Boutique Air'!$GP$64:$GW$64)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[3]Condor!$HK$19</f>
        <v>0</v>
      </c>
      <c r="D31" s="325">
        <f>[3]Condor!$GW$19</f>
        <v>0</v>
      </c>
      <c r="E31" s="326" t="e">
        <f>(C31-D31)/D31</f>
        <v>#DIV/0!</v>
      </c>
      <c r="F31" s="325">
        <f>SUM([3]Condor!$HD$19:$HK$19)</f>
        <v>0</v>
      </c>
      <c r="G31" s="325">
        <f>SUM([3]Condor!$GP$19:$GW$19)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[3]Condor!$HK$41</f>
        <v>0</v>
      </c>
      <c r="M31" s="325">
        <f>[3]Condor!$GW$41</f>
        <v>0</v>
      </c>
      <c r="N31" s="326" t="e">
        <f>(L31-M31)/M31</f>
        <v>#DIV/0!</v>
      </c>
      <c r="O31" s="323">
        <f>SUM([3]Condor!$HD$41:$HK$41)</f>
        <v>0</v>
      </c>
      <c r="P31" s="325">
        <f>SUM([3]Condor!$GP$41:$GW$41)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[3]Condor!$HK$64</f>
        <v>0</v>
      </c>
      <c r="V31" s="469">
        <f>[3]Condor!$GW$64</f>
        <v>0</v>
      </c>
      <c r="W31" s="478" t="e">
        <f>(U31-V31)/V31</f>
        <v>#DIV/0!</v>
      </c>
      <c r="X31" s="477">
        <f>SUM([3]Condor!$HD$64:$HK$64)</f>
        <v>0</v>
      </c>
      <c r="Y31" s="469">
        <f>SUM([3]Condor!$GP$64:$GW$64)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Air'!$HK$19</f>
        <v>110</v>
      </c>
      <c r="D33" s="469">
        <f>'[3]Denver Air'!$GW$19</f>
        <v>108</v>
      </c>
      <c r="E33" s="478">
        <f>(C33-D33)/D33</f>
        <v>1.8518518518518517E-2</v>
      </c>
      <c r="F33" s="469">
        <f>SUM('[3]Denver Air'!$HD$19:$HK$19)</f>
        <v>876</v>
      </c>
      <c r="G33" s="469">
        <f>SUM('[3]Denver Air'!$GP$19:$GW$19)</f>
        <v>320</v>
      </c>
      <c r="H33" s="479">
        <f>(F33-G33)/G33</f>
        <v>1.7375</v>
      </c>
      <c r="I33" s="478">
        <f>F33/$F$70</f>
        <v>4.9736837622851695E-3</v>
      </c>
      <c r="J33" s="322" t="s">
        <v>239</v>
      </c>
      <c r="K33" s="54"/>
      <c r="L33" s="477">
        <f>'[3]Denver Air'!$HK$41</f>
        <v>1507</v>
      </c>
      <c r="M33" s="469">
        <f>'[3]Denver Air'!$GW$41</f>
        <v>273</v>
      </c>
      <c r="N33" s="478">
        <f>(L33-M33)/M33</f>
        <v>4.5201465201465201</v>
      </c>
      <c r="O33" s="477">
        <f>SUM('[3]Denver Air'!$HD$41:$HK$41)</f>
        <v>5538</v>
      </c>
      <c r="P33" s="469">
        <f>SUM('[3]Denver Air'!$GP$41:$GW$41)</f>
        <v>637</v>
      </c>
      <c r="Q33" s="479">
        <f>(O33-P33)/P33</f>
        <v>7.6938775510204085</v>
      </c>
      <c r="R33" s="478">
        <f>O33/$O$70</f>
        <v>3.6484482302456752E-4</v>
      </c>
      <c r="S33" s="322" t="s">
        <v>239</v>
      </c>
      <c r="T33" s="54"/>
      <c r="U33" s="477">
        <f>'[3]Denver Air'!$HK$64</f>
        <v>0</v>
      </c>
      <c r="V33" s="469">
        <f>'[3]Denver Air'!$GW$64</f>
        <v>0</v>
      </c>
      <c r="W33" s="478" t="e">
        <f>(U33-V33)/V33</f>
        <v>#DIV/0!</v>
      </c>
      <c r="X33" s="477">
        <f>SUM('[3]Denver Air'!$HD$64:$HK$64)</f>
        <v>0</v>
      </c>
      <c r="Y33" s="469">
        <f>SUM('[3]Denver Air'!$GP$64:$GW$64)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19803</v>
      </c>
      <c r="D35" s="325">
        <f>SUM(D36:D42)</f>
        <v>14660</v>
      </c>
      <c r="E35" s="326">
        <f t="shared" ref="E35:E42" si="11">(C35-D35)/D35</f>
        <v>0.35081855388813099</v>
      </c>
      <c r="F35" s="328">
        <f>SUM(F36:F42)</f>
        <v>137172</v>
      </c>
      <c r="G35" s="328">
        <f>SUM(G36:G42)</f>
        <v>105134</v>
      </c>
      <c r="H35" s="324">
        <f>(F35-G35)/G35</f>
        <v>0.30473490973424394</v>
      </c>
      <c r="I35" s="326">
        <f t="shared" ref="I35:I42" si="12">F35/$F$70</f>
        <v>0.77882437105043523</v>
      </c>
      <c r="J35" s="322" t="s">
        <v>18</v>
      </c>
      <c r="K35" s="335"/>
      <c r="L35" s="323">
        <f>SUM(L36:L42)</f>
        <v>1877164</v>
      </c>
      <c r="M35" s="325">
        <f>SUM(M36:M42)</f>
        <v>733287</v>
      </c>
      <c r="N35" s="326">
        <f t="shared" ref="N35:N42" si="13">(L35-M35)/M35</f>
        <v>1.5599308319934759</v>
      </c>
      <c r="O35" s="323">
        <f>SUM(O36:O42)</f>
        <v>10781752</v>
      </c>
      <c r="P35" s="325">
        <f>SUM(P36:P42)</f>
        <v>6978486</v>
      </c>
      <c r="Q35" s="324">
        <f t="shared" ref="Q35:Q42" si="14">(O35-P35)/P35</f>
        <v>0.54499872895066348</v>
      </c>
      <c r="R35" s="326">
        <f t="shared" ref="R35:R42" si="15">O35/$O$70</f>
        <v>0.71030451432552855</v>
      </c>
      <c r="S35" s="322" t="s">
        <v>18</v>
      </c>
      <c r="T35" s="330"/>
      <c r="U35" s="477">
        <f>SUM(U36:U42)</f>
        <v>5209283</v>
      </c>
      <c r="V35" s="469">
        <f>SUM(V36:V42)</f>
        <v>3370015</v>
      </c>
      <c r="W35" s="478">
        <f t="shared" ref="W35:W42" si="16">(U35-V35)/V35</f>
        <v>0.54577442533638576</v>
      </c>
      <c r="X35" s="477">
        <f>SUM(X36:X42)</f>
        <v>27585609</v>
      </c>
      <c r="Y35" s="469">
        <f>SUM(Y36:Y42)</f>
        <v>29115355</v>
      </c>
      <c r="Z35" s="479">
        <f t="shared" ref="Z35:Z38" si="17">(X35-Y35)/Y35</f>
        <v>-5.2540867181595417E-2</v>
      </c>
      <c r="AA35" s="478">
        <f t="shared" ref="AA35:AA42" si="18">X35/$X$70</f>
        <v>0.73683587038161213</v>
      </c>
    </row>
    <row r="36" spans="1:27" ht="14.1" customHeight="1" x14ac:dyDescent="0.2">
      <c r="A36" s="52"/>
      <c r="B36" s="331" t="s">
        <v>18</v>
      </c>
      <c r="C36" s="327">
        <f>[3]Delta!$HK$19</f>
        <v>9332</v>
      </c>
      <c r="D36" s="9">
        <f>[3]Delta!$GW$19</f>
        <v>6798</v>
      </c>
      <c r="E36" s="84">
        <f t="shared" si="11"/>
        <v>0.37275669314504267</v>
      </c>
      <c r="F36" s="9">
        <f>SUM([3]Delta!$HD$19:$HK$19)</f>
        <v>62385</v>
      </c>
      <c r="G36" s="9">
        <f>SUM([3]Delta!$GP$19:$GW$19)</f>
        <v>51032</v>
      </c>
      <c r="H36" s="38">
        <f t="shared" ref="H36:H42" si="19">(F36-G36)/G36</f>
        <v>0.22246825521241573</v>
      </c>
      <c r="I36" s="84">
        <f t="shared" si="12"/>
        <v>0.35420463642712363</v>
      </c>
      <c r="J36" s="52"/>
      <c r="K36" s="331" t="s">
        <v>18</v>
      </c>
      <c r="L36" s="327">
        <f>[3]Delta!$HK$41</f>
        <v>1357793</v>
      </c>
      <c r="M36" s="9">
        <f>[3]Delta!$GW$41</f>
        <v>498428</v>
      </c>
      <c r="N36" s="84">
        <f t="shared" si="13"/>
        <v>1.7241507298947891</v>
      </c>
      <c r="O36" s="327">
        <f>SUM([3]Delta!$HD$41:$HK$41)</f>
        <v>7565441</v>
      </c>
      <c r="P36" s="9">
        <f>SUM([3]Delta!$GP$41:$GW$41)</f>
        <v>5117745</v>
      </c>
      <c r="Q36" s="38">
        <f t="shared" si="14"/>
        <v>0.47827627206904605</v>
      </c>
      <c r="R36" s="84">
        <f t="shared" si="15"/>
        <v>0.49841314242466728</v>
      </c>
      <c r="S36" s="52"/>
      <c r="T36" s="54" t="s">
        <v>18</v>
      </c>
      <c r="U36" s="451">
        <f>[3]Delta!$HK$64</f>
        <v>5209283</v>
      </c>
      <c r="V36" s="2">
        <f>[3]Delta!$GW$64</f>
        <v>3370015</v>
      </c>
      <c r="W36" s="83">
        <f t="shared" si="16"/>
        <v>0.54577442533638576</v>
      </c>
      <c r="X36" s="451">
        <f>SUM([3]Delta!$HD$64:$HK$64)</f>
        <v>27585609</v>
      </c>
      <c r="Y36" s="2">
        <f>SUM([3]Delta!$GP$64:$GW$64)</f>
        <v>29115355</v>
      </c>
      <c r="Z36" s="3">
        <f t="shared" si="17"/>
        <v>-5.2540867181595417E-2</v>
      </c>
      <c r="AA36" s="83">
        <f t="shared" si="18"/>
        <v>0.73683587038161213</v>
      </c>
    </row>
    <row r="37" spans="1:27" ht="14.1" customHeight="1" x14ac:dyDescent="0.2">
      <c r="A37" s="52"/>
      <c r="B37" s="333" t="s">
        <v>117</v>
      </c>
      <c r="C37" s="327">
        <f>[3]Compass!$HK$19</f>
        <v>0</v>
      </c>
      <c r="D37" s="9">
        <f>[3]Compass!$GW$19</f>
        <v>0</v>
      </c>
      <c r="E37" s="84" t="e">
        <f t="shared" si="11"/>
        <v>#DIV/0!</v>
      </c>
      <c r="F37" s="9">
        <f>SUM([3]Compass!$HD$19:$HK$19)</f>
        <v>0</v>
      </c>
      <c r="G37" s="9">
        <f>SUM([3]Compass!$GP$19:$GW$19)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[3]Compass!$HK$41</f>
        <v>0</v>
      </c>
      <c r="M37" s="9">
        <f>[3]Compass!$GW$41</f>
        <v>0</v>
      </c>
      <c r="N37" s="84" t="e">
        <f t="shared" si="13"/>
        <v>#DIV/0!</v>
      </c>
      <c r="O37" s="327">
        <f>SUM([3]Compass!$HD$41:$HK$41)</f>
        <v>0</v>
      </c>
      <c r="P37" s="9">
        <f>SUM([3]Compass!$GP$41:$GW$41)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[3]Compass!$HK$64</f>
        <v>0</v>
      </c>
      <c r="V37" s="2">
        <f>[3]Compass!$GW$64</f>
        <v>0</v>
      </c>
      <c r="W37" s="83" t="e">
        <f t="shared" si="16"/>
        <v>#DIV/0!</v>
      </c>
      <c r="X37" s="451">
        <f>SUM([3]Compass!$HD$64:$HK$64)</f>
        <v>0</v>
      </c>
      <c r="Y37" s="2">
        <f>SUM([3]Compass!$GP$64:$GW$64)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[3]Pinnacle!$HK$19</f>
        <v>3987</v>
      </c>
      <c r="D38" s="9">
        <f>[3]Pinnacle!$GW$19</f>
        <v>3721</v>
      </c>
      <c r="E38" s="84">
        <f t="shared" si="11"/>
        <v>7.1486159634506857E-2</v>
      </c>
      <c r="F38" s="9">
        <f>SUM([3]Pinnacle!$HD$19:$HK$19)</f>
        <v>28346</v>
      </c>
      <c r="G38" s="9">
        <f>SUM([3]Pinnacle!$GP$19:$GW$19)</f>
        <v>18341</v>
      </c>
      <c r="H38" s="38">
        <f t="shared" si="19"/>
        <v>0.54549915489886047</v>
      </c>
      <c r="I38" s="84">
        <f t="shared" si="12"/>
        <v>0.16094068484672991</v>
      </c>
      <c r="J38" s="52"/>
      <c r="K38" s="332" t="s">
        <v>158</v>
      </c>
      <c r="L38" s="327">
        <f>[3]Pinnacle!$HK$41</f>
        <v>197267</v>
      </c>
      <c r="M38" s="9">
        <f>[3]Pinnacle!$GW$41</f>
        <v>124292</v>
      </c>
      <c r="N38" s="84">
        <f t="shared" si="13"/>
        <v>0.58712547871142151</v>
      </c>
      <c r="O38" s="327">
        <f>SUM([3]Pinnacle!$HD$41:$HK$41)</f>
        <v>1186508</v>
      </c>
      <c r="P38" s="9">
        <f>SUM([3]Pinnacle!$GP$41:$GW$41)</f>
        <v>657269</v>
      </c>
      <c r="Q38" s="38">
        <f t="shared" si="14"/>
        <v>0.80520913050820897</v>
      </c>
      <c r="R38" s="84">
        <f t="shared" si="15"/>
        <v>7.8167443350890861E-2</v>
      </c>
      <c r="S38" s="52"/>
      <c r="T38" s="54" t="s">
        <v>158</v>
      </c>
      <c r="U38" s="451">
        <f>[3]Pinnacle!$HK$64</f>
        <v>0</v>
      </c>
      <c r="V38" s="2">
        <f>[3]Pinnacle!$GW$64</f>
        <v>0</v>
      </c>
      <c r="W38" s="83" t="e">
        <f t="shared" si="16"/>
        <v>#DIV/0!</v>
      </c>
      <c r="X38" s="451">
        <f>SUM([3]Pinnacle!$HD$64:$HK$64)</f>
        <v>0</v>
      </c>
      <c r="Y38" s="2">
        <f>SUM([3]Pinnacle!$GP$64:$GW$64)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Jet'!$HK$19</f>
        <v>0</v>
      </c>
      <c r="D39" s="9">
        <f>'[3]Go Jet'!$GW$19</f>
        <v>0</v>
      </c>
      <c r="E39" s="84" t="e">
        <f t="shared" si="11"/>
        <v>#DIV/0!</v>
      </c>
      <c r="F39" s="9">
        <f>SUM('[3]Go Jet'!$HD$19:$HK$19)</f>
        <v>0</v>
      </c>
      <c r="G39" s="9">
        <f>SUM('[3]Go Jet'!$GP$19:$GW$19)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Jet'!$HK$41</f>
        <v>0</v>
      </c>
      <c r="M39" s="9">
        <f>'[3]Go Jet'!$GW$41</f>
        <v>0</v>
      </c>
      <c r="N39" s="84" t="e">
        <f t="shared" si="13"/>
        <v>#DIV/0!</v>
      </c>
      <c r="O39" s="327">
        <f>SUM('[3]Go Jet'!$HD$41:$HK$41)</f>
        <v>0</v>
      </c>
      <c r="P39" s="9">
        <f>SUM('[3]Go Jet'!$GP$41:$GW$41)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Jet'!$HK$64</f>
        <v>0</v>
      </c>
      <c r="V39" s="2">
        <f>'[3]Go Jet'!$GW$64</f>
        <v>0</v>
      </c>
      <c r="W39" s="83" t="e">
        <f t="shared" si="16"/>
        <v>#DIV/0!</v>
      </c>
      <c r="X39" s="451">
        <f>SUM('[3]Go Jet'!$HD$64:$HK$64)</f>
        <v>0</v>
      </c>
      <c r="Y39" s="2">
        <f>SUM('[3]Go Jet'!$GP$64:$GW$64)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West'!$HK$19</f>
        <v>6484</v>
      </c>
      <c r="D40" s="9">
        <f>'[3]Sky West'!$GW$19</f>
        <v>4141</v>
      </c>
      <c r="E40" s="84">
        <f t="shared" si="11"/>
        <v>0.56580536102390722</v>
      </c>
      <c r="F40" s="9">
        <f>SUM('[3]Sky West'!$HD$19:$HK$19)</f>
        <v>46441</v>
      </c>
      <c r="G40" s="9">
        <f>SUM('[3]Sky West'!$GP$19:$GW$19)</f>
        <v>35717</v>
      </c>
      <c r="H40" s="38">
        <f t="shared" si="19"/>
        <v>0.30024918106223925</v>
      </c>
      <c r="I40" s="84">
        <f t="shared" si="12"/>
        <v>0.26367904977658169</v>
      </c>
      <c r="J40" s="52"/>
      <c r="K40" s="332" t="s">
        <v>97</v>
      </c>
      <c r="L40" s="327">
        <f>'[3]Sky West'!$HK$41</f>
        <v>322104</v>
      </c>
      <c r="M40" s="9">
        <f>'[3]Sky West'!$GW$41</f>
        <v>110567</v>
      </c>
      <c r="N40" s="84">
        <f t="shared" si="13"/>
        <v>1.9132019499488997</v>
      </c>
      <c r="O40" s="327">
        <f>SUM('[3]Sky West'!$HD$41:$HK$41)</f>
        <v>2029803</v>
      </c>
      <c r="P40" s="9">
        <f>SUM('[3]Sky West'!$GP$41:$GW$41)</f>
        <v>1200828</v>
      </c>
      <c r="Q40" s="38">
        <f t="shared" si="14"/>
        <v>0.69033616804404963</v>
      </c>
      <c r="R40" s="84">
        <f t="shared" si="15"/>
        <v>0.13372392854997042</v>
      </c>
      <c r="S40" s="52"/>
      <c r="T40" s="54" t="s">
        <v>97</v>
      </c>
      <c r="U40" s="451">
        <f>'[3]Sky West'!$HK$64</f>
        <v>0</v>
      </c>
      <c r="V40" s="2">
        <f>'[3]Sky West'!$GW$64</f>
        <v>0</v>
      </c>
      <c r="W40" s="83" t="e">
        <f t="shared" si="16"/>
        <v>#DIV/0!</v>
      </c>
      <c r="X40" s="451">
        <f>SUM('[3]Sky West'!$HD$64:$HK$64)</f>
        <v>0</v>
      </c>
      <c r="Y40" s="2">
        <f>SUM('[3]Sky West'!$GP$64:$GW$64)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America_Delta'!$HK$19</f>
        <v>0</v>
      </c>
      <c r="D41" s="9">
        <f>'[3]Shuttle America_Delta'!$GW$19</f>
        <v>0</v>
      </c>
      <c r="E41" s="84" t="e">
        <f t="shared" si="11"/>
        <v>#DIV/0!</v>
      </c>
      <c r="F41" s="9">
        <f>SUM('[3]Shuttle America_Delta'!$HD$19:$HK$19)</f>
        <v>0</v>
      </c>
      <c r="G41" s="9">
        <f>SUM('[3]Shuttle America_Delta'!$GP$19:$GW$19)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America_Delta'!$HK$41</f>
        <v>0</v>
      </c>
      <c r="M41" s="9">
        <f>'[3]Shuttle America_Delta'!$GW$41</f>
        <v>0</v>
      </c>
      <c r="N41" s="84" t="e">
        <f t="shared" si="13"/>
        <v>#DIV/0!</v>
      </c>
      <c r="O41" s="327">
        <f>SUM('[3]Shuttle America_Delta'!$HD$41:$HK$41)</f>
        <v>0</v>
      </c>
      <c r="P41" s="9">
        <f>SUM('[3]Shuttle America_Delta'!$GP$41:$GW$41)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America_Delta'!$HK$64</f>
        <v>0</v>
      </c>
      <c r="V41" s="2">
        <f>'[3]Shuttle America_Delta'!$GW$64</f>
        <v>0</v>
      </c>
      <c r="W41" s="83" t="e">
        <f t="shared" si="16"/>
        <v>#DIV/0!</v>
      </c>
      <c r="X41" s="451">
        <f>SUM('[3]Shuttle America_Delta'!$HD$64:$HK$64)</f>
        <v>0</v>
      </c>
      <c r="Y41" s="2">
        <f>SUM('[3]Shuttle America_Delta'!$GP$64:$GW$64)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Southeast'!$HK$19</f>
        <v>0</v>
      </c>
      <c r="D42" s="9">
        <f>'[3]Atlantic Southeast'!$GW$19</f>
        <v>0</v>
      </c>
      <c r="E42" s="84" t="e">
        <f t="shared" si="11"/>
        <v>#DIV/0!</v>
      </c>
      <c r="F42" s="9">
        <f>SUM('[3]Atlantic Southeast'!$HD$19:$HK$19)</f>
        <v>0</v>
      </c>
      <c r="G42" s="9">
        <f>SUM('[3]Atlantic Southeast'!$GP$19:$GW$19)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Southeast'!$HK$41</f>
        <v>0</v>
      </c>
      <c r="M42" s="9">
        <f>'[3]Atlantic Southeast'!$GW$41</f>
        <v>0</v>
      </c>
      <c r="N42" s="84" t="e">
        <f t="shared" si="13"/>
        <v>#DIV/0!</v>
      </c>
      <c r="O42" s="327">
        <f>SUM('[3]Atlantic Southeast'!$HD$41:$HK$41)</f>
        <v>0</v>
      </c>
      <c r="P42" s="9">
        <f>SUM('[3]Atlantic Southeast'!$GP$41:$GW$41)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Southeast'!$HK$64</f>
        <v>0</v>
      </c>
      <c r="V42" s="2">
        <f>'[3]Atlantic Southeast'!$GW$64</f>
        <v>0</v>
      </c>
      <c r="W42" s="83" t="e">
        <f t="shared" si="16"/>
        <v>#DIV/0!</v>
      </c>
      <c r="X42" s="451">
        <f>SUM('[3]Atlantic Southeast'!$HD$64:$HK$64)</f>
        <v>0</v>
      </c>
      <c r="Y42" s="2">
        <f>SUM('[3]Atlantic Southeast'!$GP$64:$GW$64)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[3]Frontier!$HK$19</f>
        <v>88</v>
      </c>
      <c r="D44" s="325">
        <f>[3]Frontier!$GW$19</f>
        <v>123</v>
      </c>
      <c r="E44" s="326">
        <f>(C44-D44)/D44</f>
        <v>-0.28455284552845528</v>
      </c>
      <c r="F44" s="325">
        <f>SUM([3]Frontier!$HD$19:$HK$19)</f>
        <v>731</v>
      </c>
      <c r="G44" s="325">
        <f>SUM([3]Frontier!$GP$19:$GW$19)</f>
        <v>904</v>
      </c>
      <c r="H44" s="324">
        <f>(F44-G44)/G44</f>
        <v>-0.1913716814159292</v>
      </c>
      <c r="I44" s="326">
        <f>F44/$F$70</f>
        <v>4.1504141897607972E-3</v>
      </c>
      <c r="J44" s="322" t="s">
        <v>47</v>
      </c>
      <c r="K44" s="336"/>
      <c r="L44" s="323">
        <f>[3]Frontier!$HK$41</f>
        <v>16110</v>
      </c>
      <c r="M44" s="325">
        <f>[3]Frontier!$GW$41</f>
        <v>16138</v>
      </c>
      <c r="N44" s="326">
        <f>(L44-M44)/M44</f>
        <v>-1.7350353203618787E-3</v>
      </c>
      <c r="O44" s="323">
        <f>SUM([3]Frontier!$HD$41:$HK$41)</f>
        <v>116764</v>
      </c>
      <c r="P44" s="325">
        <f>SUM([3]Frontier!$GP$41:$GW$41)</f>
        <v>124511</v>
      </c>
      <c r="Q44" s="324">
        <f>(O44-P44)/P44</f>
        <v>-6.2219402301804658E-2</v>
      </c>
      <c r="R44" s="326">
        <f>O44/$O$70</f>
        <v>7.6924414798917665E-3</v>
      </c>
      <c r="S44" s="322" t="s">
        <v>47</v>
      </c>
      <c r="T44" s="54"/>
      <c r="U44" s="477">
        <f>[3]Frontier!$HK$64</f>
        <v>0</v>
      </c>
      <c r="V44" s="469">
        <f>[3]Frontier!$GW$64</f>
        <v>0</v>
      </c>
      <c r="W44" s="478" t="e">
        <f>(U44-V44)/V44</f>
        <v>#DIV/0!</v>
      </c>
      <c r="X44" s="477">
        <f>SUM([3]Frontier!$HD$64:$HK$64)</f>
        <v>0</v>
      </c>
      <c r="Y44" s="469">
        <f>SUM([3]Frontier!$GP$64:$GW$64)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[3]Icelandair!$HK$19</f>
        <v>44</v>
      </c>
      <c r="D46" s="325">
        <f>[3]Icelandair!$GW$19</f>
        <v>0</v>
      </c>
      <c r="E46" s="326" t="e">
        <f>(C46-D46)/D46</f>
        <v>#DIV/0!</v>
      </c>
      <c r="F46" s="325">
        <f>SUM([3]Icelandair!$HD$19:$HK$19)</f>
        <v>97</v>
      </c>
      <c r="G46" s="325">
        <f>SUM([3]Icelandair!$GP$19:$GW$19)</f>
        <v>18</v>
      </c>
      <c r="H46" s="324">
        <f>(F46-G46)/G46</f>
        <v>4.3888888888888893</v>
      </c>
      <c r="I46" s="326">
        <f>F46/$F$70</f>
        <v>5.5073895541285554E-4</v>
      </c>
      <c r="J46" s="322" t="s">
        <v>48</v>
      </c>
      <c r="K46" s="336"/>
      <c r="L46" s="323">
        <f>[3]Icelandair!$HK$41</f>
        <v>5178</v>
      </c>
      <c r="M46" s="325">
        <f>[3]Icelandair!$GW$41</f>
        <v>0</v>
      </c>
      <c r="N46" s="326" t="e">
        <f>(L46-M46)/M46</f>
        <v>#DIV/0!</v>
      </c>
      <c r="O46" s="323">
        <f>SUM([3]Icelandair!$HD$41:$HK$41)</f>
        <v>10137</v>
      </c>
      <c r="P46" s="325">
        <f>SUM([3]Icelandair!$GP$41:$GW$41)</f>
        <v>2058</v>
      </c>
      <c r="Q46" s="324">
        <f>(O46-P46)/P46</f>
        <v>3.925655976676385</v>
      </c>
      <c r="R46" s="326">
        <f>O46/$O$70</f>
        <v>6.6782809154930316E-4</v>
      </c>
      <c r="S46" s="322" t="s">
        <v>48</v>
      </c>
      <c r="T46" s="54"/>
      <c r="U46" s="477">
        <f>[3]Icelandair!$HK$64</f>
        <v>14788</v>
      </c>
      <c r="V46" s="469">
        <f>[3]Icelandair!$GW$64</f>
        <v>0</v>
      </c>
      <c r="W46" s="478" t="e">
        <f>(U46-V46)/V46</f>
        <v>#DIV/0!</v>
      </c>
      <c r="X46" s="477">
        <f>SUM([3]Icelandair!$HD$64:$HK$64)</f>
        <v>22546</v>
      </c>
      <c r="Y46" s="469">
        <f>SUM([3]Icelandair!$GP$64:$GW$64)</f>
        <v>2574</v>
      </c>
      <c r="Z46" s="479">
        <f>(X46-Y46)/Y46</f>
        <v>7.7591297591297588</v>
      </c>
      <c r="AA46" s="478">
        <f>X46/$X$70</f>
        <v>6.022234830350792E-4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Blue'!$HK$19</f>
        <v>124</v>
      </c>
      <c r="D48" s="325">
        <f>'[3]Jet Blue'!$GW$19</f>
        <v>34</v>
      </c>
      <c r="E48" s="326">
        <f>(C48-D48)/D48</f>
        <v>2.6470588235294117</v>
      </c>
      <c r="F48" s="325">
        <f>SUM('[3]Jet Blue'!$HD$19:$HK$19)</f>
        <v>428</v>
      </c>
      <c r="G48" s="325">
        <f>SUM('[3]Jet Blue'!$GP$19:$GW$19)</f>
        <v>591</v>
      </c>
      <c r="H48" s="324">
        <f>(F48-G48)/G48</f>
        <v>-0.27580372250423013</v>
      </c>
      <c r="I48" s="326">
        <f>F48/$F$70</f>
        <v>2.4300646692443522E-3</v>
      </c>
      <c r="J48" s="322" t="s">
        <v>199</v>
      </c>
      <c r="K48" s="336"/>
      <c r="L48" s="323">
        <f>'[3]Jet Blue'!$HK$41</f>
        <v>10679</v>
      </c>
      <c r="M48" s="325">
        <f>'[3]Jet Blue'!$GW$41</f>
        <v>1376</v>
      </c>
      <c r="N48" s="326">
        <f>(L48-M48)/M48</f>
        <v>6.7609011627906979</v>
      </c>
      <c r="O48" s="323">
        <f>SUM('[3]Jet Blue'!$HD$41:$HK$41)</f>
        <v>33369</v>
      </c>
      <c r="P48" s="325">
        <f>SUM('[3]Jet Blue'!$GP$41:$GW$41)</f>
        <v>32476</v>
      </c>
      <c r="Q48" s="324">
        <f>(O48-P48)/P48</f>
        <v>2.7497228722749106E-2</v>
      </c>
      <c r="R48" s="326">
        <f>O48/$O$70</f>
        <v>2.1983580533598401E-3</v>
      </c>
      <c r="S48" s="322" t="s">
        <v>199</v>
      </c>
      <c r="T48" s="54"/>
      <c r="U48" s="477">
        <f>'[3]Jet Blue'!$HK$64</f>
        <v>0</v>
      </c>
      <c r="V48" s="469">
        <f>'[3]Jet Blue'!$GW$64</f>
        <v>0</v>
      </c>
      <c r="W48" s="478" t="e">
        <f>(U48-V48)/V48</f>
        <v>#DIV/0!</v>
      </c>
      <c r="X48" s="477">
        <f>SUM('[3]Jet Blue'!$HD$64:$HK$64)</f>
        <v>0</v>
      </c>
      <c r="Y48" s="469">
        <f>SUM('[3]Jet Blue'!$GP$64:$GW$64)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[3]KLM!$HK$19</f>
        <v>2</v>
      </c>
      <c r="D50" s="325">
        <f>[3]KLM!$GW$19</f>
        <v>0</v>
      </c>
      <c r="E50" s="326" t="e">
        <f>(C50-D50)/D50</f>
        <v>#DIV/0!</v>
      </c>
      <c r="F50" s="325">
        <f>SUM([3]KLM!$HD$19:$HK$19)</f>
        <v>2</v>
      </c>
      <c r="G50" s="325">
        <f>SUM([3]KLM!$GP$19:$GW$19)</f>
        <v>80</v>
      </c>
      <c r="H50" s="324">
        <f>(F50-G50)/G50</f>
        <v>-0.97499999999999998</v>
      </c>
      <c r="I50" s="326">
        <f>F50/$F$70</f>
        <v>1.1355442379646506E-5</v>
      </c>
      <c r="J50" s="322" t="s">
        <v>194</v>
      </c>
      <c r="K50" s="336"/>
      <c r="L50" s="323">
        <f>[3]KLM!$HK$41</f>
        <v>341</v>
      </c>
      <c r="M50" s="325">
        <f>[3]KLM!$GW$41</f>
        <v>0</v>
      </c>
      <c r="N50" s="326" t="e">
        <f>(L50-M50)/M50</f>
        <v>#DIV/0!</v>
      </c>
      <c r="O50" s="323">
        <f>SUM([3]KLM!$HD$41:$HK$41)</f>
        <v>341</v>
      </c>
      <c r="P50" s="325">
        <f>SUM([3]KLM!$GP$41:$GW$41)</f>
        <v>15968</v>
      </c>
      <c r="Q50" s="324">
        <f>(O50-P50)/P50</f>
        <v>-0.97864478957915835</v>
      </c>
      <c r="R50" s="326">
        <f>O50/$O$70</f>
        <v>2.2465165159150871E-5</v>
      </c>
      <c r="S50" s="322" t="s">
        <v>194</v>
      </c>
      <c r="T50" s="54"/>
      <c r="U50" s="477">
        <f>[3]KLM!$HK$64</f>
        <v>28858</v>
      </c>
      <c r="V50" s="469">
        <f>[3]KLM!$GW$64</f>
        <v>0</v>
      </c>
      <c r="W50" s="478" t="e">
        <f>(U50-V50)/V50</f>
        <v>#DIV/0!</v>
      </c>
      <c r="X50" s="477">
        <f>SUM([3]KLM!$HD$64:$HK$64)</f>
        <v>28858</v>
      </c>
      <c r="Y50" s="469">
        <f>SUM([3]KLM!$GP$64:$GW$64)</f>
        <v>818409</v>
      </c>
      <c r="Z50" s="479">
        <f>(X50-Y50)/Y50</f>
        <v>-0.96473890194267164</v>
      </c>
      <c r="AA50" s="478">
        <f>X50/$X$70</f>
        <v>7.7082255271118227E-4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[3]Southwest!$HK$19</f>
        <v>994</v>
      </c>
      <c r="D52" s="325">
        <f>[3]Southwest!$GW$19</f>
        <v>815</v>
      </c>
      <c r="E52" s="326">
        <f>(C52-D52)/D52</f>
        <v>0.21963190184049081</v>
      </c>
      <c r="F52" s="325">
        <f>SUM([3]Southwest!$HD$19:$HK$19)</f>
        <v>6146</v>
      </c>
      <c r="G52" s="325">
        <f>SUM([3]Southwest!$GP$19:$GW$19)</f>
        <v>6260</v>
      </c>
      <c r="H52" s="324">
        <f>(F52-G52)/G52</f>
        <v>-1.8210862619808307E-2</v>
      </c>
      <c r="I52" s="326">
        <f>F52/$F$70</f>
        <v>3.4895274432653708E-2</v>
      </c>
      <c r="J52" s="334" t="s">
        <v>129</v>
      </c>
      <c r="K52" s="54"/>
      <c r="L52" s="323">
        <f>[3]Southwest!$HK$41</f>
        <v>129131</v>
      </c>
      <c r="M52" s="325">
        <f>[3]Southwest!$GW$41</f>
        <v>57824</v>
      </c>
      <c r="N52" s="326">
        <f>(L52-M52)/M52</f>
        <v>1.2331730769230769</v>
      </c>
      <c r="O52" s="323">
        <f>SUM([3]Southwest!$HD$41:$HK$41)</f>
        <v>751403</v>
      </c>
      <c r="P52" s="325">
        <f>SUM([3]Southwest!$GP$41:$GW$41)</f>
        <v>486303</v>
      </c>
      <c r="Q52" s="324">
        <f>(O52-P52)/P52</f>
        <v>0.54513338391907928</v>
      </c>
      <c r="R52" s="326">
        <f>O52/$O$70</f>
        <v>4.9502617290561414E-2</v>
      </c>
      <c r="S52" s="322" t="s">
        <v>129</v>
      </c>
      <c r="T52" s="54"/>
      <c r="U52" s="477">
        <f>[3]Southwest!$HK$64</f>
        <v>342313</v>
      </c>
      <c r="V52" s="469">
        <f>[3]Southwest!$GW$64</f>
        <v>229371</v>
      </c>
      <c r="W52" s="478">
        <f>(U52-V52)/V52</f>
        <v>0.49239877752636557</v>
      </c>
      <c r="X52" s="477">
        <f>SUM([3]Southwest!$HD$64:$HK$64)</f>
        <v>2512617</v>
      </c>
      <c r="Y52" s="469">
        <f>SUM([3]Southwest!$GP$64:$GW$64)</f>
        <v>1964623</v>
      </c>
      <c r="Z52" s="479">
        <f>(X52-Y52)/Y52</f>
        <v>0.27893086867047773</v>
      </c>
      <c r="AA52" s="478">
        <f>X52/$X$70</f>
        <v>6.7114209228827798E-2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[3]Spirit!$HK$19</f>
        <v>292</v>
      </c>
      <c r="D54" s="325">
        <f>[3]Spirit!$GW$19</f>
        <v>306</v>
      </c>
      <c r="E54" s="326">
        <f>(C54-D54)/D54</f>
        <v>-4.5751633986928102E-2</v>
      </c>
      <c r="F54" s="325">
        <f>SUM([3]Spirit!$HD$19:$HK$19)</f>
        <v>2447</v>
      </c>
      <c r="G54" s="325">
        <f>SUM([3]Spirit!$GP$19:$GW$19)</f>
        <v>2749</v>
      </c>
      <c r="H54" s="324">
        <f>(F54-G54)/G54</f>
        <v>-0.10985813022917425</v>
      </c>
      <c r="I54" s="326">
        <f>F54/$F$70</f>
        <v>1.3893383751497498E-2</v>
      </c>
      <c r="J54" s="322" t="s">
        <v>155</v>
      </c>
      <c r="K54" s="54"/>
      <c r="L54" s="323">
        <f>[3]Spirit!$HK$41</f>
        <v>38855</v>
      </c>
      <c r="M54" s="325">
        <f>[3]Spirit!$GW$41</f>
        <v>37696</v>
      </c>
      <c r="N54" s="326">
        <f>(L54-M54)/M54</f>
        <v>3.0745967741935484E-2</v>
      </c>
      <c r="O54" s="323">
        <f>SUM([3]Spirit!$HD$41:$HK$41)</f>
        <v>353350</v>
      </c>
      <c r="P54" s="325">
        <f>SUM([3]Spirit!$GP$41:$GW$41)</f>
        <v>345223</v>
      </c>
      <c r="Q54" s="324">
        <f>(O54-P54)/P54</f>
        <v>2.3541305185343964E-2</v>
      </c>
      <c r="R54" s="326">
        <f>O54/$O$70</f>
        <v>2.3278786243360588E-2</v>
      </c>
      <c r="S54" s="322" t="s">
        <v>155</v>
      </c>
      <c r="T54" s="54"/>
      <c r="U54" s="477">
        <f>[3]Spirit!$HK$64</f>
        <v>0</v>
      </c>
      <c r="V54" s="469">
        <f>[3]Spirit!$GW$64</f>
        <v>0</v>
      </c>
      <c r="W54" s="478" t="e">
        <f>(U54-V54)/V54</f>
        <v>#DIV/0!</v>
      </c>
      <c r="X54" s="477">
        <f>SUM([3]Spirit!$HD$64:$HK$64)</f>
        <v>0</v>
      </c>
      <c r="Y54" s="469">
        <f>SUM([3]Spirit!$GP$64:$GW$64)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Country'!$HK$19</f>
        <v>1846</v>
      </c>
      <c r="D56" s="325">
        <f>'[3]Sun Country'!$GW$19</f>
        <v>1153</v>
      </c>
      <c r="E56" s="326">
        <f>(C56-D56)/D56</f>
        <v>0.60104076322636601</v>
      </c>
      <c r="F56" s="325">
        <f>SUM('[3]Sun Country'!$HD$19:$HK$19)</f>
        <v>12971</v>
      </c>
      <c r="G56" s="325">
        <f>SUM('[3]Sun Country'!$GP$19:$GW$19)</f>
        <v>9375</v>
      </c>
      <c r="H56" s="324">
        <f>(F56-G56)/G56</f>
        <v>0.38357333333333332</v>
      </c>
      <c r="I56" s="326">
        <f>F56/$F$70</f>
        <v>7.3645721553197402E-2</v>
      </c>
      <c r="J56" s="322" t="s">
        <v>49</v>
      </c>
      <c r="K56" s="336"/>
      <c r="L56" s="323">
        <f>'[3]Sun Country'!$HK$41</f>
        <v>246793</v>
      </c>
      <c r="M56" s="325">
        <f>'[3]Sun Country'!$GW$41</f>
        <v>104444</v>
      </c>
      <c r="N56" s="326">
        <f>(L56-M56)/M56</f>
        <v>1.3629217571138601</v>
      </c>
      <c r="O56" s="323">
        <f>SUM('[3]Sun Country'!$HD$41:$HK$41)</f>
        <v>1634637</v>
      </c>
      <c r="P56" s="325">
        <f>SUM('[3]Sun Country'!$GP$41:$GW$41)</f>
        <v>1044921</v>
      </c>
      <c r="Q56" s="324">
        <f>(O56-P56)/P56</f>
        <v>0.56436419595356968</v>
      </c>
      <c r="R56" s="326">
        <f>O56/$O$70</f>
        <v>0.10769029378375045</v>
      </c>
      <c r="S56" s="322" t="s">
        <v>49</v>
      </c>
      <c r="T56" s="54"/>
      <c r="U56" s="477">
        <f>'[3]Sun Country'!$HK$64</f>
        <v>445146</v>
      </c>
      <c r="V56" s="469">
        <f>'[3]Sun Country'!$GW$64</f>
        <v>429273</v>
      </c>
      <c r="W56" s="478">
        <f>(U56-V56)/V56</f>
        <v>3.6976469519396746E-2</v>
      </c>
      <c r="X56" s="477">
        <f>SUM('[3]Sun Country'!$HD$64:$HK$64)</f>
        <v>3416986</v>
      </c>
      <c r="Y56" s="469">
        <f>SUM('[3]Sun Country'!$GP$64:$GW$64)</f>
        <v>2656655</v>
      </c>
      <c r="Z56" s="479">
        <f>(X56-Y56)/Y56</f>
        <v>0.28619862195128837</v>
      </c>
      <c r="AA56" s="478">
        <f>X56/$X$70</f>
        <v>9.1270700363794158E-2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950</v>
      </c>
      <c r="D58" s="325">
        <f>SUM(D59:D65)</f>
        <v>798</v>
      </c>
      <c r="E58" s="326">
        <f t="shared" ref="E58:E65" si="21">(C58-D58)/D58</f>
        <v>0.19047619047619047</v>
      </c>
      <c r="F58" s="325">
        <f>SUM(F59:F65)</f>
        <v>5429</v>
      </c>
      <c r="G58" s="325">
        <f>SUM(G59:G65)</f>
        <v>6169</v>
      </c>
      <c r="H58" s="324">
        <f t="shared" ref="H58:H65" si="22">(F58-G58)/G58</f>
        <v>-0.11995461176852001</v>
      </c>
      <c r="I58" s="326">
        <f t="shared" ref="I58:I65" si="23">F58/$F$70</f>
        <v>3.0824348339550438E-2</v>
      </c>
      <c r="J58" s="322" t="s">
        <v>19</v>
      </c>
      <c r="K58" s="330"/>
      <c r="L58" s="323">
        <f>SUM(L59:L65)</f>
        <v>93458</v>
      </c>
      <c r="M58" s="325">
        <f>SUM(M59:M65)</f>
        <v>38953</v>
      </c>
      <c r="N58" s="326">
        <f t="shared" ref="N58:N65" si="24">(L58-M58)/M58</f>
        <v>1.3992503786614638</v>
      </c>
      <c r="O58" s="323">
        <f>SUM(O59:O65)</f>
        <v>508800</v>
      </c>
      <c r="P58" s="325">
        <f>SUM(P59:P65)</f>
        <v>391015</v>
      </c>
      <c r="Q58" s="324">
        <f t="shared" ref="Q58:Q65" si="25">(O58-P58)/P58</f>
        <v>0.30122885311305192</v>
      </c>
      <c r="R58" s="326">
        <f t="shared" ref="R58:R65" si="26">O58/$O$70</f>
        <v>3.3519871064445643E-2</v>
      </c>
      <c r="S58" s="322" t="s">
        <v>19</v>
      </c>
      <c r="T58" s="330"/>
      <c r="U58" s="477">
        <f>SUM(U59:U65)</f>
        <v>174848</v>
      </c>
      <c r="V58" s="469">
        <f>SUM(V59:V65)</f>
        <v>108811</v>
      </c>
      <c r="W58" s="478">
        <f t="shared" ref="W58:W65" si="27">(U58-V58)/V58</f>
        <v>0.60689636158109017</v>
      </c>
      <c r="X58" s="477">
        <f>SUM(X59:X65)</f>
        <v>1007189</v>
      </c>
      <c r="Y58" s="469">
        <f>SUM(Y59:Y65)</f>
        <v>559848</v>
      </c>
      <c r="Z58" s="479">
        <f t="shared" ref="Z58:Z65" si="28">(X58-Y58)/Y58</f>
        <v>0.79904009659764796</v>
      </c>
      <c r="AA58" s="478">
        <f t="shared" ref="AA58:AA65" si="29">X58/$X$70</f>
        <v>2.6902903737009598E-2</v>
      </c>
    </row>
    <row r="59" spans="1:27" s="7" customFormat="1" ht="14.1" customHeight="1" x14ac:dyDescent="0.2">
      <c r="A59" s="337"/>
      <c r="B59" s="396" t="s">
        <v>19</v>
      </c>
      <c r="C59" s="327">
        <f>[3]United!$HK$19</f>
        <v>508</v>
      </c>
      <c r="D59" s="9">
        <f>[3]United!$GW$19+[3]Continental!$GW$19</f>
        <v>194</v>
      </c>
      <c r="E59" s="84">
        <f t="shared" si="21"/>
        <v>1.6185567010309279</v>
      </c>
      <c r="F59" s="9">
        <f>SUM([3]United!$HD$19:$HK$19)</f>
        <v>2910</v>
      </c>
      <c r="G59" s="9">
        <f>SUM([3]United!$GP$19:$GW$19)+SUM([3]Continental!$GP$19:$GW$19)</f>
        <v>2004</v>
      </c>
      <c r="H59" s="38">
        <f t="shared" si="22"/>
        <v>0.45209580838323354</v>
      </c>
      <c r="I59" s="84">
        <f t="shared" si="23"/>
        <v>1.6522168662385664E-2</v>
      </c>
      <c r="J59" s="337"/>
      <c r="K59" s="396" t="s">
        <v>19</v>
      </c>
      <c r="L59" s="327">
        <f>[3]United!$HK$41</f>
        <v>65255</v>
      </c>
      <c r="M59" s="9">
        <f>[3]United!$GW$41+[3]Continental!$GW$41</f>
        <v>14077</v>
      </c>
      <c r="N59" s="84">
        <f t="shared" si="24"/>
        <v>3.6355757618810824</v>
      </c>
      <c r="O59" s="327">
        <f>SUM([3]United!$HD$41:$HK$41)</f>
        <v>359435</v>
      </c>
      <c r="P59" s="9">
        <f>SUM([3]United!$GP$41:$GW$41)+SUM([3]Continental!$GP$41:$GW$41)</f>
        <v>195003</v>
      </c>
      <c r="Q59" s="38">
        <f t="shared" si="25"/>
        <v>0.84322805290175018</v>
      </c>
      <c r="R59" s="84">
        <f t="shared" si="26"/>
        <v>2.3679667562989424E-2</v>
      </c>
      <c r="S59" s="52"/>
      <c r="T59" s="397" t="s">
        <v>19</v>
      </c>
      <c r="U59" s="451">
        <f>[3]United!$HK$64</f>
        <v>174848</v>
      </c>
      <c r="V59" s="2">
        <f>[3]United!$GW$64+[3]Continental!$GW$64</f>
        <v>108811</v>
      </c>
      <c r="W59" s="83">
        <f t="shared" si="27"/>
        <v>0.60689636158109017</v>
      </c>
      <c r="X59" s="451">
        <f>SUM([3]United!$HD$64:$HK$64)</f>
        <v>1007189</v>
      </c>
      <c r="Y59" s="2">
        <f>SUM([3]United!$GP$64:$GW$64)+SUM([3]Continental!$GP$64:$GW$64)</f>
        <v>559848</v>
      </c>
      <c r="Z59" s="3">
        <f t="shared" si="28"/>
        <v>0.79904009659764796</v>
      </c>
      <c r="AA59" s="83">
        <f t="shared" si="29"/>
        <v>2.6902903737009598E-2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Express'!$HK$19</f>
        <v>0</v>
      </c>
      <c r="D60" s="9">
        <f>'[3]Continental Express'!$GW$19</f>
        <v>0</v>
      </c>
      <c r="E60" s="84" t="e">
        <f t="shared" si="21"/>
        <v>#DIV/0!</v>
      </c>
      <c r="F60" s="9">
        <f>SUM('[3]Continental Express'!$HD$19:$HK$19)</f>
        <v>0</v>
      </c>
      <c r="G60" s="9">
        <f>SUM('[3]Continental Express'!$GP$19:$GW$19)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Express'!$HK$41</f>
        <v>0</v>
      </c>
      <c r="M60" s="9">
        <f>'[3]Continental Express'!$GW$41</f>
        <v>0</v>
      </c>
      <c r="N60" s="84" t="e">
        <f t="shared" si="24"/>
        <v>#DIV/0!</v>
      </c>
      <c r="O60" s="327">
        <f>SUM('[3]Continental Express'!$HD$41:$HK$41)</f>
        <v>0</v>
      </c>
      <c r="P60" s="9">
        <f>SUM('[3]Continental Express'!$GP$41:$GW$41)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Express'!$HK$64</f>
        <v>0</v>
      </c>
      <c r="V60" s="2">
        <f>'[3]Continental Express'!$GW$64</f>
        <v>0</v>
      </c>
      <c r="W60" s="83" t="e">
        <f t="shared" si="27"/>
        <v>#DIV/0!</v>
      </c>
      <c r="X60" s="451">
        <f>SUM('[3]Continental Express'!$HD$64:$HK$64)</f>
        <v>0</v>
      </c>
      <c r="Y60" s="2">
        <f>SUM('[3]Continental Express'!$GP$64:$GW$64)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Jet_UA'!$HK$19</f>
        <v>0</v>
      </c>
      <c r="D61" s="9">
        <f>'[3]Go Jet_UA'!$GW$19</f>
        <v>0</v>
      </c>
      <c r="E61" s="84" t="e">
        <f t="shared" si="21"/>
        <v>#DIV/0!</v>
      </c>
      <c r="F61" s="9">
        <f>SUM('[3]Go Jet_UA'!$HD$19:$HK$19)</f>
        <v>2</v>
      </c>
      <c r="G61" s="9">
        <f>SUM('[3]Go Jet_UA'!$GP$19:$GW$19)</f>
        <v>2</v>
      </c>
      <c r="H61" s="38">
        <f t="shared" si="22"/>
        <v>0</v>
      </c>
      <c r="I61" s="84">
        <f t="shared" si="23"/>
        <v>1.1355442379646506E-5</v>
      </c>
      <c r="J61" s="337"/>
      <c r="K61" s="331" t="s">
        <v>154</v>
      </c>
      <c r="L61" s="327">
        <f>'[3]Go Jet_UA'!$HK$41</f>
        <v>0</v>
      </c>
      <c r="M61" s="9">
        <f>'[3]Go Jet_UA'!$GW$41</f>
        <v>0</v>
      </c>
      <c r="N61" s="84" t="e">
        <f t="shared" si="24"/>
        <v>#DIV/0!</v>
      </c>
      <c r="O61" s="327">
        <f>SUM('[3]Go Jet_UA'!$HD$41:$HK$41)</f>
        <v>0</v>
      </c>
      <c r="P61" s="9">
        <f>SUM('[3]Go Jet_UA'!$GP$41:$GW$41)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Jet_UA'!$HK$64</f>
        <v>0</v>
      </c>
      <c r="V61" s="2">
        <f>'[3]Go Jet_UA'!$GW$64</f>
        <v>0</v>
      </c>
      <c r="W61" s="83" t="e">
        <f t="shared" si="27"/>
        <v>#DIV/0!</v>
      </c>
      <c r="X61" s="451">
        <f>SUM('[3]Go Jet_UA'!$HD$64:$HK$64)</f>
        <v>0</v>
      </c>
      <c r="Y61" s="2">
        <f>SUM('[3]Go Jet_UA'!$GP$64:$GW$64)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[3]MESA_UA!$HK$19</f>
        <v>242</v>
      </c>
      <c r="D62" s="9">
        <f>[3]MESA_UA!$GW$19</f>
        <v>236</v>
      </c>
      <c r="E62" s="84">
        <f t="shared" si="21"/>
        <v>2.5423728813559324E-2</v>
      </c>
      <c r="F62" s="9">
        <f>SUM([3]MESA_UA!$HD$19:$HK$19)</f>
        <v>929</v>
      </c>
      <c r="G62" s="9">
        <f>SUM([3]MESA_UA!$GP$19:$GW$19)</f>
        <v>1196</v>
      </c>
      <c r="H62" s="38">
        <f>(F62-G62)/G62</f>
        <v>-0.22324414715719063</v>
      </c>
      <c r="I62" s="84">
        <f t="shared" si="23"/>
        <v>5.2746029853458012E-3</v>
      </c>
      <c r="J62" s="337"/>
      <c r="K62" s="331" t="s">
        <v>51</v>
      </c>
      <c r="L62" s="327">
        <f>[3]MESA_UA!$HK$41</f>
        <v>15461</v>
      </c>
      <c r="M62" s="9">
        <f>[3]MESA_UA!$GW$41</f>
        <v>9704</v>
      </c>
      <c r="N62" s="84">
        <f t="shared" si="24"/>
        <v>0.59326051112943112</v>
      </c>
      <c r="O62" s="327">
        <f>SUM([3]MESA_UA!$HD$41:$HK$41)</f>
        <v>55965</v>
      </c>
      <c r="P62" s="9">
        <f>SUM([3]MESA_UA!$GP$41:$GW$41)</f>
        <v>56740</v>
      </c>
      <c r="Q62" s="38">
        <f t="shared" si="25"/>
        <v>-1.3658794501233697E-2</v>
      </c>
      <c r="R62" s="84">
        <f t="shared" si="26"/>
        <v>3.6869881763398199E-3</v>
      </c>
      <c r="S62" s="52"/>
      <c r="T62" s="54" t="s">
        <v>51</v>
      </c>
      <c r="U62" s="451">
        <f>[3]MESA_UA!$HK$64</f>
        <v>0</v>
      </c>
      <c r="V62" s="2">
        <f>[3]MESA_UA!$GW$64</f>
        <v>0</v>
      </c>
      <c r="W62" s="83" t="e">
        <f t="shared" si="27"/>
        <v>#DIV/0!</v>
      </c>
      <c r="X62" s="451">
        <f>SUM([3]MESA_UA!$HD$64:$HK$64)</f>
        <v>0</v>
      </c>
      <c r="Y62" s="2">
        <f>SUM([3]MESA_UA!$GP$64:$GW$64)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[3]Republic_UA!$HK$19</f>
        <v>70</v>
      </c>
      <c r="D63" s="9">
        <f>[3]Republic_UA!$GW$19</f>
        <v>182</v>
      </c>
      <c r="E63" s="84">
        <f t="shared" si="21"/>
        <v>-0.61538461538461542</v>
      </c>
      <c r="F63" s="9">
        <f>SUM([3]Republic_UA!$HD$19:$HK$19)</f>
        <v>967</v>
      </c>
      <c r="G63" s="9">
        <f>SUM([3]Republic_UA!$GP$19:$GW$19)</f>
        <v>1729</v>
      </c>
      <c r="H63" s="38">
        <f t="shared" ref="H63" si="30">(F63-G63)/G63</f>
        <v>-0.4407171775592828</v>
      </c>
      <c r="I63" s="84">
        <f t="shared" si="23"/>
        <v>5.4903563905590851E-3</v>
      </c>
      <c r="J63" s="337"/>
      <c r="K63" s="398" t="s">
        <v>52</v>
      </c>
      <c r="L63" s="327">
        <f>[3]Republic_UA!$HK$41</f>
        <v>4769</v>
      </c>
      <c r="M63" s="9">
        <f>[3]Republic_UA!$GW$41</f>
        <v>6817</v>
      </c>
      <c r="N63" s="84">
        <f t="shared" si="24"/>
        <v>-0.30042540707055887</v>
      </c>
      <c r="O63" s="327">
        <f>SUM([3]Republic_UA!$HD$41:$HK$41)</f>
        <v>55545</v>
      </c>
      <c r="P63" s="9">
        <f>SUM([3]Republic_UA!$GP$41:$GW$41)</f>
        <v>78213</v>
      </c>
      <c r="Q63" s="38">
        <f t="shared" si="25"/>
        <v>-0.28982394231138048</v>
      </c>
      <c r="R63" s="84">
        <f t="shared" si="26"/>
        <v>3.6593184714517162E-3</v>
      </c>
      <c r="S63" s="52"/>
      <c r="T63" s="397" t="s">
        <v>52</v>
      </c>
      <c r="U63" s="451">
        <f>[3]Republic_UA!$HK$64</f>
        <v>0</v>
      </c>
      <c r="V63" s="2">
        <f>[3]Republic_UA!$GW$64</f>
        <v>0</v>
      </c>
      <c r="W63" s="83" t="e">
        <f t="shared" si="27"/>
        <v>#DIV/0!</v>
      </c>
      <c r="X63" s="451">
        <f>SUM([3]Republic_UA!$HD$64:$HK$64)</f>
        <v>0</v>
      </c>
      <c r="Y63" s="2">
        <f>SUM([3]Republic_UA!$GP$64:$GW$64)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West_UA'!$HK$19</f>
        <v>130</v>
      </c>
      <c r="D64" s="9">
        <f>'[3]Sky West_UA'!$GW$19+'[3]Sky West_CO'!$GW$19</f>
        <v>186</v>
      </c>
      <c r="E64" s="84">
        <f t="shared" si="21"/>
        <v>-0.30107526881720431</v>
      </c>
      <c r="F64" s="9">
        <f>SUM('[3]Sky West_UA'!$HD$19:$HK$19)</f>
        <v>621</v>
      </c>
      <c r="G64" s="9">
        <f>SUM('[3]Sky West_UA'!$GP$19:$GW$19)+SUM('[3]Sky West_CO'!$GP$19:$GW$19)</f>
        <v>1002</v>
      </c>
      <c r="H64" s="38">
        <f t="shared" si="22"/>
        <v>-0.38023952095808383</v>
      </c>
      <c r="I64" s="84">
        <f t="shared" si="23"/>
        <v>3.52586485888024E-3</v>
      </c>
      <c r="J64" s="337"/>
      <c r="K64" s="331" t="s">
        <v>97</v>
      </c>
      <c r="L64" s="327">
        <f>'[3]Sky West_UA'!$HK$41</f>
        <v>7973</v>
      </c>
      <c r="M64" s="9">
        <f>'[3]Sky West_UA'!$GW$41+'[3]Sky West_CO'!$GW$41</f>
        <v>8355</v>
      </c>
      <c r="N64" s="84">
        <f t="shared" si="24"/>
        <v>-4.5721125074805503E-2</v>
      </c>
      <c r="O64" s="327">
        <f>SUM('[3]Sky West_UA'!$HD$41:$HK$41)</f>
        <v>37855</v>
      </c>
      <c r="P64" s="9">
        <f>SUM('[3]Sky West_UA'!$GP$41:$GW$41)+SUM('[3]Sky West_CO'!$GP$41:$GW$41)</f>
        <v>49993</v>
      </c>
      <c r="Q64" s="38">
        <f t="shared" si="25"/>
        <v>-0.24279399115876224</v>
      </c>
      <c r="R64" s="84">
        <f t="shared" si="26"/>
        <v>2.4938968536646813E-3</v>
      </c>
      <c r="S64" s="52"/>
      <c r="T64" s="54" t="s">
        <v>97</v>
      </c>
      <c r="U64" s="451">
        <f>'[3]Sky West_UA'!$HK$64</f>
        <v>0</v>
      </c>
      <c r="V64" s="2">
        <f>'[3]Sky West_UA'!$GW$64+'[3]Sky West_CO'!$GW$64</f>
        <v>0</v>
      </c>
      <c r="W64" s="83" t="e">
        <f t="shared" si="27"/>
        <v>#DIV/0!</v>
      </c>
      <c r="X64" s="451">
        <f>SUM('[3]Sky West_UA'!$HD$64:$HK$64)</f>
        <v>0</v>
      </c>
      <c r="Y64" s="2">
        <f>SUM('[3]Sky West_UA'!$GP$64:$GW$64)+SUM('[3]Sky West_CO'!$GP$64:$GW$64)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America'!$HK$19</f>
        <v>0</v>
      </c>
      <c r="D65" s="9">
        <f>'[3]Shuttle America'!$GW$19</f>
        <v>0</v>
      </c>
      <c r="E65" s="84" t="e">
        <f t="shared" si="21"/>
        <v>#DIV/0!</v>
      </c>
      <c r="F65" s="9">
        <f>SUM('[3]Shuttle America'!$HD$19:$HK$19)</f>
        <v>0</v>
      </c>
      <c r="G65" s="9">
        <f>SUM('[3]Shuttle America'!$GP$19:$GW$19)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America'!$HK$41</f>
        <v>0</v>
      </c>
      <c r="M65" s="9">
        <f>'[3]Shuttle America'!$GW$41</f>
        <v>0</v>
      </c>
      <c r="N65" s="84" t="e">
        <f t="shared" si="24"/>
        <v>#DIV/0!</v>
      </c>
      <c r="O65" s="327">
        <f>SUM('[3]Shuttle America'!$HD$41:$HK$41)</f>
        <v>0</v>
      </c>
      <c r="P65" s="9">
        <f>SUM('[3]Shuttle America'!$GP$41:$GW$41)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America'!$HK$64</f>
        <v>0</v>
      </c>
      <c r="V65" s="2">
        <f>'[3]Shuttle America'!$GW$64</f>
        <v>0</v>
      </c>
      <c r="W65" s="83" t="e">
        <f t="shared" si="27"/>
        <v>#DIV/0!</v>
      </c>
      <c r="X65" s="451">
        <f>SUM('[3]Shuttle America'!$HD$64:$HK$64)</f>
        <v>0</v>
      </c>
      <c r="Y65" s="2">
        <f>SUM('[3]Shuttle America'!$GP$64:$GW$64)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8"/>
      <c r="T66" s="529"/>
      <c r="U66" s="517"/>
      <c r="V66" s="340"/>
      <c r="W66" s="518"/>
      <c r="X66" s="517"/>
      <c r="Y66" s="340"/>
      <c r="Z66" s="519"/>
      <c r="AA66" s="512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0"/>
      <c r="T67" s="200"/>
      <c r="U67" s="531"/>
      <c r="V67" s="532"/>
      <c r="W67" s="530"/>
    </row>
    <row r="68" spans="1:27" ht="14.1" customHeight="1" x14ac:dyDescent="0.2">
      <c r="B68" s="346" t="s">
        <v>133</v>
      </c>
      <c r="C68" s="411">
        <f>+C70-C69</f>
        <v>14318</v>
      </c>
      <c r="D68" s="411">
        <f>+D70-D69</f>
        <v>10490</v>
      </c>
      <c r="E68" s="412">
        <f>(C68-D68)/D68</f>
        <v>0.36491897044804578</v>
      </c>
      <c r="F68" s="411">
        <f>+F70-F69</f>
        <v>95560</v>
      </c>
      <c r="G68" s="411">
        <f>+G70-G69</f>
        <v>81444</v>
      </c>
      <c r="H68" s="416">
        <f>(F68-G68)/G68</f>
        <v>0.17332154609302097</v>
      </c>
      <c r="I68" s="457">
        <f>F68/$F$70</f>
        <v>0.54256303689951002</v>
      </c>
      <c r="K68" s="346" t="s">
        <v>133</v>
      </c>
      <c r="L68" s="411">
        <f>+L70-L69</f>
        <v>2006777</v>
      </c>
      <c r="M68" s="411">
        <f>+M70-M69</f>
        <v>803553</v>
      </c>
      <c r="N68" s="412">
        <f>(L68-M68)/M68</f>
        <v>1.4973797621314338</v>
      </c>
      <c r="O68" s="411">
        <f>+O70-O69</f>
        <v>11603848</v>
      </c>
      <c r="P68" s="411">
        <f>+P70-P69</f>
        <v>7935068</v>
      </c>
      <c r="Q68" s="446">
        <f>(O68-P68)/P68</f>
        <v>0.4623501651151572</v>
      </c>
      <c r="R68" s="452">
        <f>+O68/O70</f>
        <v>0.76446440411050598</v>
      </c>
      <c r="S68" s="3"/>
      <c r="T68" s="533" t="s">
        <v>133</v>
      </c>
      <c r="U68" s="411">
        <f>+U70-U69</f>
        <v>6874568</v>
      </c>
      <c r="V68" s="411">
        <f>+V70-V69</f>
        <v>4336521</v>
      </c>
      <c r="W68" s="412">
        <f>(U68-V68)/V68</f>
        <v>0.5852726183039354</v>
      </c>
      <c r="X68" s="411">
        <f>+X70-X69</f>
        <v>37405484</v>
      </c>
      <c r="Y68" s="411">
        <f>+Y70-Y69</f>
        <v>36879250</v>
      </c>
      <c r="Z68" s="534">
        <f>(X68-Y68)/Y68</f>
        <v>1.4269107967217337E-2</v>
      </c>
      <c r="AA68" s="452">
        <f>+X68/X70</f>
        <v>0.99913336552350429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11458</v>
      </c>
      <c r="D69" s="413">
        <f>D65+D42+D40+D38+D37+D41+D22+D64+D61+D39+D60+D62+D27+D26+D23+D17+D8+D63+D24+D25+D9+D18</f>
        <v>8805</v>
      </c>
      <c r="E69" s="347">
        <f>(C69-D69)/D69</f>
        <v>0.30130607609312893</v>
      </c>
      <c r="F69" s="413">
        <f>F65+F42+F40+F38+F37+F41+F22+F64+F61+F39+F60+F62+F27+F26+F23+F17+F8+F63+F24+F25+F9+F18</f>
        <v>80567</v>
      </c>
      <c r="G69" s="413">
        <f>G65+G42+G40+G38+G37+G41+G22+G64+G61+G39+G60+G62+G27+G26+G23+G17+G8+G63+G24+G25+G9+G18</f>
        <v>61857</v>
      </c>
      <c r="H69" s="417">
        <f>(F69-G69)/G69</f>
        <v>0.30247183018898427</v>
      </c>
      <c r="I69" s="458">
        <f>F69/$F$70</f>
        <v>0.45743696310048998</v>
      </c>
      <c r="K69" s="300" t="s">
        <v>134</v>
      </c>
      <c r="L69" s="413">
        <f>L65+L42+L40+L38+L37+L41+L22+L64+L61+L39+L60+L62+L27+L26+L23+L17+L8+L63+L24+L25+L9+L18</f>
        <v>582889</v>
      </c>
      <c r="M69" s="413">
        <f>M65+M42+M40+M38+M37+M41+M22+M64+M61+M39+M60+M62+M27+M26+M23+M17+M8+M63+M24+M25+M9+M18</f>
        <v>277184</v>
      </c>
      <c r="N69" s="347">
        <f>(L69-M69)/M69</f>
        <v>1.1028955495266681</v>
      </c>
      <c r="O69" s="413">
        <f>O65+O42+O40+O38+O37+O41+O22+O64+O61+O39+O60+O62+O27+O26+O23+O17+O8+O63+O24+O25+O9+O18</f>
        <v>3575208</v>
      </c>
      <c r="P69" s="413">
        <f>P65+P42+P40+P38+P37+P41+P22+P64+P61+P39+P60+P62+P27+P26+P23+P17+P8+P63+P24+P25+P9+P18</f>
        <v>2226061</v>
      </c>
      <c r="Q69" s="444">
        <f>(O69-P69)/P69</f>
        <v>0.60606919576777096</v>
      </c>
      <c r="R69" s="453">
        <f>+O69/O70</f>
        <v>0.23553559588949405</v>
      </c>
      <c r="S69" s="3"/>
      <c r="T69" s="200" t="s">
        <v>134</v>
      </c>
      <c r="U69" s="413">
        <f>U65+U42+U40+U38+U37+U41+U22+U64+U61+U39+U60+U62+U27+U26+U23+U17+U8+U63+U24+U25+U9+U18</f>
        <v>4539</v>
      </c>
      <c r="V69" s="413">
        <f>V65+V42+V40+V38+V37+V41+V22+V64+V61+V39+V60+V62+V27+V26+V23+V17+V8+V63+V24+V25+V9+V18</f>
        <v>363</v>
      </c>
      <c r="W69" s="347">
        <f>(U69-V69)/V69</f>
        <v>11.504132231404959</v>
      </c>
      <c r="X69" s="413">
        <f>X65+X42+X40+X38+X37+X41+X22+X64+X61+X39+X60+X62+X27+X26+X23+X17+X8+X63+X24+X25+X9+X18</f>
        <v>32445</v>
      </c>
      <c r="Y69" s="413">
        <f>Y65+Y42+Y40+Y38+Y37+Y41+Y22+Y64+Y61+Y39+Y60+Y62+Y27+Y26+Y23+Y17+Y8+Y63+Y24+Y25+Y9+Y18</f>
        <v>28520</v>
      </c>
      <c r="Z69" s="535">
        <f>(X69-Y69)/Y69</f>
        <v>0.13762272089761571</v>
      </c>
      <c r="AA69" s="453">
        <f>+X69/X70</f>
        <v>8.6663447649574848E-4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25776</v>
      </c>
      <c r="D70" s="414">
        <f>D58+D56+D52+D46+D44+D35+D20+D15+D6+D54+D31+D29+D11+D50+D13+D48+D4+D33</f>
        <v>19295</v>
      </c>
      <c r="E70" s="415">
        <f>(C70-D70)/D70</f>
        <v>0.33589012697590048</v>
      </c>
      <c r="F70" s="414">
        <f>F58+F56+F52+F46+F44+F35+F20+F15+F6+F54+F31+F29+F11+F50+F13+F48+F4+F33</f>
        <v>176127</v>
      </c>
      <c r="G70" s="414">
        <f>G58+G56+G52+G46+G44+G35+G20+G15+G6+G54+G31+G29+G11+G50+G13+G48+G4+G33</f>
        <v>143301</v>
      </c>
      <c r="H70" s="418">
        <f>(F70-G70)/G70</f>
        <v>0.22907027864425231</v>
      </c>
      <c r="I70" s="459">
        <f>+H70/H70</f>
        <v>1</v>
      </c>
      <c r="K70" s="300" t="s">
        <v>135</v>
      </c>
      <c r="L70" s="414">
        <f>L58+L56+L52+L46+L44+L35+L20+L15+L6+L54+L31+L29+L11+L50+L13+L48+L4+L33</f>
        <v>2589666</v>
      </c>
      <c r="M70" s="414">
        <f>M58+M56+M52+M46+M44+M35+M20+M15+M6+M54+M31+M29+M11+M50+M13+M48+M4+M33</f>
        <v>1080737</v>
      </c>
      <c r="N70" s="415">
        <f>(L70-M70)/M70</f>
        <v>1.3962037017331692</v>
      </c>
      <c r="O70" s="414">
        <f>O58+O56+O52+O46+O44+O35+O20+O15+O6+O54+O31+O29+O11+O50+O13+O48+O4+O33</f>
        <v>15179056</v>
      </c>
      <c r="P70" s="414">
        <f>P58+P56+P52+P46+P44+P35+P20+P15+P6+P54+P31+P29+P11+P50+P13+P48+P4+P33</f>
        <v>10161129</v>
      </c>
      <c r="Q70" s="447">
        <f>(O70-P70)/P70</f>
        <v>0.49383557673561668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6879107</v>
      </c>
      <c r="V70" s="414">
        <f>V58+V56+V52+V46+V44+V35+V20+V15+V6+V54+V31+V29+V11+V50+V13+V48+V4+V33</f>
        <v>4336884</v>
      </c>
      <c r="W70" s="415">
        <f>(U70-V70)/V70</f>
        <v>0.58618653392620135</v>
      </c>
      <c r="X70" s="414">
        <f>X58+X56+X52+X46+X44+X35+X20+X15+X6+X54+X31+X29+X11+X50+X13+X48+X4+X33</f>
        <v>37437929</v>
      </c>
      <c r="Y70" s="414">
        <f>Y58+Y56+Y52+Y46+Y44+Y35+Y20+Y15+Y6+Y54+Y31+Y29+Y11+Y50+Y13+Y48+Y4+Y33</f>
        <v>36907770</v>
      </c>
      <c r="Z70" s="536">
        <f>(X70-Y70)/Y70</f>
        <v>1.436442786979544E-2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E72"/>
      <c r="F72" s="2"/>
      <c r="H72"/>
      <c r="I72"/>
      <c r="J72"/>
      <c r="K72"/>
      <c r="N72"/>
      <c r="O72" s="2"/>
      <c r="P72" s="2"/>
      <c r="U72" s="128"/>
    </row>
    <row r="73" spans="1:27" x14ac:dyDescent="0.2">
      <c r="E73"/>
      <c r="F73" s="2"/>
      <c r="H73"/>
      <c r="I73"/>
      <c r="J73"/>
      <c r="K73"/>
      <c r="N73"/>
      <c r="O73" s="2"/>
      <c r="P73" s="2"/>
      <c r="U73" s="128"/>
    </row>
    <row r="74" spans="1:27" x14ac:dyDescent="0.2">
      <c r="E74"/>
      <c r="F74" s="2"/>
      <c r="H74"/>
      <c r="I74"/>
      <c r="J74"/>
      <c r="K74"/>
      <c r="N74"/>
      <c r="O74" s="2"/>
      <c r="P74" s="2"/>
      <c r="U74" s="128"/>
    </row>
    <row r="75" spans="1:27" x14ac:dyDescent="0.2">
      <c r="E75"/>
      <c r="F75" s="2"/>
      <c r="H75"/>
      <c r="I75"/>
      <c r="J75"/>
      <c r="K75"/>
      <c r="N75"/>
      <c r="O75" s="2"/>
      <c r="P75" s="2"/>
    </row>
    <row r="76" spans="1:27" x14ac:dyDescent="0.2">
      <c r="C76"/>
      <c r="D76"/>
      <c r="E76"/>
      <c r="F76"/>
      <c r="G76"/>
      <c r="H76"/>
      <c r="I76"/>
      <c r="J76"/>
      <c r="K76"/>
      <c r="L76"/>
      <c r="M76"/>
      <c r="N76"/>
    </row>
    <row r="77" spans="1:27" x14ac:dyDescent="0.2">
      <c r="C77"/>
      <c r="D77"/>
      <c r="E77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August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M16" sqref="M16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44409</v>
      </c>
      <c r="B1" s="546" t="s">
        <v>17</v>
      </c>
      <c r="C1" s="546" t="s">
        <v>18</v>
      </c>
      <c r="D1" s="546" t="s">
        <v>19</v>
      </c>
      <c r="E1" s="546" t="s">
        <v>155</v>
      </c>
      <c r="F1" s="546" t="s">
        <v>161</v>
      </c>
      <c r="G1" s="546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[3]American!$HK$22</f>
        <v>53268</v>
      </c>
      <c r="C4" s="20">
        <f>[3]Delta!$HK$22+[3]Delta!$HK$32</f>
        <v>684602</v>
      </c>
      <c r="D4" s="20">
        <f>[3]United!$HK$22</f>
        <v>32621</v>
      </c>
      <c r="E4" s="20">
        <f>[3]Spirit!$HK$22</f>
        <v>19937</v>
      </c>
      <c r="F4" s="20">
        <f>[3]Condor!$HK$22</f>
        <v>0</v>
      </c>
      <c r="G4" s="20">
        <f>'[3]Air France'!$HK$32</f>
        <v>4991</v>
      </c>
      <c r="H4" s="20">
        <f>'[3]Jet Blue'!$HK$22</f>
        <v>5276</v>
      </c>
      <c r="I4" s="20">
        <f>[3]KLM!$HK$22+[3]KLM!$HK$32</f>
        <v>191</v>
      </c>
      <c r="J4" s="20">
        <f>'Other Major Airline Stats'!K5</f>
        <v>214143</v>
      </c>
      <c r="K4" s="254">
        <f>SUM(B4:J4)</f>
        <v>1015029</v>
      </c>
    </row>
    <row r="5" spans="1:20" x14ac:dyDescent="0.2">
      <c r="A5" s="60" t="s">
        <v>31</v>
      </c>
      <c r="B5" s="13">
        <f>[3]American!$HK$23</f>
        <v>51539</v>
      </c>
      <c r="C5" s="13">
        <f>[3]Delta!$HK$23+[3]Delta!$HK$33</f>
        <v>673191</v>
      </c>
      <c r="D5" s="13">
        <f>[3]United!$HK$23</f>
        <v>32634</v>
      </c>
      <c r="E5" s="13">
        <f>[3]Spirit!$HK$23</f>
        <v>18918</v>
      </c>
      <c r="F5" s="13">
        <f>[3]Condor!$HK$23</f>
        <v>0</v>
      </c>
      <c r="G5" s="13">
        <f>'[3]Air France'!$HK$33</f>
        <v>3368</v>
      </c>
      <c r="H5" s="13">
        <f>'[3]Jet Blue'!$HK$23</f>
        <v>5403</v>
      </c>
      <c r="I5" s="13">
        <f>[3]KLM!$HK$23+[3]KLM!$HK$33</f>
        <v>150</v>
      </c>
      <c r="J5" s="13">
        <f>'Other Major Airline Stats'!K6</f>
        <v>206545</v>
      </c>
      <c r="K5" s="255">
        <f>SUM(B5:J5)</f>
        <v>991748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104807</v>
      </c>
      <c r="C6" s="33">
        <f t="shared" si="0"/>
        <v>1357793</v>
      </c>
      <c r="D6" s="33">
        <f t="shared" si="0"/>
        <v>65255</v>
      </c>
      <c r="E6" s="33">
        <f t="shared" si="0"/>
        <v>38855</v>
      </c>
      <c r="F6" s="33">
        <f t="shared" ref="F6:I6" si="1">SUM(F4:F5)</f>
        <v>0</v>
      </c>
      <c r="G6" s="33">
        <f t="shared" si="1"/>
        <v>8359</v>
      </c>
      <c r="H6" s="33">
        <f t="shared" ref="H6" si="2">SUM(H4:H5)</f>
        <v>10679</v>
      </c>
      <c r="I6" s="33">
        <f t="shared" si="1"/>
        <v>341</v>
      </c>
      <c r="J6" s="33">
        <f>SUM(J4:J5)</f>
        <v>420688</v>
      </c>
      <c r="K6" s="256">
        <f>SUM(B6:J6)</f>
        <v>2006777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[3]American!$HK$27</f>
        <v>1404</v>
      </c>
      <c r="C9" s="20">
        <f>[3]Delta!$HK$27+[3]Delta!$HK$37</f>
        <v>20271</v>
      </c>
      <c r="D9" s="20">
        <f>[3]United!$HK$27</f>
        <v>1032</v>
      </c>
      <c r="E9" s="20">
        <f>[3]Spirit!$HK$27</f>
        <v>98</v>
      </c>
      <c r="F9" s="20">
        <f>[3]Condor!$HK$27</f>
        <v>0</v>
      </c>
      <c r="G9" s="20">
        <f>'[3]Air France'!$HK$37</f>
        <v>7</v>
      </c>
      <c r="H9" s="20">
        <f>'[3]Jet Blue'!$HK$27</f>
        <v>183</v>
      </c>
      <c r="I9" s="20">
        <f>[3]KLM!$HK$27+[3]KLM!$HK$37</f>
        <v>1</v>
      </c>
      <c r="J9" s="20">
        <f>'Other Major Airline Stats'!K10</f>
        <v>3667</v>
      </c>
      <c r="K9" s="254">
        <f>SUM(B9:J9)</f>
        <v>26663</v>
      </c>
    </row>
    <row r="10" spans="1:20" x14ac:dyDescent="0.2">
      <c r="A10" s="60" t="s">
        <v>33</v>
      </c>
      <c r="B10" s="13">
        <f>[3]American!$HK$28</f>
        <v>1569</v>
      </c>
      <c r="C10" s="13">
        <f>[3]Delta!$HK$28+[3]Delta!$HK$38</f>
        <v>19951</v>
      </c>
      <c r="D10" s="13">
        <f>[3]United!$HK$28</f>
        <v>1077</v>
      </c>
      <c r="E10" s="13">
        <f>[3]Spirit!$HK$28</f>
        <v>70</v>
      </c>
      <c r="F10" s="13">
        <f>[3]Condor!$HK$28</f>
        <v>0</v>
      </c>
      <c r="G10" s="13">
        <f>'[3]Air France'!$HK$38</f>
        <v>2</v>
      </c>
      <c r="H10" s="13">
        <f>'[3]Jet Blue'!$HK$28</f>
        <v>234</v>
      </c>
      <c r="I10" s="13">
        <f>[3]KLM!$HK$28+[3]KLM!$HK$38</f>
        <v>2</v>
      </c>
      <c r="J10" s="13">
        <f>'Other Major Airline Stats'!K11</f>
        <v>3647</v>
      </c>
      <c r="K10" s="255">
        <f>SUM(B10:J10)</f>
        <v>26552</v>
      </c>
    </row>
    <row r="11" spans="1:20" ht="15.75" thickBot="1" x14ac:dyDescent="0.3">
      <c r="A11" s="61" t="s">
        <v>34</v>
      </c>
      <c r="B11" s="257">
        <f t="shared" ref="B11:J11" si="3">SUM(B9:B10)</f>
        <v>2973</v>
      </c>
      <c r="C11" s="257">
        <f t="shared" si="3"/>
        <v>40222</v>
      </c>
      <c r="D11" s="257">
        <f t="shared" si="3"/>
        <v>2109</v>
      </c>
      <c r="E11" s="257">
        <f t="shared" si="3"/>
        <v>168</v>
      </c>
      <c r="F11" s="257">
        <f t="shared" ref="F11:I11" si="4">SUM(F9:F10)</f>
        <v>0</v>
      </c>
      <c r="G11" s="257">
        <f t="shared" si="4"/>
        <v>9</v>
      </c>
      <c r="H11" s="257">
        <f t="shared" ref="H11" si="5">SUM(H9:H10)</f>
        <v>417</v>
      </c>
      <c r="I11" s="257">
        <f t="shared" si="4"/>
        <v>3</v>
      </c>
      <c r="J11" s="257">
        <f t="shared" si="3"/>
        <v>7314</v>
      </c>
      <c r="K11" s="258">
        <f>SUM(B11:J11)</f>
        <v>53215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[3]American!$HK$4</f>
        <v>375</v>
      </c>
      <c r="C15" s="20">
        <f>[3]Delta!$HK$4+[3]Delta!$HK$15</f>
        <v>4665</v>
      </c>
      <c r="D15" s="20">
        <f>[3]United!$HK$4</f>
        <v>254</v>
      </c>
      <c r="E15" s="20">
        <f>[3]Spirit!$HK$4</f>
        <v>146</v>
      </c>
      <c r="F15" s="20">
        <f>[3]Condor!$HK$4</f>
        <v>0</v>
      </c>
      <c r="G15" s="20">
        <f>'[3]Air France'!$HK$15</f>
        <v>22</v>
      </c>
      <c r="H15" s="20">
        <f>'[3]Jet Blue'!$HK$4</f>
        <v>62</v>
      </c>
      <c r="I15" s="20">
        <f>[3]KLM!$HK$4+[3]KLM!$HK$15</f>
        <v>1</v>
      </c>
      <c r="J15" s="20">
        <f>'Other Major Airline Stats'!K16</f>
        <v>1574</v>
      </c>
      <c r="K15" s="26">
        <f>SUM(B15:J15)</f>
        <v>7099</v>
      </c>
    </row>
    <row r="16" spans="1:20" x14ac:dyDescent="0.2">
      <c r="A16" s="60" t="s">
        <v>23</v>
      </c>
      <c r="B16" s="13">
        <f>[3]American!$HK$5</f>
        <v>374</v>
      </c>
      <c r="C16" s="13">
        <f>[3]Delta!$HK$5+[3]Delta!$HK$16</f>
        <v>4649</v>
      </c>
      <c r="D16" s="13">
        <f>[3]United!$HK$5</f>
        <v>254</v>
      </c>
      <c r="E16" s="13">
        <f>[3]Spirit!$HK$5</f>
        <v>146</v>
      </c>
      <c r="F16" s="13">
        <f>[3]Condor!$HK$5</f>
        <v>0</v>
      </c>
      <c r="G16" s="13">
        <f>'[3]Air France'!$HK$16</f>
        <v>22</v>
      </c>
      <c r="H16" s="13">
        <f>'[3]Jet Blue'!$HK$5</f>
        <v>62</v>
      </c>
      <c r="I16" s="13">
        <f>[3]KLM!$HK$5+[3]KLM!$HK$16</f>
        <v>1</v>
      </c>
      <c r="J16" s="13">
        <f>'Other Major Airline Stats'!K17</f>
        <v>1583</v>
      </c>
      <c r="K16" s="32">
        <f>SUM(B16:J16)</f>
        <v>7091</v>
      </c>
    </row>
    <row r="17" spans="1:11" x14ac:dyDescent="0.2">
      <c r="A17" s="60" t="s">
        <v>24</v>
      </c>
      <c r="B17" s="261">
        <f t="shared" ref="B17:J17" si="6">SUM(B15:B16)</f>
        <v>749</v>
      </c>
      <c r="C17" s="259">
        <f t="shared" si="6"/>
        <v>9314</v>
      </c>
      <c r="D17" s="259">
        <f t="shared" si="6"/>
        <v>508</v>
      </c>
      <c r="E17" s="259">
        <f t="shared" si="6"/>
        <v>292</v>
      </c>
      <c r="F17" s="259">
        <f t="shared" ref="F17:I17" si="7">SUM(F15:F16)</f>
        <v>0</v>
      </c>
      <c r="G17" s="259">
        <f t="shared" si="7"/>
        <v>44</v>
      </c>
      <c r="H17" s="259">
        <f t="shared" ref="H17" si="8">SUM(H15:H16)</f>
        <v>124</v>
      </c>
      <c r="I17" s="259">
        <f t="shared" si="7"/>
        <v>2</v>
      </c>
      <c r="J17" s="259">
        <f t="shared" si="6"/>
        <v>3157</v>
      </c>
      <c r="K17" s="260">
        <f>SUM(B17:J17)</f>
        <v>14190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[3]American!$HK$8</f>
        <v>0</v>
      </c>
      <c r="C19" s="20">
        <f>[3]Delta!$HK$8</f>
        <v>6</v>
      </c>
      <c r="D19" s="20">
        <f>[3]United!$HK$8</f>
        <v>0</v>
      </c>
      <c r="E19" s="20">
        <f>[3]Spirit!$HK$8</f>
        <v>0</v>
      </c>
      <c r="F19" s="20">
        <f>[3]Condor!$HK$8</f>
        <v>0</v>
      </c>
      <c r="G19" s="20">
        <f>'[3]Air France'!$HK$8</f>
        <v>0</v>
      </c>
      <c r="H19" s="20">
        <f>'[3]Jet Blue'!$HK$8</f>
        <v>0</v>
      </c>
      <c r="I19" s="20">
        <f>[3]KLM!$HK$8</f>
        <v>0</v>
      </c>
      <c r="J19" s="20">
        <f>'Other Major Airline Stats'!K20</f>
        <v>60</v>
      </c>
      <c r="K19" s="26">
        <f>SUM(B19:J19)</f>
        <v>66</v>
      </c>
    </row>
    <row r="20" spans="1:11" x14ac:dyDescent="0.2">
      <c r="A20" s="60" t="s">
        <v>26</v>
      </c>
      <c r="B20" s="13">
        <f>[3]American!$HK$9</f>
        <v>0</v>
      </c>
      <c r="C20" s="13">
        <f>[3]Delta!$HK$9</f>
        <v>12</v>
      </c>
      <c r="D20" s="13">
        <f>[3]United!$HK$9</f>
        <v>0</v>
      </c>
      <c r="E20" s="13">
        <f>[3]Spirit!$HK$9</f>
        <v>0</v>
      </c>
      <c r="F20" s="13">
        <f>[3]Condor!$HK$9</f>
        <v>0</v>
      </c>
      <c r="G20" s="13">
        <f>'[3]Air France'!$HK$9</f>
        <v>0</v>
      </c>
      <c r="H20" s="13">
        <f>'[3]Jet Blue'!$HK$9</f>
        <v>0</v>
      </c>
      <c r="I20" s="13">
        <f>[3]KLM!$HK$9</f>
        <v>0</v>
      </c>
      <c r="J20" s="13">
        <f>'Other Major Airline Stats'!K21</f>
        <v>50</v>
      </c>
      <c r="K20" s="32">
        <f>SUM(B20:J20)</f>
        <v>62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18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110</v>
      </c>
      <c r="K21" s="173">
        <f>SUM(B21:J21)</f>
        <v>128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749</v>
      </c>
      <c r="C23" s="27">
        <f t="shared" si="12"/>
        <v>9332</v>
      </c>
      <c r="D23" s="27">
        <f t="shared" si="12"/>
        <v>508</v>
      </c>
      <c r="E23" s="27">
        <f>E17+E21</f>
        <v>292</v>
      </c>
      <c r="F23" s="27">
        <f t="shared" ref="F23:I23" si="13">F17+F21</f>
        <v>0</v>
      </c>
      <c r="G23" s="27">
        <f t="shared" si="13"/>
        <v>44</v>
      </c>
      <c r="H23" s="27">
        <f t="shared" ref="H23" si="14">H17+H21</f>
        <v>124</v>
      </c>
      <c r="I23" s="27">
        <f t="shared" si="13"/>
        <v>2</v>
      </c>
      <c r="J23" s="27">
        <f t="shared" si="12"/>
        <v>3267</v>
      </c>
      <c r="K23" s="28">
        <f>SUM(B23:J23)</f>
        <v>14318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[3]American!$HK$47</f>
        <v>35987</v>
      </c>
      <c r="C28" s="20">
        <f>[3]Delta!$HK$47</f>
        <v>1607425</v>
      </c>
      <c r="D28" s="20">
        <f>[3]United!$HK$47</f>
        <v>83593</v>
      </c>
      <c r="E28" s="20">
        <f>[3]Spirit!$HK$47</f>
        <v>0</v>
      </c>
      <c r="F28" s="20">
        <f>[3]Condor!$HK$47</f>
        <v>0</v>
      </c>
      <c r="G28" s="20">
        <f>'[3]Air France'!$HK$47</f>
        <v>508110</v>
      </c>
      <c r="H28" s="20">
        <f>'[3]Jet Blue'!$HK$47</f>
        <v>0</v>
      </c>
      <c r="I28" s="20">
        <f>[3]KLM!$HK$47</f>
        <v>25148</v>
      </c>
      <c r="J28" s="20">
        <f>'Other Major Airline Stats'!K28</f>
        <v>322548</v>
      </c>
      <c r="K28" s="26">
        <f>SUM(B28:J28)</f>
        <v>2582811</v>
      </c>
    </row>
    <row r="29" spans="1:11" x14ac:dyDescent="0.2">
      <c r="A29" s="60" t="s">
        <v>38</v>
      </c>
      <c r="B29" s="13">
        <f>[3]American!$HK$48</f>
        <v>52765</v>
      </c>
      <c r="C29" s="13">
        <f>[3]Delta!$HK$48</f>
        <v>1259636</v>
      </c>
      <c r="D29" s="13">
        <f>[3]United!$HK$48</f>
        <v>4947</v>
      </c>
      <c r="E29" s="13">
        <f>[3]Spirit!$HK$48</f>
        <v>0</v>
      </c>
      <c r="F29" s="13">
        <f>[3]Condor!$HK$48</f>
        <v>0</v>
      </c>
      <c r="G29" s="13">
        <f>'[3]Air France'!$HK$48</f>
        <v>0</v>
      </c>
      <c r="H29" s="13">
        <f>'[3]Jet Blue'!$HK$48</f>
        <v>0</v>
      </c>
      <c r="I29" s="13">
        <f>[3]KLM!$HK$48</f>
        <v>0</v>
      </c>
      <c r="J29" s="13">
        <f>'Other Major Airline Stats'!K29</f>
        <v>154621</v>
      </c>
      <c r="K29" s="32">
        <f>SUM(B29:J29)</f>
        <v>1471969</v>
      </c>
    </row>
    <row r="30" spans="1:11" x14ac:dyDescent="0.2">
      <c r="A30" s="64" t="s">
        <v>39</v>
      </c>
      <c r="B30" s="261">
        <f t="shared" ref="B30:J30" si="15">SUM(B28:B29)</f>
        <v>88752</v>
      </c>
      <c r="C30" s="261">
        <f t="shared" si="15"/>
        <v>2867061</v>
      </c>
      <c r="D30" s="261">
        <f t="shared" si="15"/>
        <v>88540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508110</v>
      </c>
      <c r="H30" s="261">
        <f t="shared" ref="H30" si="17">SUM(H28:H29)</f>
        <v>0</v>
      </c>
      <c r="I30" s="261">
        <f t="shared" si="16"/>
        <v>25148</v>
      </c>
      <c r="J30" s="261">
        <f t="shared" si="15"/>
        <v>477169</v>
      </c>
      <c r="K30" s="26">
        <f>SUM(B30:J30)</f>
        <v>4054780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[3]American!$HK$52</f>
        <v>6023</v>
      </c>
      <c r="C33" s="20">
        <f>[3]Delta!$HK$52</f>
        <v>1090616</v>
      </c>
      <c r="D33" s="20">
        <f>[3]United!$HK$52</f>
        <v>51576</v>
      </c>
      <c r="E33" s="20">
        <f>[3]Spirit!$HK$52</f>
        <v>0</v>
      </c>
      <c r="F33" s="20">
        <f>[3]Condor!$HK$52</f>
        <v>0</v>
      </c>
      <c r="G33" s="20">
        <f>'[3]Air France'!$HK$52</f>
        <v>21418</v>
      </c>
      <c r="H33" s="20">
        <f>'[3]Jet Blue'!$HK$52</f>
        <v>0</v>
      </c>
      <c r="I33" s="20">
        <f>[3]KLM!$HK$52</f>
        <v>3710</v>
      </c>
      <c r="J33" s="20">
        <f>'Other Major Airline Stats'!K33</f>
        <v>109369</v>
      </c>
      <c r="K33" s="26">
        <f t="shared" si="18"/>
        <v>1282712</v>
      </c>
    </row>
    <row r="34" spans="1:11" x14ac:dyDescent="0.2">
      <c r="A34" s="60" t="s">
        <v>38</v>
      </c>
      <c r="B34" s="13">
        <f>[3]American!$HK$53</f>
        <v>8913</v>
      </c>
      <c r="C34" s="13">
        <f>[3]Delta!$HK$53</f>
        <v>1251606</v>
      </c>
      <c r="D34" s="13">
        <f>[3]United!$HK$53</f>
        <v>34732</v>
      </c>
      <c r="E34" s="13">
        <f>[3]Spirit!$HK$53</f>
        <v>0</v>
      </c>
      <c r="F34" s="13">
        <f>[3]Condor!$HK$53</f>
        <v>0</v>
      </c>
      <c r="G34" s="13">
        <f>'[3]Air France'!$HK$53</f>
        <v>0</v>
      </c>
      <c r="H34" s="13">
        <f>'[3]Jet Blue'!$HK$53</f>
        <v>0</v>
      </c>
      <c r="I34" s="13">
        <f>[3]KLM!$HK$53</f>
        <v>0</v>
      </c>
      <c r="J34" s="13">
        <f>'Other Major Airline Stats'!K34</f>
        <v>241825</v>
      </c>
      <c r="K34" s="32">
        <f t="shared" si="18"/>
        <v>1537076</v>
      </c>
    </row>
    <row r="35" spans="1:11" x14ac:dyDescent="0.2">
      <c r="A35" s="64" t="s">
        <v>41</v>
      </c>
      <c r="B35" s="261">
        <f t="shared" ref="B35:J35" si="19">SUM(B33:B34)</f>
        <v>14936</v>
      </c>
      <c r="C35" s="261">
        <f t="shared" si="19"/>
        <v>2342222</v>
      </c>
      <c r="D35" s="261">
        <f t="shared" si="19"/>
        <v>86308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21418</v>
      </c>
      <c r="H35" s="261">
        <f t="shared" ref="H35" si="21">SUM(H33:H34)</f>
        <v>0</v>
      </c>
      <c r="I35" s="261">
        <f t="shared" si="20"/>
        <v>3710</v>
      </c>
      <c r="J35" s="261">
        <f t="shared" si="19"/>
        <v>351194</v>
      </c>
      <c r="K35" s="26">
        <f t="shared" si="18"/>
        <v>2819788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[3]American!$HK$57</f>
        <v>0</v>
      </c>
      <c r="C38" s="20">
        <f>[3]Delta!$HK$57</f>
        <v>0</v>
      </c>
      <c r="D38" s="20">
        <f>[3]United!$HK$57</f>
        <v>0</v>
      </c>
      <c r="E38" s="20">
        <f>[3]Spirit!$HK$57</f>
        <v>0</v>
      </c>
      <c r="F38" s="20">
        <f>[3]Condor!$HK$57</f>
        <v>0</v>
      </c>
      <c r="G38" s="20">
        <f>'[3]Air France'!$HK$57</f>
        <v>0</v>
      </c>
      <c r="H38" s="20">
        <f>'[3]Jet Blue'!$HK$57</f>
        <v>0</v>
      </c>
      <c r="I38" s="20">
        <f>[3]KLM!$HK$57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[3]American!$HK$58</f>
        <v>0</v>
      </c>
      <c r="C39" s="13">
        <f>[3]Delta!$HK$58</f>
        <v>0</v>
      </c>
      <c r="D39" s="13">
        <f>[3]United!$HK$58</f>
        <v>0</v>
      </c>
      <c r="E39" s="13">
        <f>[3]Spirit!$HK$58</f>
        <v>0</v>
      </c>
      <c r="F39" s="13">
        <f>[3]Condor!$HK$58</f>
        <v>0</v>
      </c>
      <c r="G39" s="13">
        <f>'[3]Air France'!$HK$58</f>
        <v>0</v>
      </c>
      <c r="H39" s="13">
        <f>'[3]Jet Blue'!$HK$58</f>
        <v>0</v>
      </c>
      <c r="I39" s="13">
        <f>[3]KLM!$HK$58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42010</v>
      </c>
      <c r="C43" s="20">
        <f t="shared" si="25"/>
        <v>2698041</v>
      </c>
      <c r="D43" s="20">
        <f t="shared" si="25"/>
        <v>135169</v>
      </c>
      <c r="E43" s="20">
        <f>E28+E33+E38</f>
        <v>0</v>
      </c>
      <c r="F43" s="20">
        <f t="shared" ref="F43:I43" si="26">F28+F33+F38</f>
        <v>0</v>
      </c>
      <c r="G43" s="20">
        <f t="shared" si="26"/>
        <v>529528</v>
      </c>
      <c r="H43" s="20">
        <f t="shared" ref="H43" si="27">H28+H33+H38</f>
        <v>0</v>
      </c>
      <c r="I43" s="20">
        <f t="shared" si="26"/>
        <v>28858</v>
      </c>
      <c r="J43" s="20">
        <f t="shared" si="25"/>
        <v>431917</v>
      </c>
      <c r="K43" s="26">
        <f>SUM(B43:J43)</f>
        <v>3865523</v>
      </c>
    </row>
    <row r="44" spans="1:11" x14ac:dyDescent="0.2">
      <c r="A44" s="60" t="s">
        <v>38</v>
      </c>
      <c r="B44" s="13">
        <f t="shared" si="25"/>
        <v>61678</v>
      </c>
      <c r="C44" s="13">
        <f t="shared" si="25"/>
        <v>2511242</v>
      </c>
      <c r="D44" s="13">
        <f t="shared" si="25"/>
        <v>39679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396446</v>
      </c>
      <c r="K44" s="26">
        <f>SUM(B44:J44)</f>
        <v>3009045</v>
      </c>
    </row>
    <row r="45" spans="1:11" ht="15.75" thickBot="1" x14ac:dyDescent="0.3">
      <c r="A45" s="61" t="s">
        <v>46</v>
      </c>
      <c r="B45" s="262">
        <f t="shared" ref="B45:J45" si="30">SUM(B43:B44)</f>
        <v>103688</v>
      </c>
      <c r="C45" s="262">
        <f t="shared" si="30"/>
        <v>5209283</v>
      </c>
      <c r="D45" s="262">
        <f t="shared" si="30"/>
        <v>174848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529528</v>
      </c>
      <c r="H45" s="262">
        <f t="shared" ref="H45" si="32">SUM(H43:H44)</f>
        <v>0</v>
      </c>
      <c r="I45" s="262">
        <f t="shared" si="31"/>
        <v>28858</v>
      </c>
      <c r="J45" s="262">
        <f t="shared" si="30"/>
        <v>828363</v>
      </c>
      <c r="K45" s="263">
        <f>SUM(B45:J45)</f>
        <v>6874568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[3]Delta!$HK$70+[3]Delta!$HK$73</f>
        <v>404018</v>
      </c>
      <c r="D47" s="278"/>
      <c r="E47" s="278"/>
      <c r="F47" s="278"/>
      <c r="G47" s="278"/>
      <c r="H47" s="278"/>
      <c r="I47" s="278"/>
      <c r="J47" s="278"/>
      <c r="K47" s="279">
        <f>SUM(B47:J47)</f>
        <v>404018</v>
      </c>
    </row>
    <row r="48" spans="1:11" hidden="1" x14ac:dyDescent="0.2">
      <c r="A48" s="349" t="s">
        <v>122</v>
      </c>
      <c r="C48" s="291">
        <f>[3]Delta!$HK$71+[3]Delta!$HK$74</f>
        <v>269173</v>
      </c>
      <c r="D48" s="278"/>
      <c r="E48" s="278"/>
      <c r="F48" s="278"/>
      <c r="G48" s="278"/>
      <c r="H48" s="278"/>
      <c r="I48" s="278"/>
      <c r="J48" s="278"/>
      <c r="K48" s="279">
        <f>SUM(B48:J48)</f>
        <v>269173</v>
      </c>
    </row>
    <row r="49" spans="1:11" hidden="1" x14ac:dyDescent="0.2">
      <c r="A49" s="350" t="s">
        <v>123</v>
      </c>
      <c r="C49" s="292">
        <f>SUM(C47:C48)</f>
        <v>673191</v>
      </c>
      <c r="K49" s="279">
        <f>SUM(B49:J49)</f>
        <v>673191</v>
      </c>
    </row>
    <row r="50" spans="1:11" x14ac:dyDescent="0.2">
      <c r="A50" s="348" t="s">
        <v>121</v>
      </c>
      <c r="B50" s="360"/>
      <c r="C50" s="294">
        <f>[3]Delta!$HK$70+[3]Delta!$HK$73</f>
        <v>404018</v>
      </c>
      <c r="D50" s="360"/>
      <c r="E50" s="294">
        <f>[3]Spirit!$HK$70+[3]Spirit!$HK$73</f>
        <v>0</v>
      </c>
      <c r="F50" s="360"/>
      <c r="G50" s="360"/>
      <c r="H50" s="360"/>
      <c r="I50" s="360"/>
      <c r="J50" s="293">
        <f>'Other Major Airline Stats'!K48</f>
        <v>184447</v>
      </c>
      <c r="K50" s="282">
        <f>SUM(B50:J50)</f>
        <v>588465</v>
      </c>
    </row>
    <row r="51" spans="1:11" x14ac:dyDescent="0.2">
      <c r="A51" s="362" t="s">
        <v>122</v>
      </c>
      <c r="B51" s="360"/>
      <c r="C51" s="294">
        <f>[3]Delta!$HK$71+[3]Delta!$HK$74</f>
        <v>269173</v>
      </c>
      <c r="D51" s="360"/>
      <c r="E51" s="294">
        <f>[3]Spirit!$HK$71+[3]Spirit!$HK$74</f>
        <v>0</v>
      </c>
      <c r="F51" s="360"/>
      <c r="G51" s="360"/>
      <c r="H51" s="360"/>
      <c r="I51" s="360"/>
      <c r="J51" s="293">
        <f>+'Other Major Airline Stats'!K49</f>
        <v>221</v>
      </c>
      <c r="K51" s="282">
        <f>SUM(B51:J51)</f>
        <v>269394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August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H15" sqref="H15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44409</v>
      </c>
      <c r="B2" s="408" t="s">
        <v>47</v>
      </c>
      <c r="C2" s="407" t="s">
        <v>178</v>
      </c>
      <c r="D2" s="545" t="s">
        <v>211</v>
      </c>
      <c r="E2" s="545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[3]Frontier!$HK$22</f>
        <v>8549</v>
      </c>
      <c r="C5" s="116">
        <f>'[3]Air Choice One'!$HK$22</f>
        <v>0</v>
      </c>
      <c r="D5" s="128">
        <f>'[3]Aer Lingus'!$HK$22+'[3]Aer Lingus'!$HK$32</f>
        <v>0</v>
      </c>
      <c r="E5" s="116">
        <f>'[3]Denver Air'!$HK$22+'[3]Denver Air'!$HK$32</f>
        <v>777</v>
      </c>
      <c r="F5" s="116">
        <f>'[3]Boutique Air'!$HK$22</f>
        <v>146</v>
      </c>
      <c r="G5" s="144">
        <f>[3]Icelandair!$HK$32</f>
        <v>2519</v>
      </c>
      <c r="H5" s="116">
        <f>[3]Southwest!$HK$22</f>
        <v>64423</v>
      </c>
      <c r="I5" s="116">
        <f>'[3]Sun Country'!$HK$22+'[3]Sun Country'!$HK$32</f>
        <v>126833</v>
      </c>
      <c r="J5" s="116">
        <f>[3]Alaska!$HK$22</f>
        <v>10896</v>
      </c>
      <c r="K5" s="145">
        <f>SUM(B5:J5)</f>
        <v>214143</v>
      </c>
      <c r="N5" s="128"/>
    </row>
    <row r="6" spans="1:14" x14ac:dyDescent="0.2">
      <c r="A6" s="60" t="s">
        <v>31</v>
      </c>
      <c r="B6" s="144">
        <f>[3]Frontier!$HK$23</f>
        <v>7561</v>
      </c>
      <c r="C6" s="116">
        <f>'[3]Air Choice One'!$HK$23</f>
        <v>0</v>
      </c>
      <c r="D6" s="128">
        <f>'[3]Aer Lingus'!$HK$23+'[3]Aer Lingus'!$HK$33</f>
        <v>0</v>
      </c>
      <c r="E6" s="116">
        <f>'[3]Denver Air'!$HK$23+'[3]Denver Air'!$HK$33</f>
        <v>730</v>
      </c>
      <c r="F6" s="116">
        <f>'[3]Boutique Air'!$HK$23</f>
        <v>134</v>
      </c>
      <c r="G6" s="144">
        <f>[3]Icelandair!$HK$33</f>
        <v>2659</v>
      </c>
      <c r="H6" s="116">
        <f>[3]Southwest!$HK$23</f>
        <v>64708</v>
      </c>
      <c r="I6" s="116">
        <f>'[3]Sun Country'!$HK$23+'[3]Sun Country'!$HK$33</f>
        <v>119960</v>
      </c>
      <c r="J6" s="116">
        <f>[3]Alaska!$HK$23</f>
        <v>10793</v>
      </c>
      <c r="K6" s="145">
        <f>SUM(B6:J6)</f>
        <v>206545</v>
      </c>
    </row>
    <row r="7" spans="1:14" ht="15" x14ac:dyDescent="0.25">
      <c r="A7" s="58" t="s">
        <v>7</v>
      </c>
      <c r="B7" s="153">
        <f t="shared" ref="B7:J7" si="0">SUM(B5:B6)</f>
        <v>16110</v>
      </c>
      <c r="C7" s="153">
        <f t="shared" ref="C7:F7" si="1">SUM(C5:C6)</f>
        <v>0</v>
      </c>
      <c r="D7" s="153">
        <f>SUM(D5:D6)</f>
        <v>0</v>
      </c>
      <c r="E7" s="153">
        <f>SUM(E5:E6)</f>
        <v>1507</v>
      </c>
      <c r="F7" s="153">
        <f t="shared" si="1"/>
        <v>280</v>
      </c>
      <c r="G7" s="153">
        <f t="shared" si="0"/>
        <v>5178</v>
      </c>
      <c r="H7" s="153">
        <f t="shared" si="0"/>
        <v>129131</v>
      </c>
      <c r="I7" s="153">
        <f>SUM(I5:I6)</f>
        <v>246793</v>
      </c>
      <c r="J7" s="153">
        <f t="shared" si="0"/>
        <v>21689</v>
      </c>
      <c r="K7" s="154">
        <f>SUM(B7:J7)</f>
        <v>420688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[3]Frontier!$HK$27</f>
        <v>77</v>
      </c>
      <c r="C10" s="152">
        <f>'[3]Air Choice One'!$HK$27</f>
        <v>0</v>
      </c>
      <c r="D10" s="470">
        <f>'[3]Aer Lingus'!$HK$27+'[3]Aer Lingus'!$HK$37</f>
        <v>0</v>
      </c>
      <c r="E10" s="152">
        <f>'[3]Denver Air'!$HK$27+'[3]Denver Air'!$HK$37</f>
        <v>33</v>
      </c>
      <c r="F10" s="152">
        <f>'[3]Boutique Air'!$HK$27</f>
        <v>0</v>
      </c>
      <c r="G10" s="152">
        <f>[3]Icelandair!$HK$37</f>
        <v>10</v>
      </c>
      <c r="H10" s="152">
        <f>[3]Southwest!$HK$27</f>
        <v>921</v>
      </c>
      <c r="I10" s="152">
        <f>'[3]Sun Country'!$HK$27+'[3]Sun Country'!$HK$37</f>
        <v>2331</v>
      </c>
      <c r="J10" s="152">
        <f>[3]Alaska!$HK$27</f>
        <v>295</v>
      </c>
      <c r="K10" s="145">
        <f>SUM(B10:J10)</f>
        <v>3667</v>
      </c>
    </row>
    <row r="11" spans="1:14" x14ac:dyDescent="0.2">
      <c r="A11" s="60" t="s">
        <v>33</v>
      </c>
      <c r="B11" s="155">
        <f>[3]Frontier!$HK$28</f>
        <v>73</v>
      </c>
      <c r="C11" s="155">
        <f>'[3]Air Choice One'!$HK$28</f>
        <v>0</v>
      </c>
      <c r="D11" s="155">
        <f>'[3]Aer Lingus'!$HK$28+'[3]Aer Lingus'!$HK$38</f>
        <v>0</v>
      </c>
      <c r="E11" s="155">
        <f>'[3]Denver Air'!$HK$28+'[3]Denver Air'!$HK$38</f>
        <v>49</v>
      </c>
      <c r="F11" s="155">
        <f>'[3]Boutique Air'!$HK$28</f>
        <v>0</v>
      </c>
      <c r="G11" s="155">
        <f>[3]Icelandair!$HK$38</f>
        <v>5</v>
      </c>
      <c r="H11" s="155">
        <f>[3]Southwest!$HK$28</f>
        <v>968</v>
      </c>
      <c r="I11" s="155">
        <f>'[3]Sun Country'!$HK$28+'[3]Sun Country'!$HK$38</f>
        <v>2230</v>
      </c>
      <c r="J11" s="155">
        <f>[3]Alaska!$HK$28</f>
        <v>322</v>
      </c>
      <c r="K11" s="145">
        <f>SUM(B11:J11)</f>
        <v>3647</v>
      </c>
    </row>
    <row r="12" spans="1:14" ht="15.75" thickBot="1" x14ac:dyDescent="0.3">
      <c r="A12" s="61" t="s">
        <v>34</v>
      </c>
      <c r="B12" s="148">
        <f t="shared" ref="B12:J12" si="2">SUM(B10:B11)</f>
        <v>150</v>
      </c>
      <c r="C12" s="148">
        <f t="shared" ref="C12:F12" si="3">SUM(C10:C11)</f>
        <v>0</v>
      </c>
      <c r="D12" s="148">
        <f>SUM(D10:D11)</f>
        <v>0</v>
      </c>
      <c r="E12" s="148">
        <f>SUM(E10:E11)</f>
        <v>82</v>
      </c>
      <c r="F12" s="148">
        <f t="shared" si="3"/>
        <v>0</v>
      </c>
      <c r="G12" s="148">
        <f t="shared" si="2"/>
        <v>15</v>
      </c>
      <c r="H12" s="148">
        <f t="shared" si="2"/>
        <v>1889</v>
      </c>
      <c r="I12" s="148">
        <f>SUM(I10:I11)</f>
        <v>4561</v>
      </c>
      <c r="J12" s="148">
        <f t="shared" si="2"/>
        <v>617</v>
      </c>
      <c r="K12" s="156">
        <f>SUM(B12:J12)</f>
        <v>7314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[3]Frontier!$HK$4</f>
        <v>44</v>
      </c>
      <c r="C16" s="104">
        <f>'[3]Air Choice One'!$HK$4</f>
        <v>0</v>
      </c>
      <c r="D16" s="128">
        <f>'[3]Aer Lingus'!$HK$4+'[3]Aer Lingus'!$HK$15</f>
        <v>0</v>
      </c>
      <c r="E16" s="116">
        <f>'[3]Denver Air'!$HK$4+'[3]Denver Air'!$HK$15</f>
        <v>54</v>
      </c>
      <c r="F16" s="104">
        <f>'[3]Boutique Air'!$HK$4</f>
        <v>25</v>
      </c>
      <c r="G16" s="144">
        <f>[3]Icelandair!$HK$15</f>
        <v>22</v>
      </c>
      <c r="H16" s="104">
        <f>[3]Southwest!$HK$4</f>
        <v>497</v>
      </c>
      <c r="I16" s="116">
        <f>'[3]Sun Country'!$HK$4+'[3]Sun Country'!$HK$15</f>
        <v>865</v>
      </c>
      <c r="J16" s="116">
        <f>[3]Alaska!$HK$4</f>
        <v>67</v>
      </c>
      <c r="K16" s="145">
        <f>SUM(B16:J16)</f>
        <v>1574</v>
      </c>
    </row>
    <row r="17" spans="1:258" x14ac:dyDescent="0.2">
      <c r="A17" s="60" t="s">
        <v>23</v>
      </c>
      <c r="B17" s="144">
        <f>[3]Frontier!$HK$5</f>
        <v>44</v>
      </c>
      <c r="C17" s="104">
        <f>'[3]Air Choice One'!$HK$5</f>
        <v>0</v>
      </c>
      <c r="D17" s="128">
        <f>'[3]Aer Lingus'!$HK$5+'[3]Aer Lingus'!$HK$16</f>
        <v>0</v>
      </c>
      <c r="E17" s="116">
        <f>'[3]Denver Air'!$HK$5+'[3]Denver Air'!$HK$16</f>
        <v>54</v>
      </c>
      <c r="F17" s="104">
        <f>'[3]Boutique Air'!$HK$5</f>
        <v>26</v>
      </c>
      <c r="G17" s="144">
        <f>[3]Icelandair!$HK$16</f>
        <v>22</v>
      </c>
      <c r="H17" s="104">
        <f>[3]Southwest!$HK$5</f>
        <v>497</v>
      </c>
      <c r="I17" s="116">
        <f>'[3]Sun Country'!$HK$5+'[3]Sun Country'!$HK$16</f>
        <v>873</v>
      </c>
      <c r="J17" s="116">
        <f>[3]Alaska!$HK$5</f>
        <v>67</v>
      </c>
      <c r="K17" s="145">
        <f>SUM(B17:J17)</f>
        <v>1583</v>
      </c>
    </row>
    <row r="18" spans="1:258" x14ac:dyDescent="0.2">
      <c r="A18" s="64" t="s">
        <v>24</v>
      </c>
      <c r="B18" s="146">
        <f t="shared" ref="B18:J18" si="4">SUM(B16:B17)</f>
        <v>88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108</v>
      </c>
      <c r="F18" s="146">
        <f t="shared" si="5"/>
        <v>51</v>
      </c>
      <c r="G18" s="146">
        <f t="shared" si="4"/>
        <v>44</v>
      </c>
      <c r="H18" s="146">
        <f t="shared" si="4"/>
        <v>994</v>
      </c>
      <c r="I18" s="146">
        <f t="shared" si="4"/>
        <v>1738</v>
      </c>
      <c r="J18" s="146">
        <f t="shared" si="4"/>
        <v>134</v>
      </c>
      <c r="K18" s="147">
        <f>SUM(B18:J18)</f>
        <v>3157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[3]Frontier!$HK$8</f>
        <v>0</v>
      </c>
      <c r="C20" s="116">
        <f>'[3]Air Choice One'!$HK$8</f>
        <v>0</v>
      </c>
      <c r="D20" s="128">
        <f>'[3]Aer Lingus'!$HK$8</f>
        <v>0</v>
      </c>
      <c r="E20" s="116">
        <f>'[3]Denver Air'!$HK$8</f>
        <v>1</v>
      </c>
      <c r="F20" s="116">
        <f>'[3]Boutique Air'!$HK$8</f>
        <v>0</v>
      </c>
      <c r="G20" s="144">
        <f>[3]Icelandair!$HK$8</f>
        <v>0</v>
      </c>
      <c r="H20" s="116">
        <f>[3]Southwest!$HK$8</f>
        <v>0</v>
      </c>
      <c r="I20" s="116">
        <f>'[3]Sun Country'!$HK$8</f>
        <v>59</v>
      </c>
      <c r="J20" s="116">
        <f>[3]Alaska!$HK$8</f>
        <v>0</v>
      </c>
      <c r="K20" s="145">
        <f>SUM(B20:J20)</f>
        <v>60</v>
      </c>
    </row>
    <row r="21" spans="1:258" x14ac:dyDescent="0.2">
      <c r="A21" s="60" t="s">
        <v>26</v>
      </c>
      <c r="B21" s="144">
        <f>[3]Frontier!$HK$9</f>
        <v>0</v>
      </c>
      <c r="C21" s="116">
        <f>'[3]Air Choice One'!$HK$9</f>
        <v>0</v>
      </c>
      <c r="D21" s="128">
        <f>'[3]Aer Lingus'!$HK$9</f>
        <v>0</v>
      </c>
      <c r="E21" s="116">
        <f>'[3]Denver Air'!$HK$9</f>
        <v>1</v>
      </c>
      <c r="F21" s="116">
        <f>'[3]Boutique Air'!$HK$9</f>
        <v>0</v>
      </c>
      <c r="G21" s="144">
        <f>[3]Icelandair!$HK$9</f>
        <v>0</v>
      </c>
      <c r="H21" s="116">
        <f>[3]Southwest!$HK$9</f>
        <v>0</v>
      </c>
      <c r="I21" s="116">
        <f>'[3]Sun Country'!$HK$9</f>
        <v>49</v>
      </c>
      <c r="J21" s="116">
        <f>[3]Alaska!$HK$9</f>
        <v>0</v>
      </c>
      <c r="K21" s="145">
        <f>SUM(B21:J21)</f>
        <v>50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2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108</v>
      </c>
      <c r="J22" s="146">
        <f t="shared" si="6"/>
        <v>0</v>
      </c>
      <c r="K22" s="147">
        <f>SUM(B22:J22)</f>
        <v>110</v>
      </c>
    </row>
    <row r="23" spans="1:258" ht="15.75" thickBot="1" x14ac:dyDescent="0.3">
      <c r="A23" s="61" t="s">
        <v>28</v>
      </c>
      <c r="B23" s="148">
        <f t="shared" ref="B23:J23" si="8">B22+B18</f>
        <v>88</v>
      </c>
      <c r="C23" s="148">
        <f t="shared" ref="C23:F23" si="9">C22+C18</f>
        <v>0</v>
      </c>
      <c r="D23" s="148">
        <f t="shared" si="9"/>
        <v>0</v>
      </c>
      <c r="E23" s="148">
        <f t="shared" si="9"/>
        <v>110</v>
      </c>
      <c r="F23" s="148">
        <f t="shared" si="9"/>
        <v>51</v>
      </c>
      <c r="G23" s="148">
        <f t="shared" si="8"/>
        <v>44</v>
      </c>
      <c r="H23" s="148">
        <f t="shared" si="8"/>
        <v>994</v>
      </c>
      <c r="I23" s="148">
        <f t="shared" si="8"/>
        <v>1846</v>
      </c>
      <c r="J23" s="148">
        <f t="shared" si="8"/>
        <v>134</v>
      </c>
      <c r="K23" s="149">
        <f>SUM(B23:J23)</f>
        <v>3267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[3]Frontier!$HK$47</f>
        <v>0</v>
      </c>
      <c r="C28" s="116">
        <f>'[3]Air Choice One'!$HK$47</f>
        <v>0</v>
      </c>
      <c r="D28" s="128">
        <f>'[3]Aer Lingus'!$HK$47</f>
        <v>0</v>
      </c>
      <c r="E28" s="116">
        <f>'[3]Denver Air'!$HK$47</f>
        <v>0</v>
      </c>
      <c r="F28" s="116">
        <f>'[3]Boutique Air'!$HK$47</f>
        <v>0</v>
      </c>
      <c r="G28" s="144">
        <f>[3]Icelandair!$HK$47</f>
        <v>13913</v>
      </c>
      <c r="H28" s="116">
        <f>[3]Southwest!$HK$47</f>
        <v>242728</v>
      </c>
      <c r="I28" s="116">
        <f>'[3]Sun Country'!$HK$47</f>
        <v>49911</v>
      </c>
      <c r="J28" s="116">
        <f>[3]Alaska!$HK$47</f>
        <v>15996</v>
      </c>
      <c r="K28" s="145">
        <f>SUM(B28:J28)</f>
        <v>322548</v>
      </c>
    </row>
    <row r="29" spans="1:258" x14ac:dyDescent="0.2">
      <c r="A29" s="60" t="s">
        <v>38</v>
      </c>
      <c r="B29" s="144">
        <f>[3]Frontier!$HK$48</f>
        <v>0</v>
      </c>
      <c r="C29" s="116">
        <f>'[3]Air Choice One'!$HK$48</f>
        <v>0</v>
      </c>
      <c r="D29" s="128">
        <f>'[3]Aer Lingus'!$HK$48</f>
        <v>0</v>
      </c>
      <c r="E29" s="116">
        <f>'[3]Denver Air'!$HK$48</f>
        <v>0</v>
      </c>
      <c r="F29" s="116">
        <f>'[3]Boutique Air'!$HK$48</f>
        <v>0</v>
      </c>
      <c r="G29" s="144">
        <f>[3]Icelandair!$HK$48</f>
        <v>0</v>
      </c>
      <c r="H29" s="116">
        <f>[3]Southwest!$HK$48</f>
        <v>0</v>
      </c>
      <c r="I29" s="116">
        <f>'[3]Sun Country'!$HK$48</f>
        <v>153410</v>
      </c>
      <c r="J29" s="116">
        <f>[3]Alaska!$HK$48</f>
        <v>1211</v>
      </c>
      <c r="K29" s="145">
        <f>SUM(B29:J29)</f>
        <v>154621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13913</v>
      </c>
      <c r="H30" s="160">
        <f t="shared" si="10"/>
        <v>242728</v>
      </c>
      <c r="I30" s="160">
        <f t="shared" si="10"/>
        <v>203321</v>
      </c>
      <c r="J30" s="160">
        <f t="shared" si="10"/>
        <v>17207</v>
      </c>
      <c r="K30" s="163">
        <f>SUM(B30:J30)</f>
        <v>477169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[3]Frontier!$HK$52</f>
        <v>0</v>
      </c>
      <c r="C33" s="116">
        <f>'[3]Air Choice One'!$HK$52</f>
        <v>0</v>
      </c>
      <c r="D33" s="128">
        <f>'[3]Aer Lingus'!$HK$52</f>
        <v>0</v>
      </c>
      <c r="E33" s="116">
        <f>'[3]Denver Air'!$HK$52</f>
        <v>0</v>
      </c>
      <c r="F33" s="116">
        <f>'[3]Boutique Air'!$HK$52</f>
        <v>0</v>
      </c>
      <c r="G33" s="144">
        <f>[3]Icelandair!$HK$52</f>
        <v>875</v>
      </c>
      <c r="H33" s="116">
        <f>[3]Southwest!$HK$52</f>
        <v>99585</v>
      </c>
      <c r="I33" s="116">
        <f>'[3]Sun Country'!$HK$52</f>
        <v>0</v>
      </c>
      <c r="J33" s="116">
        <f>[3]Alaska!$HK$52</f>
        <v>8909</v>
      </c>
      <c r="K33" s="145">
        <f>SUM(B33:J33)</f>
        <v>109369</v>
      </c>
    </row>
    <row r="34" spans="1:11" x14ac:dyDescent="0.2">
      <c r="A34" s="60" t="s">
        <v>38</v>
      </c>
      <c r="B34" s="144">
        <f>[3]Frontier!$HK$53</f>
        <v>0</v>
      </c>
      <c r="C34" s="116">
        <f>'[3]Air Choice One'!$HK$53</f>
        <v>0</v>
      </c>
      <c r="D34" s="128">
        <f>'[3]Aer Lingus'!$HK$53</f>
        <v>0</v>
      </c>
      <c r="E34" s="116">
        <f>'[3]Denver Air'!$HK$53</f>
        <v>0</v>
      </c>
      <c r="F34" s="116">
        <f>'[3]Boutique Air'!$HK$53</f>
        <v>0</v>
      </c>
      <c r="G34" s="144">
        <f>[3]Icelandair!$HK$53</f>
        <v>0</v>
      </c>
      <c r="H34" s="116">
        <f>[3]Southwest!$HK$53</f>
        <v>0</v>
      </c>
      <c r="I34" s="116">
        <f>'[3]Sun Country'!$HK$53</f>
        <v>241825</v>
      </c>
      <c r="J34" s="116">
        <f>[3]Alaska!$HK$53</f>
        <v>0</v>
      </c>
      <c r="K34" s="161">
        <f>SUM(B34:J34)</f>
        <v>241825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875</v>
      </c>
      <c r="H35" s="162">
        <f t="shared" si="12"/>
        <v>99585</v>
      </c>
      <c r="I35" s="162">
        <f t="shared" si="12"/>
        <v>241825</v>
      </c>
      <c r="J35" s="162">
        <f t="shared" si="12"/>
        <v>8909</v>
      </c>
      <c r="K35" s="163">
        <f>SUM(B35:J35)</f>
        <v>351194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[3]Frontier!$HK$57</f>
        <v>0</v>
      </c>
      <c r="C38" s="152">
        <f>'[3]Air Choice One'!$HK$57</f>
        <v>0</v>
      </c>
      <c r="D38" s="470">
        <f>'[3]Aer Lingus'!$HK$57</f>
        <v>0</v>
      </c>
      <c r="E38" s="152">
        <f>'[3]Denver Air'!$HK$57</f>
        <v>0</v>
      </c>
      <c r="F38" s="152">
        <f>'[3]Boutique Air'!$HK$57</f>
        <v>0</v>
      </c>
      <c r="G38" s="152">
        <f>[3]Icelandair!$HK$57</f>
        <v>0</v>
      </c>
      <c r="H38" s="152">
        <f>[3]Southwest!$HK$57</f>
        <v>0</v>
      </c>
      <c r="I38" s="152">
        <f>'[3]Sun Country'!$HK$57</f>
        <v>0</v>
      </c>
      <c r="J38" s="152">
        <f>[3]Alaska!$HK$57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[3]Frontier!$HK$58</f>
        <v>0</v>
      </c>
      <c r="C39" s="155">
        <f>'[3]Air Choice One'!$HK$58</f>
        <v>0</v>
      </c>
      <c r="D39" s="155">
        <f>'[3]Aer Lingus'!$HK$58</f>
        <v>0</v>
      </c>
      <c r="E39" s="155">
        <f>'[3]Denver Air'!$HK$58</f>
        <v>0</v>
      </c>
      <c r="F39" s="155">
        <f>'[3]Boutique Air'!$HK$58</f>
        <v>0</v>
      </c>
      <c r="G39" s="155">
        <f>[3]Icelandair!$HK$58</f>
        <v>0</v>
      </c>
      <c r="H39" s="155">
        <f>[3]Southwest!$HK$58</f>
        <v>0</v>
      </c>
      <c r="I39" s="155">
        <f>'[3]Sun Country'!$HK$58</f>
        <v>0</v>
      </c>
      <c r="J39" s="155">
        <f>[3]Alaska!$HK$58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14788</v>
      </c>
      <c r="H43" s="152">
        <f t="shared" si="16"/>
        <v>342313</v>
      </c>
      <c r="I43" s="152">
        <f t="shared" si="16"/>
        <v>49911</v>
      </c>
      <c r="J43" s="152">
        <f t="shared" si="16"/>
        <v>24905</v>
      </c>
      <c r="K43" s="145">
        <f>SUM(B43:J43)</f>
        <v>431917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395235</v>
      </c>
      <c r="J44" s="155">
        <f t="shared" si="18"/>
        <v>1211</v>
      </c>
      <c r="K44" s="145">
        <f>SUM(B44:J44)</f>
        <v>396446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14788</v>
      </c>
      <c r="H45" s="165">
        <f t="shared" si="20"/>
        <v>342313</v>
      </c>
      <c r="I45" s="165">
        <f t="shared" si="20"/>
        <v>445146</v>
      </c>
      <c r="J45" s="165">
        <f t="shared" si="20"/>
        <v>26116</v>
      </c>
      <c r="K45" s="166">
        <f>SUM(B45:J45)</f>
        <v>828363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[3]Southwest!$HK$70+[3]Southwest!$HK$73</f>
        <v>64487</v>
      </c>
      <c r="I48" s="294">
        <f>'[3]Sun Country'!$HK$70+'[3]Sun Country'!$HK$73</f>
        <v>119960</v>
      </c>
      <c r="J48" s="360"/>
      <c r="K48" s="282">
        <f>SUM(B48:J48)</f>
        <v>184447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[3]Southwest!$HK$71+[3]Southwest!$HK$74</f>
        <v>221</v>
      </c>
      <c r="I49" s="294">
        <f>'[3]Sun Country'!$HK$71+'[3]Sun Country'!$HK$74</f>
        <v>0</v>
      </c>
      <c r="J49" s="360"/>
      <c r="K49" s="282">
        <f>SUM(B49:J49)</f>
        <v>221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August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7"/>
  <sheetViews>
    <sheetView zoomScaleNormal="100" zoomScaleSheetLayoutView="115" workbookViewId="0">
      <selection activeCell="E18" sqref="E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5" s="7" customFormat="1" x14ac:dyDescent="0.2">
      <c r="A1" s="358"/>
    </row>
    <row r="2" spans="1:15" s="7" customFormat="1" ht="51.75" thickBot="1" x14ac:dyDescent="0.25">
      <c r="A2" s="351">
        <v>44409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5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5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5" x14ac:dyDescent="0.2">
      <c r="A5" s="60" t="s">
        <v>30</v>
      </c>
      <c r="B5" s="129">
        <f>[3]Pinnacle!$HK$22+[3]Pinnacle!$HK$32</f>
        <v>96947</v>
      </c>
      <c r="C5" s="130">
        <f>[3]MESA_UA!$HK$22</f>
        <v>7841</v>
      </c>
      <c r="D5" s="128">
        <f>'[3]Sky West'!$HK$22+'[3]Sky West'!$HK$32</f>
        <v>159289</v>
      </c>
      <c r="E5" s="128">
        <f>'[3]Sky West_UA'!$HK$22</f>
        <v>4121</v>
      </c>
      <c r="F5" s="128">
        <f>'[3]Sky West_AS'!$HK$22</f>
        <v>0</v>
      </c>
      <c r="G5" s="128">
        <f>'[3]Sky West_AA'!$HK$22</f>
        <v>1276</v>
      </c>
      <c r="H5" s="128">
        <f>[3]Republic!$HK$22</f>
        <v>8607</v>
      </c>
      <c r="I5" s="128">
        <f>[3]Republic_UA!$HK$22</f>
        <v>2379</v>
      </c>
      <c r="J5" s="128">
        <f>'[3]Sky Regional'!$HK$32</f>
        <v>0</v>
      </c>
      <c r="K5" s="128">
        <f>'[3]American Eagle'!$HK$22</f>
        <v>4765</v>
      </c>
      <c r="L5" s="128">
        <f>'Other Regional'!K5</f>
        <v>2833</v>
      </c>
      <c r="M5" s="108">
        <f>SUM(B5:L5)</f>
        <v>288058</v>
      </c>
    </row>
    <row r="6" spans="1:15" s="10" customFormat="1" x14ac:dyDescent="0.2">
      <c r="A6" s="60" t="s">
        <v>31</v>
      </c>
      <c r="B6" s="129">
        <f>[3]Pinnacle!$HK$23+[3]Pinnacle!$HK$33</f>
        <v>100320</v>
      </c>
      <c r="C6" s="130">
        <f>[3]MESA_UA!$HK$23</f>
        <v>7620</v>
      </c>
      <c r="D6" s="128">
        <f>'[3]Sky West'!$HK$23+'[3]Sky West'!$HK$33</f>
        <v>162815</v>
      </c>
      <c r="E6" s="128">
        <f>'[3]Sky West_UA'!$HK$23</f>
        <v>3852</v>
      </c>
      <c r="F6" s="128">
        <f>'[3]Sky West_AS'!$HK$23</f>
        <v>0</v>
      </c>
      <c r="G6" s="128">
        <f>'[3]Sky West_AA'!$HK$23</f>
        <v>1377</v>
      </c>
      <c r="H6" s="128">
        <f>[3]Republic!$HK$23</f>
        <v>9062</v>
      </c>
      <c r="I6" s="128">
        <f>[3]Republic_UA!$HK$23</f>
        <v>2390</v>
      </c>
      <c r="J6" s="128">
        <f>'[3]Sky Regional'!$HK$33</f>
        <v>0</v>
      </c>
      <c r="K6" s="128">
        <f>'[3]American Eagle'!$HK$23</f>
        <v>4701</v>
      </c>
      <c r="L6" s="128">
        <f>'Other Regional'!K6</f>
        <v>2694</v>
      </c>
      <c r="M6" s="113">
        <f>SUM(B6:L6)</f>
        <v>294831</v>
      </c>
    </row>
    <row r="7" spans="1:15" ht="15" thickBot="1" x14ac:dyDescent="0.25">
      <c r="A7" s="71" t="s">
        <v>7</v>
      </c>
      <c r="B7" s="131">
        <f>SUM(B5:B6)</f>
        <v>197267</v>
      </c>
      <c r="C7" s="131">
        <f t="shared" ref="C7:L7" si="0">SUM(C5:C6)</f>
        <v>15461</v>
      </c>
      <c r="D7" s="131">
        <f t="shared" si="0"/>
        <v>322104</v>
      </c>
      <c r="E7" s="131">
        <f t="shared" si="0"/>
        <v>7973</v>
      </c>
      <c r="F7" s="131">
        <f t="shared" ref="F7:G7" si="1">SUM(F5:F6)</f>
        <v>0</v>
      </c>
      <c r="G7" s="131">
        <f t="shared" si="1"/>
        <v>2653</v>
      </c>
      <c r="H7" s="131">
        <f t="shared" si="0"/>
        <v>17669</v>
      </c>
      <c r="I7" s="131">
        <f t="shared" si="0"/>
        <v>4769</v>
      </c>
      <c r="J7" s="131">
        <f t="shared" si="0"/>
        <v>0</v>
      </c>
      <c r="K7" s="131">
        <f t="shared" si="0"/>
        <v>9466</v>
      </c>
      <c r="L7" s="131">
        <f t="shared" si="0"/>
        <v>5527</v>
      </c>
      <c r="M7" s="132">
        <f>SUM(B7:L7)</f>
        <v>582889</v>
      </c>
    </row>
    <row r="8" spans="1:15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5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5" x14ac:dyDescent="0.2">
      <c r="A10" s="60" t="s">
        <v>30</v>
      </c>
      <c r="B10" s="129">
        <f>[3]Pinnacle!$HK$27+[3]Pinnacle!$HK$37</f>
        <v>3706</v>
      </c>
      <c r="C10" s="130">
        <f>[3]MESA_UA!$HK$27</f>
        <v>244</v>
      </c>
      <c r="D10" s="128">
        <f>'[3]Sky West'!$HK$27+'[3]Sky West'!$HK$37</f>
        <v>5344</v>
      </c>
      <c r="E10" s="128">
        <f>'[3]Sky West_UA'!$HK$27</f>
        <v>128</v>
      </c>
      <c r="F10" s="128">
        <f>'[3]Sky West_AS'!$HK$27</f>
        <v>0</v>
      </c>
      <c r="G10" s="128">
        <f>'[3]Sky West_AA'!$HK$27</f>
        <v>78</v>
      </c>
      <c r="H10" s="128">
        <f>[3]Republic!$HK$27</f>
        <v>307</v>
      </c>
      <c r="I10" s="128">
        <f>[3]Republic_UA!$HK$27</f>
        <v>47</v>
      </c>
      <c r="J10" s="128">
        <f>'[3]Sky Regional'!$HK$37</f>
        <v>0</v>
      </c>
      <c r="K10" s="128">
        <f>'[3]American Eagle'!$HK$27</f>
        <v>165</v>
      </c>
      <c r="L10" s="128">
        <f>'Other Regional'!K10</f>
        <v>76</v>
      </c>
      <c r="M10" s="108">
        <f>SUM(B10:L10)</f>
        <v>10095</v>
      </c>
    </row>
    <row r="11" spans="1:15" x14ac:dyDescent="0.2">
      <c r="A11" s="60" t="s">
        <v>33</v>
      </c>
      <c r="B11" s="129">
        <f>[3]Pinnacle!$HK$28+[3]Pinnacle!$HK$38</f>
        <v>3684</v>
      </c>
      <c r="C11" s="130">
        <f>[3]MESA_UA!$HK$28</f>
        <v>299</v>
      </c>
      <c r="D11" s="128">
        <f>'[3]Sky West'!$HK$28+'[3]Sky West'!$HK$38</f>
        <v>5236</v>
      </c>
      <c r="E11" s="128">
        <f>'[3]Sky West_UA'!$HK$28</f>
        <v>190</v>
      </c>
      <c r="F11" s="128">
        <f>'[3]Sky West_AS'!$HK$28</f>
        <v>0</v>
      </c>
      <c r="G11" s="128">
        <f>'[3]Sky West_AA'!$HK$28</f>
        <v>73</v>
      </c>
      <c r="H11" s="128">
        <f>[3]Republic!$HK$28</f>
        <v>237</v>
      </c>
      <c r="I11" s="128">
        <f>[3]Republic_UA!$HK$28</f>
        <v>43</v>
      </c>
      <c r="J11" s="128">
        <f>'[3]Sky Regional'!$HK$38</f>
        <v>0</v>
      </c>
      <c r="K11" s="128">
        <f>'[3]American Eagle'!$HK$28</f>
        <v>170</v>
      </c>
      <c r="L11" s="128">
        <f>'Other Regional'!K11</f>
        <v>81</v>
      </c>
      <c r="M11" s="113">
        <f>SUM(B11:L11)</f>
        <v>10013</v>
      </c>
    </row>
    <row r="12" spans="1:15" ht="15" thickBot="1" x14ac:dyDescent="0.25">
      <c r="A12" s="72" t="s">
        <v>34</v>
      </c>
      <c r="B12" s="134">
        <f t="shared" ref="B12:L12" si="2">SUM(B10:B11)</f>
        <v>7390</v>
      </c>
      <c r="C12" s="134">
        <f t="shared" si="2"/>
        <v>543</v>
      </c>
      <c r="D12" s="134">
        <f t="shared" si="2"/>
        <v>10580</v>
      </c>
      <c r="E12" s="134">
        <f t="shared" si="2"/>
        <v>318</v>
      </c>
      <c r="F12" s="134">
        <f t="shared" ref="F12:G12" si="3">SUM(F10:F11)</f>
        <v>0</v>
      </c>
      <c r="G12" s="134">
        <f t="shared" si="3"/>
        <v>151</v>
      </c>
      <c r="H12" s="134">
        <f t="shared" si="2"/>
        <v>544</v>
      </c>
      <c r="I12" s="134">
        <f t="shared" si="2"/>
        <v>90</v>
      </c>
      <c r="J12" s="134">
        <f t="shared" si="2"/>
        <v>0</v>
      </c>
      <c r="K12" s="134">
        <f t="shared" si="2"/>
        <v>335</v>
      </c>
      <c r="L12" s="134">
        <f t="shared" si="2"/>
        <v>157</v>
      </c>
      <c r="M12" s="135">
        <f>SUM(B12:L12)</f>
        <v>20108</v>
      </c>
    </row>
    <row r="13" spans="1:15" ht="13.5" thickBot="1" x14ac:dyDescent="0.25"/>
    <row r="14" spans="1:15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5" x14ac:dyDescent="0.2">
      <c r="A15" s="60" t="s">
        <v>53</v>
      </c>
      <c r="B15" s="20">
        <f>[3]Pinnacle!$HK$4+[3]Pinnacle!$HK$15</f>
        <v>1993</v>
      </c>
      <c r="C15" s="106">
        <f>[3]MESA_UA!$HK$4</f>
        <v>121</v>
      </c>
      <c r="D15" s="104">
        <f>'[3]Sky West'!$HK$4+'[3]Sky West'!$HK$15</f>
        <v>3241</v>
      </c>
      <c r="E15" s="104">
        <f>'[3]Sky West_UA'!$HK$4</f>
        <v>65</v>
      </c>
      <c r="F15" s="104">
        <f>'[3]Sky West_AS'!$HK$4</f>
        <v>0</v>
      </c>
      <c r="G15" s="104">
        <f>'[3]Sky West_AA'!$HK$4</f>
        <v>25</v>
      </c>
      <c r="H15" s="107">
        <f>[3]Republic!$HK$4</f>
        <v>133</v>
      </c>
      <c r="I15" s="425">
        <f>[3]Republic_UA!$HK$4</f>
        <v>35</v>
      </c>
      <c r="J15" s="425">
        <f>'[3]Sky Regional'!$HK$15</f>
        <v>0</v>
      </c>
      <c r="K15" s="107">
        <f>'[3]American Eagle'!$HK$4</f>
        <v>71</v>
      </c>
      <c r="L15" s="105">
        <f>'Other Regional'!K15</f>
        <v>43</v>
      </c>
      <c r="M15" s="108">
        <f t="shared" ref="M15:M21" si="5">SUM(B15:L15)</f>
        <v>5727</v>
      </c>
    </row>
    <row r="16" spans="1:15" x14ac:dyDescent="0.2">
      <c r="A16" s="60" t="s">
        <v>54</v>
      </c>
      <c r="B16" s="13">
        <f>[3]Pinnacle!$HK$5+[3]Pinnacle!$HK$16</f>
        <v>1988</v>
      </c>
      <c r="C16" s="111">
        <f>[3]MESA_UA!$HK$5</f>
        <v>121</v>
      </c>
      <c r="D16" s="109">
        <f>'[3]Sky West'!$HK$5+'[3]Sky West'!$HK$16</f>
        <v>3239</v>
      </c>
      <c r="E16" s="109">
        <f>'[3]Sky West_UA'!$HK$5</f>
        <v>65</v>
      </c>
      <c r="F16" s="109">
        <f>'[3]Sky West_AS'!$HK$5</f>
        <v>0</v>
      </c>
      <c r="G16" s="109">
        <f>'[3]Sky West_AA'!$HK$5</f>
        <v>25</v>
      </c>
      <c r="H16" s="112">
        <f>[3]Republic!$HK$5</f>
        <v>133</v>
      </c>
      <c r="I16" s="269">
        <f>[3]Republic_UA!$HK$5</f>
        <v>35</v>
      </c>
      <c r="J16" s="269">
        <f>'[3]Sky Regional'!$HK$16</f>
        <v>0</v>
      </c>
      <c r="K16" s="112">
        <f>'[3]American Eagle'!$HK$5</f>
        <v>72</v>
      </c>
      <c r="L16" s="110">
        <f>'Other Regional'!K16</f>
        <v>43</v>
      </c>
      <c r="M16" s="113">
        <f t="shared" si="5"/>
        <v>5721</v>
      </c>
      <c r="O16" s="128"/>
    </row>
    <row r="17" spans="1:13" x14ac:dyDescent="0.2">
      <c r="A17" s="69" t="s">
        <v>55</v>
      </c>
      <c r="B17" s="114">
        <f t="shared" ref="B17:E17" si="6">SUM(B15:B16)</f>
        <v>3981</v>
      </c>
      <c r="C17" s="114">
        <f t="shared" si="6"/>
        <v>242</v>
      </c>
      <c r="D17" s="114">
        <f t="shared" si="6"/>
        <v>6480</v>
      </c>
      <c r="E17" s="114">
        <f t="shared" si="6"/>
        <v>130</v>
      </c>
      <c r="F17" s="114">
        <f t="shared" ref="F17:G17" si="7">SUM(F15:F16)</f>
        <v>0</v>
      </c>
      <c r="G17" s="114">
        <f t="shared" si="7"/>
        <v>50</v>
      </c>
      <c r="H17" s="114">
        <f>SUM(H15:H16)</f>
        <v>266</v>
      </c>
      <c r="I17" s="114">
        <f t="shared" ref="I17:J17" si="8">SUM(I15:I16)</f>
        <v>70</v>
      </c>
      <c r="J17" s="114">
        <f t="shared" si="8"/>
        <v>0</v>
      </c>
      <c r="K17" s="114">
        <f>SUM(K15:K16)</f>
        <v>143</v>
      </c>
      <c r="L17" s="114">
        <f>SUM(L15:L16)</f>
        <v>86</v>
      </c>
      <c r="M17" s="115">
        <f t="shared" si="5"/>
        <v>11448</v>
      </c>
    </row>
    <row r="18" spans="1:13" x14ac:dyDescent="0.2">
      <c r="A18" s="60" t="s">
        <v>56</v>
      </c>
      <c r="B18" s="116">
        <f>[3]Pinnacle!$HK$8</f>
        <v>3</v>
      </c>
      <c r="C18" s="117">
        <f>[3]MESA_UA!$HK$8</f>
        <v>0</v>
      </c>
      <c r="D18" s="116">
        <f>'[3]Sky West'!$HK$8</f>
        <v>1</v>
      </c>
      <c r="E18" s="116">
        <f>'[3]Sky West_UA'!$HK$8</f>
        <v>0</v>
      </c>
      <c r="F18" s="116">
        <f>'[3]Sky West_AS'!$HK$8</f>
        <v>0</v>
      </c>
      <c r="G18" s="116">
        <f>'[3]Sky West_AA'!$HK$8</f>
        <v>0</v>
      </c>
      <c r="H18" s="116">
        <f>[3]Republic!$HK$8</f>
        <v>0</v>
      </c>
      <c r="I18" s="116">
        <f>[3]Republic_UA!$HK$8</f>
        <v>0</v>
      </c>
      <c r="J18" s="116">
        <f>'[3]Sky Regional'!$HK$8</f>
        <v>0</v>
      </c>
      <c r="K18" s="116">
        <f>'[3]American Eagle'!$HK$8</f>
        <v>0</v>
      </c>
      <c r="L18" s="116">
        <f>'Other Regional'!K18</f>
        <v>0</v>
      </c>
      <c r="M18" s="108">
        <f t="shared" si="5"/>
        <v>4</v>
      </c>
    </row>
    <row r="19" spans="1:13" x14ac:dyDescent="0.2">
      <c r="A19" s="60" t="s">
        <v>57</v>
      </c>
      <c r="B19" s="118">
        <f>[3]Pinnacle!$HK$9</f>
        <v>3</v>
      </c>
      <c r="C19" s="119">
        <f>[3]MESA_UA!$HK$9</f>
        <v>0</v>
      </c>
      <c r="D19" s="118">
        <f>'[3]Sky West'!$HK$9</f>
        <v>3</v>
      </c>
      <c r="E19" s="118">
        <f>'[3]Sky West_UA'!$HK$9</f>
        <v>0</v>
      </c>
      <c r="F19" s="118">
        <f>'[3]Sky West_AS'!$HK$9</f>
        <v>0</v>
      </c>
      <c r="G19" s="118">
        <f>'[3]Sky West_AA'!$HK$9</f>
        <v>0</v>
      </c>
      <c r="H19" s="118">
        <f>[3]Republic!$HK$9</f>
        <v>0</v>
      </c>
      <c r="I19" s="118">
        <f>[3]Republic_UA!$HK$9</f>
        <v>0</v>
      </c>
      <c r="J19" s="118">
        <f>'[3]Sky Regional'!$HK$9</f>
        <v>0</v>
      </c>
      <c r="K19" s="118">
        <f>'[3]American Eagle'!$HK$9</f>
        <v>0</v>
      </c>
      <c r="L19" s="118">
        <f>'Other Regional'!K19</f>
        <v>0</v>
      </c>
      <c r="M19" s="113">
        <f t="shared" si="5"/>
        <v>6</v>
      </c>
    </row>
    <row r="20" spans="1:13" x14ac:dyDescent="0.2">
      <c r="A20" s="69" t="s">
        <v>58</v>
      </c>
      <c r="B20" s="114">
        <f t="shared" ref="B20:L20" si="9">SUM(B18:B19)</f>
        <v>6</v>
      </c>
      <c r="C20" s="114">
        <f t="shared" si="9"/>
        <v>0</v>
      </c>
      <c r="D20" s="114">
        <f t="shared" si="9"/>
        <v>4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10</v>
      </c>
    </row>
    <row r="21" spans="1:13" ht="15.75" thickBot="1" x14ac:dyDescent="0.3">
      <c r="A21" s="70" t="s">
        <v>28</v>
      </c>
      <c r="B21" s="120">
        <f>SUM(B20,B17)</f>
        <v>3987</v>
      </c>
      <c r="C21" s="120">
        <f t="shared" ref="C21:K21" si="11">SUM(C20,C17)</f>
        <v>242</v>
      </c>
      <c r="D21" s="120">
        <f t="shared" si="11"/>
        <v>6484</v>
      </c>
      <c r="E21" s="120">
        <f t="shared" si="11"/>
        <v>130</v>
      </c>
      <c r="F21" s="120">
        <f t="shared" ref="F21:G21" si="12">SUM(F20,F17)</f>
        <v>0</v>
      </c>
      <c r="G21" s="120">
        <f t="shared" si="12"/>
        <v>50</v>
      </c>
      <c r="H21" s="120">
        <f t="shared" si="11"/>
        <v>266</v>
      </c>
      <c r="I21" s="120">
        <f t="shared" si="11"/>
        <v>70</v>
      </c>
      <c r="J21" s="120">
        <f t="shared" si="11"/>
        <v>0</v>
      </c>
      <c r="K21" s="120">
        <f t="shared" si="11"/>
        <v>143</v>
      </c>
      <c r="L21" s="120">
        <f>SUM(L20,L17)</f>
        <v>86</v>
      </c>
      <c r="M21" s="121">
        <f t="shared" si="5"/>
        <v>11458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[3]Pinnacle!$HK$47</f>
        <v>0</v>
      </c>
      <c r="C25" s="130">
        <f>[3]MESA_UA!$HK$47</f>
        <v>0</v>
      </c>
      <c r="D25" s="128">
        <f>'[3]Sky West'!$HK$47</f>
        <v>0</v>
      </c>
      <c r="E25" s="128">
        <f>'[3]Sky West_UA'!$HK$47</f>
        <v>0</v>
      </c>
      <c r="F25" s="128">
        <f>'[3]Sky West_AS'!$HK$47</f>
        <v>0</v>
      </c>
      <c r="G25" s="128">
        <f>'[3]Sky West_AA'!$HK$47</f>
        <v>14</v>
      </c>
      <c r="H25" s="128">
        <f>[3]Republic!$HK$47</f>
        <v>0</v>
      </c>
      <c r="I25" s="128">
        <f>[3]Republic_UA!$HK$47</f>
        <v>0</v>
      </c>
      <c r="J25" s="128">
        <f>'[3]Sky Regional'!$HK$47</f>
        <v>0</v>
      </c>
      <c r="K25" s="128">
        <f>'[3]American Eagle'!$HK$47</f>
        <v>405</v>
      </c>
      <c r="L25" s="128">
        <f>'Other Regional'!K25</f>
        <v>1890</v>
      </c>
      <c r="M25" s="108">
        <f>SUM(B25:L25)</f>
        <v>2309</v>
      </c>
    </row>
    <row r="26" spans="1:13" x14ac:dyDescent="0.2">
      <c r="A26" s="73" t="s">
        <v>38</v>
      </c>
      <c r="B26" s="128">
        <f>[3]Pinnacle!$HK$48</f>
        <v>0</v>
      </c>
      <c r="C26" s="130">
        <f>[3]MESA_UA!$HK$48</f>
        <v>0</v>
      </c>
      <c r="D26" s="128">
        <f>'[3]Sky West'!$HK$48</f>
        <v>0</v>
      </c>
      <c r="E26" s="128">
        <f>'[3]Sky West_UA'!$HK$48</f>
        <v>0</v>
      </c>
      <c r="F26" s="128">
        <f>'[3]Sky West_AS'!$HK$48</f>
        <v>0</v>
      </c>
      <c r="G26" s="128">
        <f>'[3]Sky West_AA'!$HK$48</f>
        <v>0</v>
      </c>
      <c r="H26" s="128">
        <f>[3]Republic!$HK$48</f>
        <v>0</v>
      </c>
      <c r="I26" s="128">
        <f>[3]Republic_UA!$HK$48</f>
        <v>0</v>
      </c>
      <c r="J26" s="128">
        <f>'[3]Sky Regional'!$HK$48</f>
        <v>0</v>
      </c>
      <c r="K26" s="128">
        <f>'[3]American Eagle'!$HK$48</f>
        <v>0</v>
      </c>
      <c r="L26" s="128">
        <f>'Other Regional'!K26</f>
        <v>0</v>
      </c>
      <c r="M26" s="108">
        <f>SUM(B26:L26)</f>
        <v>0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14</v>
      </c>
      <c r="H27" s="131">
        <f t="shared" si="13"/>
        <v>0</v>
      </c>
      <c r="I27" s="131">
        <f t="shared" si="13"/>
        <v>0</v>
      </c>
      <c r="J27" s="131">
        <f t="shared" si="13"/>
        <v>0</v>
      </c>
      <c r="K27" s="131">
        <f t="shared" si="13"/>
        <v>405</v>
      </c>
      <c r="L27" s="131">
        <f t="shared" si="13"/>
        <v>1890</v>
      </c>
      <c r="M27" s="132">
        <f>SUM(B27:L27)</f>
        <v>2309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[3]Pinnacle!$HK$52</f>
        <v>0</v>
      </c>
      <c r="C30" s="130">
        <f>[3]MESA_UA!$HK$52</f>
        <v>0</v>
      </c>
      <c r="D30" s="128">
        <f>'[3]Sky West'!$HK$52</f>
        <v>0</v>
      </c>
      <c r="E30" s="128">
        <f>'[3]Sky West_UA'!$HK$52</f>
        <v>0</v>
      </c>
      <c r="F30" s="128">
        <f>'[3]Sky West_AS'!$HK$52</f>
        <v>0</v>
      </c>
      <c r="G30" s="128">
        <f>'[3]Sky West_AA'!$HK$52</f>
        <v>0</v>
      </c>
      <c r="H30" s="128">
        <f>[3]Republic!$HK$52</f>
        <v>629</v>
      </c>
      <c r="I30" s="128">
        <f>[3]Republic_UA!$HK$52</f>
        <v>0</v>
      </c>
      <c r="J30" s="128">
        <f>'[3]Sky Regional'!$HK$52</f>
        <v>0</v>
      </c>
      <c r="K30" s="128">
        <f>'[3]American Eagle'!$HK$52</f>
        <v>432</v>
      </c>
      <c r="L30" s="128">
        <f>'Other Regional'!K30</f>
        <v>215</v>
      </c>
      <c r="M30" s="108">
        <f t="shared" ref="M30:M37" si="15">SUM(B30:L30)</f>
        <v>1276</v>
      </c>
    </row>
    <row r="31" spans="1:13" x14ac:dyDescent="0.2">
      <c r="A31" s="73" t="s">
        <v>60</v>
      </c>
      <c r="B31" s="128">
        <f>[3]Pinnacle!$HK$53</f>
        <v>0</v>
      </c>
      <c r="C31" s="130">
        <f>[3]MESA_UA!$HK$53</f>
        <v>0</v>
      </c>
      <c r="D31" s="128">
        <f>'[3]Sky West'!$HK$53</f>
        <v>0</v>
      </c>
      <c r="E31" s="128">
        <f>'[3]Sky West_UA'!$HK$53</f>
        <v>0</v>
      </c>
      <c r="F31" s="128">
        <f>'[3]Sky West_AS'!$HK$53</f>
        <v>0</v>
      </c>
      <c r="G31" s="128">
        <f>'[3]Sky West_AA'!$HK$53</f>
        <v>0</v>
      </c>
      <c r="H31" s="128">
        <f>[3]Republic!$HK$53</f>
        <v>0</v>
      </c>
      <c r="I31" s="128">
        <f>[3]Republic_UA!$HK$53</f>
        <v>0</v>
      </c>
      <c r="J31" s="128">
        <f>'[3]Sky Regional'!$HK$53</f>
        <v>0</v>
      </c>
      <c r="K31" s="128">
        <f>'[3]American Eagle'!$HK$53</f>
        <v>0</v>
      </c>
      <c r="L31" s="128">
        <f>'Other Regional'!K31</f>
        <v>954</v>
      </c>
      <c r="M31" s="108">
        <f t="shared" si="15"/>
        <v>954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0</v>
      </c>
      <c r="H32" s="131">
        <f t="shared" si="16"/>
        <v>629</v>
      </c>
      <c r="I32" s="131">
        <f t="shared" si="16"/>
        <v>0</v>
      </c>
      <c r="J32" s="131">
        <f t="shared" si="16"/>
        <v>0</v>
      </c>
      <c r="K32" s="131">
        <f t="shared" si="16"/>
        <v>432</v>
      </c>
      <c r="L32" s="131">
        <f>SUM(L30:L31)</f>
        <v>1169</v>
      </c>
      <c r="M32" s="132">
        <f t="shared" si="15"/>
        <v>2230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[3]Pinnacle!$HK$57</f>
        <v>0</v>
      </c>
      <c r="C35" s="130">
        <f>[3]MESA_UA!$HK$57</f>
        <v>0</v>
      </c>
      <c r="D35" s="128">
        <f>'[3]Sky West'!$HK$57</f>
        <v>0</v>
      </c>
      <c r="E35" s="128">
        <f>'[3]Sky West_UA'!$HK$57</f>
        <v>0</v>
      </c>
      <c r="F35" s="128">
        <f>'[3]Sky West_AS'!$HK$57</f>
        <v>0</v>
      </c>
      <c r="G35" s="128">
        <f>'[3]Sky West_AA'!$HK$57</f>
        <v>0</v>
      </c>
      <c r="H35" s="128">
        <f>[3]Republic!$HK$57</f>
        <v>0</v>
      </c>
      <c r="I35" s="128">
        <f>[3]Republic!$HK$57</f>
        <v>0</v>
      </c>
      <c r="J35" s="128">
        <f>[3]Republic!$HK$57</f>
        <v>0</v>
      </c>
      <c r="K35" s="128">
        <f>'[3]American Eagle'!$HK$57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[3]Pinnacle!$HK$58</f>
        <v>0</v>
      </c>
      <c r="C36" s="130">
        <f>[3]MESA_UA!$HK$58</f>
        <v>0</v>
      </c>
      <c r="D36" s="128">
        <f>'[3]Sky West'!$HK$58</f>
        <v>0</v>
      </c>
      <c r="E36" s="128">
        <f>'[3]Sky West_UA'!$HK$58</f>
        <v>0</v>
      </c>
      <c r="F36" s="128">
        <f>'[3]Sky West_AS'!$HK$58</f>
        <v>0</v>
      </c>
      <c r="G36" s="128">
        <f>'[3]Sky West_AA'!$HK$58</f>
        <v>0</v>
      </c>
      <c r="H36" s="128">
        <f>[3]Republic!$HK$58</f>
        <v>0</v>
      </c>
      <c r="I36" s="128">
        <f>[3]Republic!$HK$58</f>
        <v>0</v>
      </c>
      <c r="J36" s="128">
        <f>[3]Republic!$HK$58</f>
        <v>0</v>
      </c>
      <c r="K36" s="128">
        <f>'[3]American Eagle'!$HK$58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14</v>
      </c>
      <c r="H40" s="128">
        <f t="shared" si="20"/>
        <v>629</v>
      </c>
      <c r="I40" s="128">
        <f t="shared" si="20"/>
        <v>0</v>
      </c>
      <c r="J40" s="128">
        <f t="shared" si="20"/>
        <v>0</v>
      </c>
      <c r="K40" s="128">
        <f>SUM(K35,K30,K25)</f>
        <v>837</v>
      </c>
      <c r="L40" s="128">
        <f>L35+L30+L25</f>
        <v>2105</v>
      </c>
      <c r="M40" s="108">
        <f>SUM(B40:L40)</f>
        <v>3585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954</v>
      </c>
      <c r="M41" s="108">
        <f>SUM(B41:L41)</f>
        <v>954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14</v>
      </c>
      <c r="H42" s="134">
        <f t="shared" si="20"/>
        <v>629</v>
      </c>
      <c r="I42" s="134">
        <f t="shared" si="20"/>
        <v>0</v>
      </c>
      <c r="J42" s="134">
        <f t="shared" si="20"/>
        <v>0</v>
      </c>
      <c r="K42" s="134">
        <f>SUM(K37,K32,K27)</f>
        <v>837</v>
      </c>
      <c r="L42" s="134">
        <f>SUM(L37,L32,L27)</f>
        <v>3059</v>
      </c>
      <c r="M42" s="135">
        <f>SUM(B42:L42)</f>
        <v>4539</v>
      </c>
    </row>
    <row r="44" spans="1:13" x14ac:dyDescent="0.2">
      <c r="A44" s="348" t="s">
        <v>121</v>
      </c>
      <c r="B44" s="293">
        <f>[3]Pinnacle!$HK$70+[3]Pinnacle!$HK$73</f>
        <v>33835</v>
      </c>
      <c r="D44" s="294">
        <f>'[3]Sky West'!$HK$70+'[3]Sky West'!$HK$73</f>
        <v>61254</v>
      </c>
      <c r="E44" s="5"/>
      <c r="F44" s="5"/>
      <c r="G44" s="5"/>
      <c r="L44" s="294">
        <f>+'Other Regional'!K46</f>
        <v>0</v>
      </c>
      <c r="M44" s="282">
        <f>SUM(B44:L44)</f>
        <v>95089</v>
      </c>
    </row>
    <row r="45" spans="1:13" x14ac:dyDescent="0.2">
      <c r="A45" s="362" t="s">
        <v>122</v>
      </c>
      <c r="B45" s="293">
        <f>[3]Pinnacle!$HK$71+[3]Pinnacle!$HK$74</f>
        <v>66485</v>
      </c>
      <c r="D45" s="294">
        <f>'[3]Sky West'!$HK$71+'[3]Sky West'!$HK$74</f>
        <v>101561</v>
      </c>
      <c r="E45" s="5"/>
      <c r="F45" s="5"/>
      <c r="G45" s="5"/>
      <c r="L45" s="294">
        <f>+'Other Regional'!K47</f>
        <v>0</v>
      </c>
      <c r="M45" s="282">
        <f>SUM(B45:L45)</f>
        <v>168046</v>
      </c>
    </row>
    <row r="46" spans="1:13" x14ac:dyDescent="0.2">
      <c r="A46" s="284" t="s">
        <v>123</v>
      </c>
      <c r="B46" s="285">
        <f>SUM(B44:B45)</f>
        <v>100320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August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C10" sqref="C10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44409</v>
      </c>
      <c r="B2" s="464" t="s">
        <v>171</v>
      </c>
      <c r="C2" s="464" t="s">
        <v>170</v>
      </c>
      <c r="D2" s="464" t="s">
        <v>197</v>
      </c>
      <c r="E2" s="464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America'!$HK$22</f>
        <v>0</v>
      </c>
      <c r="C5" s="129">
        <f>'[3]Shuttle America_Delta'!$HK$22</f>
        <v>0</v>
      </c>
      <c r="D5" s="426">
        <f>[3]Horizon_AS!$HK$22+[3]Horizon_AS!$HK$32</f>
        <v>2047</v>
      </c>
      <c r="E5" s="426">
        <f>'[3]Air Wisconsin'!$HK$22</f>
        <v>0</v>
      </c>
      <c r="F5" s="426">
        <f>[3]PSA!$HK$22</f>
        <v>786</v>
      </c>
      <c r="G5" s="129">
        <f>'[3]Atlantic Southeast'!$HK$22+'[3]Atlantic Southeast'!$HK$32</f>
        <v>0</v>
      </c>
      <c r="H5" s="129">
        <f>'[3]Continental Express'!$HK$22</f>
        <v>0</v>
      </c>
      <c r="I5" s="128">
        <f>'[3]Go Jet_UA'!$HK$22</f>
        <v>0</v>
      </c>
      <c r="J5" s="20">
        <f>'[3]Go Jet'!$HK$22+'[3]Go Jet'!$HK$32</f>
        <v>0</v>
      </c>
      <c r="K5" s="108">
        <f>SUM(B5:J5)</f>
        <v>2833</v>
      </c>
    </row>
    <row r="6" spans="1:11" s="10" customFormat="1" x14ac:dyDescent="0.2">
      <c r="A6" s="60" t="s">
        <v>31</v>
      </c>
      <c r="B6" s="129">
        <f>'[3]Shuttle America'!$HK$23</f>
        <v>0</v>
      </c>
      <c r="C6" s="129">
        <f>'[3]Shuttle America_Delta'!$HK$23</f>
        <v>0</v>
      </c>
      <c r="D6" s="426">
        <f>[3]Horizon_AS!$HK$23+[3]Horizon_AS!$HK$33</f>
        <v>2075</v>
      </c>
      <c r="E6" s="426">
        <f>'[3]Air Wisconsin'!$HK$23</f>
        <v>0</v>
      </c>
      <c r="F6" s="426">
        <f>[3]PSA!$HK$23</f>
        <v>619</v>
      </c>
      <c r="G6" s="129">
        <f>'[3]Atlantic Southeast'!$HK$23+'[3]Atlantic Southeast'!$HK$33</f>
        <v>0</v>
      </c>
      <c r="H6" s="129">
        <f>'[3]Continental Express'!$HK$23</f>
        <v>0</v>
      </c>
      <c r="I6" s="128">
        <f>'[3]Go Jet_UA'!$HK$23</f>
        <v>0</v>
      </c>
      <c r="J6" s="13">
        <f>'[3]Go Jet'!$HK$23+'[3]Go Jet'!$HK$33</f>
        <v>0</v>
      </c>
      <c r="K6" s="113">
        <f>SUM(B6:J6)</f>
        <v>2694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4122</v>
      </c>
      <c r="E7" s="131">
        <f t="shared" si="1"/>
        <v>0</v>
      </c>
      <c r="F7" s="131">
        <f t="shared" si="0"/>
        <v>1405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5527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America'!$HK$27</f>
        <v>0</v>
      </c>
      <c r="C10" s="129">
        <f>'[3]Shuttle America_Delta'!$HK$27</f>
        <v>0</v>
      </c>
      <c r="D10" s="426">
        <f>[3]Horizon_AS!$HK$27+[3]Horizon_AS!$HK$37</f>
        <v>63</v>
      </c>
      <c r="E10" s="426">
        <f>'[3]Air Wisconsin'!$HK$27</f>
        <v>0</v>
      </c>
      <c r="F10" s="426">
        <f>[3]PSA!$HK$27</f>
        <v>13</v>
      </c>
      <c r="G10" s="20">
        <f>'[3]Atlantic Southeast'!$HK$27+'[3]Atlantic Southeast'!$HK$37</f>
        <v>0</v>
      </c>
      <c r="H10" s="129">
        <f>'[3]Continental Express'!$HK$27</f>
        <v>0</v>
      </c>
      <c r="I10" s="128">
        <f>'[3]Go Jet_UA'!$HK$27</f>
        <v>0</v>
      </c>
      <c r="J10" s="20">
        <f>'[3]Go Jet'!$HK$27+'[3]Go Jet'!$HK$37</f>
        <v>0</v>
      </c>
      <c r="K10" s="108">
        <f>SUM(B10:J10)</f>
        <v>76</v>
      </c>
    </row>
    <row r="11" spans="1:11" x14ac:dyDescent="0.2">
      <c r="A11" s="60" t="s">
        <v>33</v>
      </c>
      <c r="B11" s="129">
        <f>'[3]Shuttle America'!$HK$28</f>
        <v>0</v>
      </c>
      <c r="C11" s="129">
        <f>'[3]Shuttle America_Delta'!$HK$28</f>
        <v>0</v>
      </c>
      <c r="D11" s="426">
        <f>[3]Horizon_AS!$HK$28+[3]Horizon_AS!$HK$38</f>
        <v>61</v>
      </c>
      <c r="E11" s="426">
        <f>'[3]Air Wisconsin'!$HK$28</f>
        <v>0</v>
      </c>
      <c r="F11" s="426">
        <f>[3]PSA!$HK$28</f>
        <v>20</v>
      </c>
      <c r="G11" s="13">
        <f>'[3]Atlantic Southeast'!$HK$28+'[3]Atlantic Southeast'!$HK$38</f>
        <v>0</v>
      </c>
      <c r="H11" s="129">
        <f>'[3]Continental Express'!$HK$28</f>
        <v>0</v>
      </c>
      <c r="I11" s="128">
        <f>'[3]Go Jet_UA'!$HK$28</f>
        <v>0</v>
      </c>
      <c r="J11" s="13">
        <f>'[3]Go Jet'!$HK$28+'[3]Go Jet'!$HK$38</f>
        <v>0</v>
      </c>
      <c r="K11" s="113">
        <f>SUM(B11:J11)</f>
        <v>81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124</v>
      </c>
      <c r="E12" s="134">
        <f t="shared" ref="E12" si="3">SUM(E10:E11)</f>
        <v>0</v>
      </c>
      <c r="F12" s="134">
        <f t="shared" si="2"/>
        <v>33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157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America'!$HK$4</f>
        <v>0</v>
      </c>
      <c r="C15" s="104">
        <f>'[3]Shuttle America_Delta'!$HK$4</f>
        <v>0</v>
      </c>
      <c r="D15" s="427">
        <f>[3]Horizon_AS!$HK$4</f>
        <v>30</v>
      </c>
      <c r="E15" s="427">
        <f>'[3]Air Wisconsin'!$HK$4</f>
        <v>0</v>
      </c>
      <c r="F15" s="427">
        <f>[3]PSA!$HK$4</f>
        <v>13</v>
      </c>
      <c r="G15" s="105">
        <f>'[3]Atlantic Southeast'!$HK$4+'[3]Atlantic Southeast'!$HK$15</f>
        <v>0</v>
      </c>
      <c r="H15" s="105">
        <f>'[3]Continental Express'!$HK$4</f>
        <v>0</v>
      </c>
      <c r="I15" s="104">
        <f>'[3]Go Jet_UA'!$HK$4</f>
        <v>0</v>
      </c>
      <c r="J15" s="20">
        <f>'[3]Go Jet'!$HK$4+'[3]Go Jet'!$HK$15</f>
        <v>0</v>
      </c>
      <c r="K15" s="108">
        <f t="shared" ref="K15:K21" si="6">SUM(B15:J15)</f>
        <v>43</v>
      </c>
    </row>
    <row r="16" spans="1:11" x14ac:dyDescent="0.2">
      <c r="A16" s="60" t="s">
        <v>54</v>
      </c>
      <c r="B16" s="109">
        <f>'[3]Shuttle America'!$HK$5</f>
        <v>0</v>
      </c>
      <c r="C16" s="109">
        <f>'[3]Shuttle America_Delta'!$HK$5</f>
        <v>0</v>
      </c>
      <c r="D16" s="428">
        <f>[3]Horizon_AS!$HK$5</f>
        <v>30</v>
      </c>
      <c r="E16" s="428">
        <f>'[3]Air Wisconsin'!$HK$5</f>
        <v>0</v>
      </c>
      <c r="F16" s="428">
        <f>[3]PSA!$HK$5</f>
        <v>13</v>
      </c>
      <c r="G16" s="110">
        <f>'[3]Atlantic Southeast'!$HK$5+'[3]Atlantic Southeast'!$HK$16</f>
        <v>0</v>
      </c>
      <c r="H16" s="110">
        <f>'[3]Continental Express'!$HK$5</f>
        <v>0</v>
      </c>
      <c r="I16" s="109">
        <f>'[3]Go Jet_UA'!$HK$5</f>
        <v>0</v>
      </c>
      <c r="J16" s="13">
        <f>'[3]Go Jet'!$HK$5+'[3]Go Jet'!$HK$16</f>
        <v>0</v>
      </c>
      <c r="K16" s="113">
        <f t="shared" si="6"/>
        <v>43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60</v>
      </c>
      <c r="E17" s="114">
        <f t="shared" ref="E17" si="8">SUM(E15:E16)</f>
        <v>0</v>
      </c>
      <c r="F17" s="114">
        <f t="shared" si="7"/>
        <v>26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86</v>
      </c>
    </row>
    <row r="18" spans="1:14" x14ac:dyDescent="0.2">
      <c r="A18" s="60" t="s">
        <v>56</v>
      </c>
      <c r="B18" s="116">
        <f>'[3]Shuttle America'!$HK$8</f>
        <v>0</v>
      </c>
      <c r="C18" s="116">
        <f>'[3]Shuttle America_Delta'!$HK$8</f>
        <v>0</v>
      </c>
      <c r="D18" s="116">
        <f>[3]Horizon_AS!$HK$8</f>
        <v>0</v>
      </c>
      <c r="E18" s="116">
        <f>'[3]Air Wisconsin'!$HK$8</f>
        <v>0</v>
      </c>
      <c r="F18" s="116">
        <f>[3]PSA!$HK$8</f>
        <v>0</v>
      </c>
      <c r="G18" s="107">
        <f>'[3]Atlantic Southeast'!$HK$8</f>
        <v>0</v>
      </c>
      <c r="H18" s="107">
        <f>'[3]Continental Express'!$HK$8</f>
        <v>0</v>
      </c>
      <c r="I18" s="116">
        <f>'[3]Go Jet_UA'!$HK$8</f>
        <v>0</v>
      </c>
      <c r="J18" s="20">
        <f>'[3]Go Jet'!$HK$8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America'!$HK$9</f>
        <v>0</v>
      </c>
      <c r="C19" s="118">
        <f>'[3]Shuttle America_Delta'!$HK$9</f>
        <v>0</v>
      </c>
      <c r="D19" s="118">
        <f>[3]Horizon_AS!$HK$9</f>
        <v>0</v>
      </c>
      <c r="E19" s="118">
        <f>'[3]Air Wisconsin'!$HK$9</f>
        <v>0</v>
      </c>
      <c r="F19" s="118">
        <f>[3]PSA!$HK$9</f>
        <v>0</v>
      </c>
      <c r="G19" s="112">
        <f>'[3]Atlantic Southeast'!$HK$9</f>
        <v>0</v>
      </c>
      <c r="H19" s="112">
        <f>'[3]Continental Express'!$HK$9</f>
        <v>0</v>
      </c>
      <c r="I19" s="118">
        <f>'[3]Go Jet_UA'!$HK$9</f>
        <v>0</v>
      </c>
      <c r="J19" s="13">
        <f>'[3]Go Jet'!$HK$9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60</v>
      </c>
      <c r="E21" s="120">
        <f t="shared" ref="E21" si="14">SUM(E20,E17)</f>
        <v>0</v>
      </c>
      <c r="F21" s="120">
        <f t="shared" si="13"/>
        <v>26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86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America'!$HK$47</f>
        <v>0</v>
      </c>
      <c r="C25" s="128">
        <f>'[3]Shuttle America_Delta'!$HK$47</f>
        <v>0</v>
      </c>
      <c r="D25" s="128">
        <f>[3]Horizon_AS!$HK$47</f>
        <v>1890</v>
      </c>
      <c r="E25" s="128">
        <f>'[3]Air Wisconsin'!$HK$47</f>
        <v>0</v>
      </c>
      <c r="F25" s="128">
        <f>[3]PSA!$HK$47</f>
        <v>0</v>
      </c>
      <c r="G25" s="129">
        <f>'[3]Atlantic Southeast'!$HK$47</f>
        <v>0</v>
      </c>
      <c r="H25" s="129">
        <f>'[3]Continental Express'!$HK$47</f>
        <v>0</v>
      </c>
      <c r="I25" s="128">
        <f>'[3]Go Jet_UA'!$HK$47</f>
        <v>0</v>
      </c>
      <c r="J25" s="128">
        <f>'[3]Go Jet'!$HK$47</f>
        <v>0</v>
      </c>
      <c r="K25" s="108">
        <f>SUM(B25:J25)</f>
        <v>1890</v>
      </c>
    </row>
    <row r="26" spans="1:14" x14ac:dyDescent="0.2">
      <c r="A26" s="73" t="s">
        <v>38</v>
      </c>
      <c r="B26" s="128">
        <f>'[3]Shuttle America'!$HK$48</f>
        <v>0</v>
      </c>
      <c r="C26" s="128">
        <f>'[3]Shuttle America_Delta'!$HK$48</f>
        <v>0</v>
      </c>
      <c r="D26" s="128">
        <f>[3]Horizon_AS!$HK$48</f>
        <v>0</v>
      </c>
      <c r="E26" s="128">
        <f>'[3]Air Wisconsin'!$HK$48</f>
        <v>0</v>
      </c>
      <c r="F26" s="128">
        <f>[3]PSA!$HK$48</f>
        <v>0</v>
      </c>
      <c r="G26" s="129">
        <f>'[3]Atlantic Southeast'!$HK$48</f>
        <v>0</v>
      </c>
      <c r="H26" s="129">
        <f>'[3]Continental Express'!$HK$48</f>
        <v>0</v>
      </c>
      <c r="I26" s="128">
        <f>'[3]Go Jet_UA'!$HK$48</f>
        <v>0</v>
      </c>
      <c r="J26" s="128">
        <f>'[3]Go Jet'!$HK$48</f>
        <v>0</v>
      </c>
      <c r="K26" s="108">
        <f>SUM(B26:J26)</f>
        <v>0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1890</v>
      </c>
      <c r="E27" s="131">
        <f t="shared" ref="E27" si="18">SUM(E25:E26)</f>
        <v>0</v>
      </c>
      <c r="F27" s="131">
        <f t="shared" si="17"/>
        <v>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1890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America'!$HK$52</f>
        <v>0</v>
      </c>
      <c r="C30" s="128">
        <f>'[3]Shuttle America_Delta'!$HK$52</f>
        <v>0</v>
      </c>
      <c r="D30" s="128">
        <f>[3]Horizon_AS!$HK$52</f>
        <v>215</v>
      </c>
      <c r="E30" s="128">
        <f>'[3]Air Wisconsin'!$HK$52</f>
        <v>0</v>
      </c>
      <c r="F30" s="128">
        <f>[3]PSA!$HK$52</f>
        <v>0</v>
      </c>
      <c r="G30" s="129">
        <f>'[3]Atlantic Southeast'!$HK$52</f>
        <v>0</v>
      </c>
      <c r="H30" s="129">
        <f>'[3]Continental Express'!$HK$52</f>
        <v>0</v>
      </c>
      <c r="I30" s="128">
        <f>'[3]Go Jet_UA'!$HK$52</f>
        <v>0</v>
      </c>
      <c r="J30" s="128">
        <f>'[3]Go Jet'!$HK$52</f>
        <v>0</v>
      </c>
      <c r="K30" s="108">
        <f>SUM(B30:J30)</f>
        <v>215</v>
      </c>
    </row>
    <row r="31" spans="1:14" x14ac:dyDescent="0.2">
      <c r="A31" s="73" t="s">
        <v>60</v>
      </c>
      <c r="B31" s="128">
        <f>'[3]Shuttle America'!$HK$53</f>
        <v>0</v>
      </c>
      <c r="C31" s="128">
        <f>'[3]Shuttle America_Delta'!$HK$53</f>
        <v>0</v>
      </c>
      <c r="D31" s="128">
        <f>[3]Horizon_AS!$HK$53</f>
        <v>954</v>
      </c>
      <c r="E31" s="128">
        <f>'[3]Air Wisconsin'!$HK$53</f>
        <v>0</v>
      </c>
      <c r="F31" s="128">
        <f>[3]PSA!$HK$53</f>
        <v>0</v>
      </c>
      <c r="G31" s="129">
        <f>'[3]Atlantic Southeast'!$HK$53</f>
        <v>0</v>
      </c>
      <c r="H31" s="129">
        <f>'[3]Continental Express'!$HK$53</f>
        <v>0</v>
      </c>
      <c r="I31" s="128">
        <f>'[3]Go Jet_UA'!$HK$53</f>
        <v>0</v>
      </c>
      <c r="J31" s="128">
        <f>'[3]Go Jet'!$HK$53</f>
        <v>0</v>
      </c>
      <c r="K31" s="108">
        <f>SUM(B31:J31)</f>
        <v>954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1169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1169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America'!$HK$57</f>
        <v>0</v>
      </c>
      <c r="C35" s="128">
        <f>'[3]Shuttle America_Delta'!$HK$57</f>
        <v>0</v>
      </c>
      <c r="D35" s="128">
        <f>[3]Horizon_AS!$HK$57</f>
        <v>0</v>
      </c>
      <c r="E35" s="128">
        <f>'[3]Air Wisconsin'!$HK$57</f>
        <v>0</v>
      </c>
      <c r="F35" s="128">
        <f>[3]PSA!$HK$57</f>
        <v>0</v>
      </c>
      <c r="G35" s="129">
        <f>'[3]Atlantic Southeast'!$HK$57</f>
        <v>0</v>
      </c>
      <c r="H35" s="129">
        <f>'[3]Continental Express'!$HK$57</f>
        <v>0</v>
      </c>
      <c r="I35" s="128">
        <f>'[3]Go Jet_UA'!$AJ$57</f>
        <v>0</v>
      </c>
      <c r="J35" s="128">
        <f>'[3]Go Jet'!$HK$57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2105</v>
      </c>
      <c r="E40" s="128">
        <f t="shared" ref="E40" si="28">SUM(E35,E30,E25)</f>
        <v>0</v>
      </c>
      <c r="F40" s="128">
        <f t="shared" si="27"/>
        <v>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2105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954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954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3059</v>
      </c>
      <c r="E42" s="134">
        <f t="shared" ref="E42" si="34">SUM(E40:E41)</f>
        <v>0</v>
      </c>
      <c r="F42" s="134">
        <f t="shared" si="33"/>
        <v>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3059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America_Delta'!$HK$70+'[3]Shuttle America_Delta'!$HK$73</f>
        <v>0</v>
      </c>
      <c r="D46" s="5"/>
      <c r="E46" s="5"/>
      <c r="G46" s="294">
        <f>'[3]Atlantic Southeast'!$HK$70+'[3]Atlantic Southeast'!$HK$73</f>
        <v>0</v>
      </c>
      <c r="J46" s="294">
        <f>'[3]Go Jet'!$HK$70+'[3]Go Jet'!$HK$73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America_Delta'!$HK$71+'[3]Shuttle America_Delta'!$HK$74</f>
        <v>0</v>
      </c>
      <c r="D47" s="5"/>
      <c r="E47" s="5"/>
      <c r="G47" s="294">
        <f>'[3]Atlantic Southeast'!$HK$71+'[3]Atlantic Southeast'!$HK$74</f>
        <v>0</v>
      </c>
      <c r="J47" s="294">
        <f>'[3]Go Jet'!$HK$71+'[3]Go Jet'!$HK$74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6" orientation="landscape" r:id="rId1"/>
  <headerFooter alignWithMargins="0">
    <oddHeader>&amp;L
Schedule 5
&amp;CMinneapolis-St. Paul International Airport
&amp;"Arial,Bold"Other Regional
August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9" zoomScale="115" zoomScaleNormal="115" workbookViewId="0">
      <selection activeCell="O27" sqref="O2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44409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Misc'!$HK$22</f>
        <v>126</v>
      </c>
      <c r="C5" s="179">
        <f>[3]Ryan!$HK$22</f>
        <v>0</v>
      </c>
      <c r="D5" s="179">
        <f>'[3]Charter Misc'!$HK$32</f>
        <v>0</v>
      </c>
      <c r="E5" s="179">
        <f>[3]Omni!$HK$32+[3]Omni!$HK$22</f>
        <v>0</v>
      </c>
      <c r="F5" s="179">
        <f>[3]Xtra!$HK$32+[3]Xtra!$HK$22</f>
        <v>0</v>
      </c>
      <c r="G5" s="312">
        <f>SUM(B5:F5)</f>
        <v>126</v>
      </c>
    </row>
    <row r="6" spans="1:17" x14ac:dyDescent="0.2">
      <c r="A6" s="60" t="s">
        <v>31</v>
      </c>
      <c r="B6" s="391">
        <f>'[3]Charter Misc'!$HK$23</f>
        <v>252</v>
      </c>
      <c r="C6" s="182">
        <f>[3]Ryan!$HK$23</f>
        <v>0</v>
      </c>
      <c r="D6" s="182">
        <f>'[3]Charter Misc'!$HK$33</f>
        <v>0</v>
      </c>
      <c r="E6" s="182">
        <f>[3]Omni!$HK$33+[3]Omni!$HK$23</f>
        <v>0</v>
      </c>
      <c r="F6" s="182">
        <f>[3]Xtra!$HK$33+[3]Xtra!$HK$23</f>
        <v>0</v>
      </c>
      <c r="G6" s="311">
        <f>SUM(B6:F6)</f>
        <v>252</v>
      </c>
    </row>
    <row r="7" spans="1:17" ht="15.75" thickBot="1" x14ac:dyDescent="0.3">
      <c r="A7" s="178" t="s">
        <v>7</v>
      </c>
      <c r="B7" s="392">
        <f>SUM(B5:B6)</f>
        <v>378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378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Misc'!$HK$4</f>
        <v>1</v>
      </c>
      <c r="C10" s="179">
        <f>[3]Ryan!$HK$4</f>
        <v>0</v>
      </c>
      <c r="D10" s="179">
        <f>'[3]Charter Misc'!$HK$15</f>
        <v>0</v>
      </c>
      <c r="E10" s="179">
        <f>[3]Omni!$HK$15</f>
        <v>0</v>
      </c>
      <c r="F10" s="179">
        <f>[3]Xtra!$HK$15+[3]Xtra!$HK$4</f>
        <v>0</v>
      </c>
      <c r="G10" s="311">
        <f>SUM(B10:F10)</f>
        <v>1</v>
      </c>
    </row>
    <row r="11" spans="1:17" x14ac:dyDescent="0.2">
      <c r="A11" s="177" t="s">
        <v>80</v>
      </c>
      <c r="B11" s="390">
        <f>'[3]Charter Misc'!$HK$5</f>
        <v>2</v>
      </c>
      <c r="C11" s="179">
        <f>[3]Ryan!$HK$5</f>
        <v>0</v>
      </c>
      <c r="D11" s="179">
        <f>'[3]Charter Misc'!$HK$16</f>
        <v>0</v>
      </c>
      <c r="E11" s="179">
        <f>[3]Omni!$HK$16+[3]Omni!$HK$5</f>
        <v>0</v>
      </c>
      <c r="F11" s="179">
        <f>[3]Xtra!$HK$16+[3]Xtra!$HK$5</f>
        <v>0</v>
      </c>
      <c r="G11" s="311">
        <f>SUM(B11:F11)</f>
        <v>2</v>
      </c>
    </row>
    <row r="12" spans="1:17" ht="15.75" thickBot="1" x14ac:dyDescent="0.3">
      <c r="A12" s="250" t="s">
        <v>28</v>
      </c>
      <c r="B12" s="394">
        <f>SUM(B10:B11)</f>
        <v>3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3</v>
      </c>
      <c r="Q12" s="128"/>
    </row>
    <row r="17" spans="1:16" x14ac:dyDescent="0.2">
      <c r="B17" s="555" t="s">
        <v>150</v>
      </c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7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8" t="s">
        <v>118</v>
      </c>
      <c r="C19" s="559"/>
      <c r="D19" s="559"/>
      <c r="E19" s="560"/>
      <c r="G19" s="558" t="s">
        <v>119</v>
      </c>
      <c r="H19" s="561"/>
      <c r="I19" s="561"/>
      <c r="J19" s="562"/>
      <c r="L19" s="563" t="s">
        <v>120</v>
      </c>
      <c r="M19" s="564"/>
      <c r="N19" s="564"/>
      <c r="O19" s="565"/>
    </row>
    <row r="20" spans="1:16" ht="13.5" thickBot="1" x14ac:dyDescent="0.25">
      <c r="A20" s="210" t="s">
        <v>99</v>
      </c>
      <c r="B20" s="541" t="s">
        <v>100</v>
      </c>
      <c r="C20" s="544" t="s">
        <v>101</v>
      </c>
      <c r="D20" s="544" t="s">
        <v>230</v>
      </c>
      <c r="E20" s="540" t="s">
        <v>205</v>
      </c>
      <c r="F20" s="216" t="s">
        <v>96</v>
      </c>
      <c r="G20" s="8" t="s">
        <v>100</v>
      </c>
      <c r="H20" s="8" t="s">
        <v>101</v>
      </c>
      <c r="I20" s="520" t="s">
        <v>230</v>
      </c>
      <c r="J20" s="520" t="s">
        <v>205</v>
      </c>
      <c r="K20" s="216" t="s">
        <v>96</v>
      </c>
      <c r="L20" s="215" t="s">
        <v>100</v>
      </c>
      <c r="M20" s="209" t="s">
        <v>101</v>
      </c>
      <c r="N20" s="520" t="s">
        <v>230</v>
      </c>
      <c r="O20" s="520" t="s">
        <v>205</v>
      </c>
      <c r="P20" s="216" t="s">
        <v>96</v>
      </c>
    </row>
    <row r="21" spans="1:16" ht="14.1" customHeight="1" x14ac:dyDescent="0.2">
      <c r="A21" s="219" t="s">
        <v>102</v>
      </c>
      <c r="B21" s="543">
        <f>+[4]Charter!$B$21</f>
        <v>31072</v>
      </c>
      <c r="C21" s="542">
        <f>+[4]Charter!$C$21</f>
        <v>25325</v>
      </c>
      <c r="D21" s="542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 t="shared" ref="I21:I25" si="3">SUM(G21:H21)</f>
        <v>1054440</v>
      </c>
      <c r="J21" s="307">
        <f>[5]Charter!$I$21</f>
        <v>2616372</v>
      </c>
      <c r="K21" s="220">
        <f t="shared" ref="K21:K32" si="4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 t="shared" ref="N21:N25" si="5"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6">SUM(B22:C22)</f>
        <v>46280</v>
      </c>
      <c r="E22" s="309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 t="shared" si="3"/>
        <v>1076686</v>
      </c>
      <c r="J22" s="309">
        <f>[7]Charter!$I$22</f>
        <v>2554827</v>
      </c>
      <c r="K22" s="223">
        <f t="shared" si="4"/>
        <v>-0.57856794217377538</v>
      </c>
      <c r="L22" s="301">
        <f>+[6]Charter!$L$22</f>
        <v>547653</v>
      </c>
      <c r="M22" s="303">
        <f>+[6]Charter!$M$22</f>
        <v>575313</v>
      </c>
      <c r="N22" s="302">
        <f t="shared" si="5"/>
        <v>1122966</v>
      </c>
      <c r="O22" s="309">
        <f>[7]Charter!$N$22</f>
        <v>2860613</v>
      </c>
      <c r="P22" s="222">
        <f t="shared" ref="P22:P32" si="7">(N22-O22)/O22</f>
        <v>-0.60743868534471457</v>
      </c>
    </row>
    <row r="23" spans="1:16" ht="14.1" customHeight="1" x14ac:dyDescent="0.2">
      <c r="A23" s="221" t="s">
        <v>104</v>
      </c>
      <c r="B23" s="301">
        <f>+[8]Charter!$B23</f>
        <v>37142</v>
      </c>
      <c r="C23" s="303">
        <f>+[8]Charter!C23</f>
        <v>41054</v>
      </c>
      <c r="D23" s="542">
        <f t="shared" ref="D23" si="8">SUM(B23:C23)</f>
        <v>78196</v>
      </c>
      <c r="E23" s="309">
        <f>[9]Charter!$D23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 t="shared" si="3"/>
        <v>1642699</v>
      </c>
      <c r="J23" s="309">
        <f>[9]Charter!I23</f>
        <v>1602785</v>
      </c>
      <c r="K23" s="223">
        <f t="shared" si="4"/>
        <v>2.4902903383797578E-2</v>
      </c>
      <c r="L23" s="301">
        <f>+[8]Charter!$L$23</f>
        <v>837902</v>
      </c>
      <c r="M23" s="303">
        <f>+[8]Charter!$M$23</f>
        <v>882993</v>
      </c>
      <c r="N23" s="302">
        <f t="shared" si="5"/>
        <v>1720895</v>
      </c>
      <c r="O23" s="309">
        <f>[9]Charter!$N$23</f>
        <v>1788111</v>
      </c>
      <c r="P23" s="222">
        <f t="shared" si="7"/>
        <v>-3.7590507524421023E-2</v>
      </c>
    </row>
    <row r="24" spans="1:16" ht="14.1" customHeight="1" x14ac:dyDescent="0.2">
      <c r="A24" s="221" t="s">
        <v>105</v>
      </c>
      <c r="B24" s="301">
        <f>+[10]Charter!$B24</f>
        <v>29141</v>
      </c>
      <c r="C24" s="303">
        <f>+[10]Charter!C24</f>
        <v>20795</v>
      </c>
      <c r="D24" s="542">
        <f t="shared" ref="D24" si="9">SUM(B24:C24)</f>
        <v>49936</v>
      </c>
      <c r="E24" s="309">
        <f>[11]Charter!$D24</f>
        <v>888</v>
      </c>
      <c r="F24" s="222">
        <f t="shared" si="1"/>
        <v>55.234234234234236</v>
      </c>
      <c r="G24" s="301">
        <f t="shared" ref="G24" si="10">L24-B24</f>
        <v>850312</v>
      </c>
      <c r="H24" s="303">
        <f t="shared" ref="H24" si="11">M24-C24</f>
        <v>784485</v>
      </c>
      <c r="I24" s="302">
        <f t="shared" si="3"/>
        <v>1634797</v>
      </c>
      <c r="J24" s="309">
        <f>[11]Charter!I24</f>
        <v>150595</v>
      </c>
      <c r="K24" s="223">
        <f t="shared" si="4"/>
        <v>9.8555861748398019</v>
      </c>
      <c r="L24" s="301">
        <f>+[10]Charter!$L$24</f>
        <v>879453</v>
      </c>
      <c r="M24" s="303">
        <f>+[10]Charter!$M$24</f>
        <v>805280</v>
      </c>
      <c r="N24" s="302">
        <f t="shared" si="5"/>
        <v>1684733</v>
      </c>
      <c r="O24" s="309">
        <f>[11]Charter!N24</f>
        <v>151483</v>
      </c>
      <c r="P24" s="222">
        <f t="shared" si="7"/>
        <v>10.121597803053808</v>
      </c>
    </row>
    <row r="25" spans="1:16" ht="14.1" customHeight="1" x14ac:dyDescent="0.2">
      <c r="A25" s="208" t="s">
        <v>75</v>
      </c>
      <c r="B25" s="301">
        <f>+[12]Charter!$B25</f>
        <v>15735</v>
      </c>
      <c r="C25" s="303">
        <f>+[12]Charter!C25</f>
        <v>16129</v>
      </c>
      <c r="D25" s="542">
        <f t="shared" ref="D25" si="12">SUM(B25:C25)</f>
        <v>31864</v>
      </c>
      <c r="E25" s="309">
        <f>[13]Charter!$D25</f>
        <v>1452</v>
      </c>
      <c r="F25" s="211">
        <f t="shared" si="1"/>
        <v>20.944903581267219</v>
      </c>
      <c r="G25" s="301">
        <f t="shared" ref="G25" si="13">L25-B25</f>
        <v>1048700</v>
      </c>
      <c r="H25" s="303">
        <f t="shared" ref="H25" si="14">M25-C25</f>
        <v>1007707</v>
      </c>
      <c r="I25" s="302">
        <f t="shared" si="3"/>
        <v>2056407</v>
      </c>
      <c r="J25" s="309">
        <f>[13]Charter!I25</f>
        <v>282618</v>
      </c>
      <c r="K25" s="217">
        <f t="shared" si="4"/>
        <v>6.2762775194785894</v>
      </c>
      <c r="L25" s="301">
        <f>+[12]Charter!$L$25</f>
        <v>1064435</v>
      </c>
      <c r="M25" s="303">
        <f>+[12]Charter!$M$25</f>
        <v>1023836</v>
      </c>
      <c r="N25" s="302">
        <f t="shared" si="5"/>
        <v>2088271</v>
      </c>
      <c r="O25" s="309">
        <f>[13]Charter!N25</f>
        <v>284070</v>
      </c>
      <c r="P25" s="211">
        <f t="shared" si="7"/>
        <v>6.3512549723659664</v>
      </c>
    </row>
    <row r="26" spans="1:16" ht="14.1" customHeight="1" x14ac:dyDescent="0.2">
      <c r="A26" s="221" t="s">
        <v>106</v>
      </c>
      <c r="B26" s="301">
        <f>+[14]Charter!$B26</f>
        <v>19542</v>
      </c>
      <c r="C26" s="303">
        <f>+[14]Charter!C26</f>
        <v>22925</v>
      </c>
      <c r="D26" s="542">
        <f t="shared" ref="D26" si="15">SUM(B26:C26)</f>
        <v>42467</v>
      </c>
      <c r="E26" s="309">
        <f>[15]Charter!$D26</f>
        <v>2309</v>
      </c>
      <c r="F26" s="222">
        <f t="shared" si="1"/>
        <v>17.391944564746645</v>
      </c>
      <c r="G26" s="301">
        <f t="shared" ref="G26" si="16">L26-B26</f>
        <v>1210035</v>
      </c>
      <c r="H26" s="303">
        <f t="shared" ref="H26" si="17">M26-C26</f>
        <v>1185896</v>
      </c>
      <c r="I26" s="302">
        <f t="shared" ref="I26" si="18">SUM(G26:H26)</f>
        <v>2395931</v>
      </c>
      <c r="J26" s="309">
        <f>[15]Charter!I26</f>
        <v>511408</v>
      </c>
      <c r="K26" s="223">
        <f t="shared" si="4"/>
        <v>3.6849697306260363</v>
      </c>
      <c r="L26" s="301">
        <f>+[14]Charter!$L$26</f>
        <v>1229577</v>
      </c>
      <c r="M26" s="303">
        <f>+[14]Charter!$M$26</f>
        <v>1208821</v>
      </c>
      <c r="N26" s="302">
        <f t="shared" ref="N26" si="19">SUM(L26:M26)</f>
        <v>2438398</v>
      </c>
      <c r="O26" s="309">
        <f>[15]Charter!N26</f>
        <v>513717</v>
      </c>
      <c r="P26" s="222">
        <f t="shared" si="7"/>
        <v>3.7465783690241903</v>
      </c>
    </row>
    <row r="27" spans="1:16" ht="14.1" customHeight="1" x14ac:dyDescent="0.2">
      <c r="A27" s="208" t="s">
        <v>107</v>
      </c>
      <c r="B27" s="226">
        <f>+[2]Charter!$B27</f>
        <v>30108</v>
      </c>
      <c r="C27" s="159">
        <f>+[2]Charter!C27</f>
        <v>33469</v>
      </c>
      <c r="D27" s="542">
        <f t="shared" ref="D27" si="20">SUM(B27:C27)</f>
        <v>63577</v>
      </c>
      <c r="E27" s="309">
        <f>[16]Charter!$D27</f>
        <v>2270</v>
      </c>
      <c r="F27" s="211">
        <f t="shared" si="1"/>
        <v>27.007488986784139</v>
      </c>
      <c r="G27" s="301">
        <f t="shared" ref="G27" si="21">L27-B27</f>
        <v>1393311</v>
      </c>
      <c r="H27" s="303">
        <f t="shared" ref="H27" si="22">M27-C27</f>
        <v>1401794</v>
      </c>
      <c r="I27" s="302">
        <f t="shared" ref="I27" si="23">SUM(G27:H27)</f>
        <v>2795105</v>
      </c>
      <c r="J27" s="309">
        <f>[16]Charter!I27</f>
        <v>942455</v>
      </c>
      <c r="K27" s="217">
        <f t="shared" si="4"/>
        <v>1.9657702489774047</v>
      </c>
      <c r="L27" s="301">
        <f>+[2]Charter!$L$27</f>
        <v>1423419</v>
      </c>
      <c r="M27" s="303">
        <f>+[2]Charter!$M$27</f>
        <v>1435263</v>
      </c>
      <c r="N27" s="302">
        <f t="shared" ref="N27" si="24">SUM(L27:M27)</f>
        <v>2858682</v>
      </c>
      <c r="O27" s="309">
        <f>[16]Charter!N27</f>
        <v>944725</v>
      </c>
      <c r="P27" s="211">
        <f t="shared" si="7"/>
        <v>2.0259408822673266</v>
      </c>
    </row>
    <row r="28" spans="1:16" ht="14.1" customHeight="1" x14ac:dyDescent="0.2">
      <c r="A28" s="221" t="s">
        <v>108</v>
      </c>
      <c r="B28" s="301">
        <f>'Intl Detail'!$P$4+'Intl Detail'!$P$9</f>
        <v>36195</v>
      </c>
      <c r="C28" s="303">
        <f>'Intl Detail'!$P$5+'Intl Detail'!$P$10</f>
        <v>31727</v>
      </c>
      <c r="D28" s="303">
        <f t="shared" ref="D28" si="25">SUM(B28:C28)</f>
        <v>67922</v>
      </c>
      <c r="E28" s="309">
        <f>[1]Charter!$D28</f>
        <v>2970</v>
      </c>
      <c r="F28" s="222">
        <f t="shared" si="1"/>
        <v>21.869360269360268</v>
      </c>
      <c r="G28" s="301">
        <f t="shared" ref="G28" si="26">L28-B28</f>
        <v>1303776</v>
      </c>
      <c r="H28" s="303">
        <f t="shared" ref="H28" si="27">M28-C28</f>
        <v>1291669</v>
      </c>
      <c r="I28" s="302">
        <f t="shared" ref="I28" si="28">SUM(G28:H28)</f>
        <v>2595445</v>
      </c>
      <c r="J28" s="309">
        <f>[1]Charter!I28</f>
        <v>1129424</v>
      </c>
      <c r="K28" s="223">
        <f t="shared" si="4"/>
        <v>1.2980253651418776</v>
      </c>
      <c r="L28" s="301">
        <f>'Monthly Summary'!$B$11</f>
        <v>1339971</v>
      </c>
      <c r="M28" s="303">
        <f>'Monthly Summary'!$C$11</f>
        <v>1323396</v>
      </c>
      <c r="N28" s="302">
        <f t="shared" ref="N28" si="29">SUM(L28:M28)</f>
        <v>2663367</v>
      </c>
      <c r="O28" s="309">
        <f>[1]Charter!N28</f>
        <v>1132394</v>
      </c>
      <c r="P28" s="222">
        <f t="shared" si="7"/>
        <v>1.3519790814857726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ref="I29:I32" si="30">SUM(G29:H29)</f>
        <v>0</v>
      </c>
      <c r="J29" s="308"/>
      <c r="K29" s="217" t="e">
        <f t="shared" si="4"/>
        <v>#DIV/0!</v>
      </c>
      <c r="L29" s="301"/>
      <c r="M29" s="303"/>
      <c r="N29" s="302">
        <f t="shared" ref="N29:N32" si="31">SUM(L29:M29)</f>
        <v>0</v>
      </c>
      <c r="O29" s="308"/>
      <c r="P29" s="211" t="e">
        <f t="shared" si="7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4"/>
        <v>#DIV/0!</v>
      </c>
      <c r="L30" s="301"/>
      <c r="M30" s="303"/>
      <c r="N30" s="302">
        <f>SUM(L30:M30)</f>
        <v>0</v>
      </c>
      <c r="O30" s="308"/>
      <c r="P30" s="222" t="e">
        <f t="shared" si="7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30"/>
        <v>0</v>
      </c>
      <c r="J31" s="308"/>
      <c r="K31" s="217" t="e">
        <f t="shared" si="4"/>
        <v>#DIV/0!</v>
      </c>
      <c r="L31" s="301"/>
      <c r="M31" s="303"/>
      <c r="N31" s="302">
        <f>SUM(L31:M31)</f>
        <v>0</v>
      </c>
      <c r="O31" s="308"/>
      <c r="P31" s="211" t="e">
        <f t="shared" si="7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30"/>
        <v>0</v>
      </c>
      <c r="J32" s="308"/>
      <c r="K32" s="225" t="e">
        <f t="shared" si="4"/>
        <v>#DIV/0!</v>
      </c>
      <c r="L32" s="301"/>
      <c r="M32" s="303"/>
      <c r="N32" s="159">
        <f t="shared" si="31"/>
        <v>0</v>
      </c>
      <c r="O32" s="308"/>
      <c r="P32" s="225" t="e">
        <f t="shared" si="7"/>
        <v>#DIV/0!</v>
      </c>
    </row>
    <row r="33" spans="1:16" ht="13.5" thickBot="1" x14ac:dyDescent="0.25">
      <c r="A33" s="218" t="s">
        <v>76</v>
      </c>
      <c r="B33" s="228">
        <f>SUM(B21:B32)</f>
        <v>221079</v>
      </c>
      <c r="C33" s="229">
        <f>SUM(C21:C32)</f>
        <v>215560</v>
      </c>
      <c r="D33" s="229">
        <f>SUM(D21:D32)</f>
        <v>436639</v>
      </c>
      <c r="E33" s="230">
        <f>SUM(E21:E32)</f>
        <v>800072</v>
      </c>
      <c r="F33" s="213">
        <f>(D33-E33)/E33</f>
        <v>-0.45425036746692798</v>
      </c>
      <c r="G33" s="231">
        <f>SUM(G21:G32)</f>
        <v>7662531</v>
      </c>
      <c r="H33" s="229">
        <f>SUM(H21:H32)</f>
        <v>7588979</v>
      </c>
      <c r="I33" s="229">
        <f>SUM(I21:I32)</f>
        <v>15251510</v>
      </c>
      <c r="J33" s="232">
        <f>SUM(J21:J32)</f>
        <v>9790484</v>
      </c>
      <c r="K33" s="214">
        <f>(I33-J33)/J33</f>
        <v>0.55778917569345909</v>
      </c>
      <c r="L33" s="231">
        <f>SUM(L21:L32)</f>
        <v>7883610</v>
      </c>
      <c r="M33" s="229">
        <f>SUM(M21:M32)</f>
        <v>7804539</v>
      </c>
      <c r="N33" s="229">
        <f>SUM(N21:N32)</f>
        <v>15688149</v>
      </c>
      <c r="O33" s="230">
        <f>SUM(O21:O32)</f>
        <v>10590556</v>
      </c>
      <c r="P33" s="212">
        <f>(N33-O33)/O33</f>
        <v>0.48133384120720385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August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8"/>
  <sheetViews>
    <sheetView topLeftCell="A7" zoomScaleNormal="100" workbookViewId="0">
      <selection activeCell="R35" sqref="R3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8" width="10.28515625" customWidth="1"/>
    <col min="9" max="9" width="11.28515625" bestFit="1" customWidth="1"/>
    <col min="10" max="15" width="10.28515625" customWidth="1"/>
    <col min="16" max="16" width="11.28515625" bestFit="1" customWidth="1"/>
    <col min="17" max="17" width="10.28515625" bestFit="1" customWidth="1"/>
    <col min="18" max="18" width="11.28515625" bestFit="1" customWidth="1"/>
    <col min="21" max="21" width="9.42578125" customWidth="1"/>
    <col min="22" max="22" width="10.140625" bestFit="1" customWidth="1"/>
  </cols>
  <sheetData>
    <row r="1" spans="1:22" s="184" customFormat="1" ht="16.5" thickBot="1" x14ac:dyDescent="0.3">
      <c r="B1" s="566" t="s">
        <v>212</v>
      </c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8"/>
    </row>
    <row r="2" spans="1:22" s="185" customFormat="1" ht="43.5" customHeight="1" thickBot="1" x14ac:dyDescent="0.25">
      <c r="A2" s="351">
        <v>44409</v>
      </c>
      <c r="B2" s="545" t="s">
        <v>200</v>
      </c>
      <c r="C2" s="545" t="s">
        <v>176</v>
      </c>
      <c r="D2" s="545" t="s">
        <v>243</v>
      </c>
      <c r="E2" s="545" t="s">
        <v>244</v>
      </c>
      <c r="F2" s="547" t="s">
        <v>83</v>
      </c>
      <c r="G2" s="545" t="s">
        <v>213</v>
      </c>
      <c r="H2" s="548" t="s">
        <v>202</v>
      </c>
      <c r="I2" s="546" t="s">
        <v>81</v>
      </c>
      <c r="J2" s="548" t="s">
        <v>177</v>
      </c>
      <c r="K2" s="545" t="s">
        <v>214</v>
      </c>
      <c r="L2" s="548" t="s">
        <v>85</v>
      </c>
      <c r="M2" s="545" t="s">
        <v>215</v>
      </c>
      <c r="N2" s="545" t="s">
        <v>216</v>
      </c>
      <c r="O2" s="545" t="s">
        <v>217</v>
      </c>
      <c r="P2" s="546" t="s">
        <v>82</v>
      </c>
      <c r="Q2" s="467" t="s">
        <v>127</v>
      </c>
      <c r="R2" s="467" t="s">
        <v>21</v>
      </c>
    </row>
    <row r="3" spans="1:22" ht="15" x14ac:dyDescent="0.25">
      <c r="A3" s="187" t="s">
        <v>9</v>
      </c>
      <c r="B3" s="482"/>
      <c r="C3" s="188"/>
      <c r="D3" s="188"/>
      <c r="E3" s="188"/>
      <c r="F3" s="44"/>
      <c r="G3" s="188"/>
      <c r="H3" s="44"/>
      <c r="I3" s="188"/>
      <c r="J3" s="44"/>
      <c r="K3" s="188"/>
      <c r="L3" s="44"/>
      <c r="M3" s="188"/>
      <c r="N3" s="188"/>
      <c r="O3" s="188"/>
      <c r="P3" s="188"/>
      <c r="Q3" s="44"/>
      <c r="R3" s="483"/>
      <c r="T3" s="484"/>
      <c r="U3" s="484"/>
      <c r="V3" s="484"/>
    </row>
    <row r="4" spans="1:22" x14ac:dyDescent="0.2">
      <c r="A4" s="52" t="s">
        <v>53</v>
      </c>
      <c r="B4" s="226">
        <f>'[3]Atlas Air'!$HK$4</f>
        <v>32</v>
      </c>
      <c r="C4" s="473">
        <f>[3]DHL!$HK$4+[3]DHL_Atlas!$HK$4+[3]DHL_Atlas!$HK$8+[3]DHL_Atlas!$HK$15</f>
        <v>0</v>
      </c>
      <c r="D4" s="473">
        <f>[3]Airborne!$HK$4+[3]Airborne!$HK$15</f>
        <v>1</v>
      </c>
      <c r="E4" s="473">
        <f>[3]DHL_Bemidji!$HK$4+[3]DHL_Bemidji!$HK$15</f>
        <v>14</v>
      </c>
      <c r="F4" s="128">
        <f>[3]Bemidji!$HK$4</f>
        <v>218</v>
      </c>
      <c r="G4" s="473">
        <f>[3]DHL_Encore!$HK$4+[3]DHL_Encore!$HK$15</f>
        <v>30</v>
      </c>
      <c r="H4" s="473">
        <f>[3]Encore!$HK$4+[3]Encore!$HK$15</f>
        <v>0</v>
      </c>
      <c r="I4" s="473">
        <f>[3]FedEx!$HK$4+[3]FedEx!$HK$15</f>
        <v>145</v>
      </c>
      <c r="J4" s="473">
        <f>[3]IFL!$HK$4+[3]IFL!$HK$15</f>
        <v>18</v>
      </c>
      <c r="K4" s="473">
        <f>[3]DHL_Kalitta!$HK$4+[3]DHL_Kalitta!$HK$15</f>
        <v>4</v>
      </c>
      <c r="L4" s="128">
        <f>'[3]Mountain Cargo'!$HK$4</f>
        <v>21</v>
      </c>
      <c r="M4" s="473">
        <f>[3]DHL_Southair!$HK$4+[3]DHL_Southair!$HK$15</f>
        <v>0</v>
      </c>
      <c r="N4" s="473">
        <f>[3]DHL_Swift!$HK$4+[3]DHL_Swift!$HK$15</f>
        <v>21</v>
      </c>
      <c r="O4" s="473">
        <f>+'[3]Sun Country Cargo'!$HK$4+'[3]Sun Country Cargo'!$HK$8+'[3]Sun Country Cargo'!$HK$15</f>
        <v>62</v>
      </c>
      <c r="P4" s="473">
        <f>[3]UPS!$HK$4+[3]UPS!$HK$15</f>
        <v>152</v>
      </c>
      <c r="Q4" s="128">
        <f>'[3]Misc Cargo'!$HK$4</f>
        <v>0</v>
      </c>
      <c r="R4" s="485">
        <f>SUM(B4:Q4)</f>
        <v>718</v>
      </c>
      <c r="T4" s="484"/>
      <c r="U4" s="484"/>
      <c r="V4" s="283"/>
    </row>
    <row r="5" spans="1:22" x14ac:dyDescent="0.2">
      <c r="A5" s="52" t="s">
        <v>54</v>
      </c>
      <c r="B5" s="486">
        <f>'[3]Atlas Air'!$HK$5</f>
        <v>32</v>
      </c>
      <c r="C5" s="186">
        <f>[3]DHL!$HK$5+[3]DHL_Atlas!$HK$5+[3]DHL_Atlas!$HK$9+[3]DHL_Atlas!$HK$16</f>
        <v>0</v>
      </c>
      <c r="D5" s="186">
        <f>[3]Airborne!$HK$5</f>
        <v>1</v>
      </c>
      <c r="E5" s="186">
        <f>[3]DHL_Bemidji!$HK$5</f>
        <v>14</v>
      </c>
      <c r="F5" s="118">
        <f>[3]Bemidji!$HK$5</f>
        <v>218</v>
      </c>
      <c r="G5" s="186">
        <f>[3]DHL_Encore!$HK$5</f>
        <v>30</v>
      </c>
      <c r="H5" s="186">
        <f>[3]Encore!$HK$5</f>
        <v>0</v>
      </c>
      <c r="I5" s="186">
        <f>[3]FedEx!$HK$5</f>
        <v>145</v>
      </c>
      <c r="J5" s="186">
        <f>[3]IFL!$HK$5</f>
        <v>18</v>
      </c>
      <c r="K5" s="186">
        <f>[3]DHL_Kalitta!$HK$5</f>
        <v>4</v>
      </c>
      <c r="L5" s="118">
        <f>'[3]Mountain Cargo'!$HK$5</f>
        <v>21</v>
      </c>
      <c r="M5" s="186">
        <f>[3]DHL_Southair!$HK$5</f>
        <v>0</v>
      </c>
      <c r="N5" s="186">
        <f>[3]DHL_Swift!$HK$5</f>
        <v>21</v>
      </c>
      <c r="O5" s="186">
        <f>+'[3]Sun Country Cargo'!$HK$5+'[3]Sun Country Cargo'!$HK$9+'[3]Sun Country Cargo'!$HK$16</f>
        <v>61</v>
      </c>
      <c r="P5" s="186">
        <f>[3]UPS!$HK$5+[3]UPS!$HK$16</f>
        <v>153</v>
      </c>
      <c r="Q5" s="118">
        <f>'[3]Misc Cargo'!$HK$5</f>
        <v>0</v>
      </c>
      <c r="R5" s="485">
        <f t="shared" ref="R5:R10" si="0">SUM(B5:Q5)</f>
        <v>718</v>
      </c>
      <c r="T5" s="484"/>
      <c r="U5" s="484"/>
      <c r="V5" s="283"/>
    </row>
    <row r="6" spans="1:22" s="183" customFormat="1" x14ac:dyDescent="0.2">
      <c r="A6" s="189" t="s">
        <v>55</v>
      </c>
      <c r="B6" s="487">
        <f t="shared" ref="B6:Q6" si="1">SUM(B4:B5)</f>
        <v>64</v>
      </c>
      <c r="C6" s="488">
        <f t="shared" si="1"/>
        <v>0</v>
      </c>
      <c r="D6" s="488">
        <f t="shared" ref="D6:E6" si="2">SUM(D4:D5)</f>
        <v>2</v>
      </c>
      <c r="E6" s="488">
        <f t="shared" si="2"/>
        <v>28</v>
      </c>
      <c r="F6" s="468">
        <f t="shared" si="1"/>
        <v>436</v>
      </c>
      <c r="G6" s="488">
        <f t="shared" si="1"/>
        <v>60</v>
      </c>
      <c r="H6" s="488">
        <f t="shared" si="1"/>
        <v>0</v>
      </c>
      <c r="I6" s="488">
        <f t="shared" si="1"/>
        <v>290</v>
      </c>
      <c r="J6" s="488">
        <f t="shared" si="1"/>
        <v>36</v>
      </c>
      <c r="K6" s="488">
        <f t="shared" si="1"/>
        <v>8</v>
      </c>
      <c r="L6" s="468">
        <f t="shared" si="1"/>
        <v>42</v>
      </c>
      <c r="M6" s="488">
        <f t="shared" si="1"/>
        <v>0</v>
      </c>
      <c r="N6" s="488">
        <f t="shared" si="1"/>
        <v>42</v>
      </c>
      <c r="O6" s="488">
        <f t="shared" si="1"/>
        <v>123</v>
      </c>
      <c r="P6" s="488">
        <f t="shared" si="1"/>
        <v>305</v>
      </c>
      <c r="Q6" s="468">
        <f t="shared" si="1"/>
        <v>0</v>
      </c>
      <c r="R6" s="485">
        <f t="shared" si="0"/>
        <v>1436</v>
      </c>
      <c r="V6" s="489"/>
    </row>
    <row r="7" spans="1:22" x14ac:dyDescent="0.2">
      <c r="A7" s="52"/>
      <c r="B7" s="226"/>
      <c r="C7" s="473"/>
      <c r="D7" s="473"/>
      <c r="E7" s="473"/>
      <c r="F7" s="128"/>
      <c r="G7" s="473"/>
      <c r="H7" s="473"/>
      <c r="I7" s="473"/>
      <c r="J7" s="473"/>
      <c r="K7" s="473"/>
      <c r="L7" s="128"/>
      <c r="M7" s="473"/>
      <c r="N7" s="473"/>
      <c r="O7" s="473"/>
      <c r="P7" s="473"/>
      <c r="Q7" s="128"/>
      <c r="R7" s="485"/>
      <c r="T7" s="490"/>
      <c r="U7" s="484"/>
      <c r="V7" s="283"/>
    </row>
    <row r="8" spans="1:22" x14ac:dyDescent="0.2">
      <c r="A8" s="52" t="s">
        <v>56</v>
      </c>
      <c r="B8" s="226"/>
      <c r="C8" s="473"/>
      <c r="D8" s="473"/>
      <c r="E8" s="473"/>
      <c r="F8" s="128"/>
      <c r="G8" s="473"/>
      <c r="H8" s="473"/>
      <c r="I8" s="473"/>
      <c r="J8" s="473"/>
      <c r="K8" s="473"/>
      <c r="L8" s="128"/>
      <c r="M8" s="473"/>
      <c r="N8" s="473"/>
      <c r="O8" s="473"/>
      <c r="P8" s="473"/>
      <c r="Q8" s="128">
        <f>'[3]Misc Cargo'!$HK$8</f>
        <v>0</v>
      </c>
      <c r="R8" s="485">
        <f t="shared" si="0"/>
        <v>0</v>
      </c>
      <c r="T8" s="484"/>
      <c r="U8" s="484"/>
      <c r="V8" s="283"/>
    </row>
    <row r="9" spans="1:22" ht="15" x14ac:dyDescent="0.25">
      <c r="A9" s="52" t="s">
        <v>57</v>
      </c>
      <c r="B9" s="486"/>
      <c r="C9" s="186"/>
      <c r="D9" s="186"/>
      <c r="E9" s="186"/>
      <c r="F9" s="118"/>
      <c r="G9" s="186"/>
      <c r="H9" s="186"/>
      <c r="I9" s="186"/>
      <c r="J9" s="186"/>
      <c r="K9" s="186"/>
      <c r="L9" s="118"/>
      <c r="M9" s="186"/>
      <c r="N9" s="186"/>
      <c r="O9" s="186"/>
      <c r="P9" s="186"/>
      <c r="Q9" s="118">
        <f>'[3]Misc Cargo'!$HK$9</f>
        <v>0</v>
      </c>
      <c r="R9" s="485">
        <f t="shared" si="0"/>
        <v>0</v>
      </c>
      <c r="T9" s="484"/>
      <c r="U9" s="491"/>
      <c r="V9" s="283"/>
    </row>
    <row r="10" spans="1:22" s="183" customFormat="1" x14ac:dyDescent="0.2">
      <c r="A10" s="189" t="s">
        <v>58</v>
      </c>
      <c r="B10" s="487">
        <f t="shared" ref="B10:Q10" si="3">SUM(B8:B9)</f>
        <v>0</v>
      </c>
      <c r="C10" s="488">
        <f t="shared" si="3"/>
        <v>0</v>
      </c>
      <c r="D10" s="488">
        <f t="shared" ref="D10:E10" si="4">SUM(D8:D9)</f>
        <v>0</v>
      </c>
      <c r="E10" s="488">
        <f t="shared" si="4"/>
        <v>0</v>
      </c>
      <c r="F10" s="468">
        <f t="shared" si="3"/>
        <v>0</v>
      </c>
      <c r="G10" s="488">
        <f t="shared" si="3"/>
        <v>0</v>
      </c>
      <c r="H10" s="488">
        <f t="shared" si="3"/>
        <v>0</v>
      </c>
      <c r="I10" s="488">
        <f t="shared" si="3"/>
        <v>0</v>
      </c>
      <c r="J10" s="488">
        <f t="shared" si="3"/>
        <v>0</v>
      </c>
      <c r="K10" s="488">
        <f t="shared" si="3"/>
        <v>0</v>
      </c>
      <c r="L10" s="468">
        <f t="shared" si="3"/>
        <v>0</v>
      </c>
      <c r="M10" s="488">
        <f t="shared" si="3"/>
        <v>0</v>
      </c>
      <c r="N10" s="488">
        <f t="shared" si="3"/>
        <v>0</v>
      </c>
      <c r="O10" s="488">
        <f t="shared" si="3"/>
        <v>0</v>
      </c>
      <c r="P10" s="488">
        <f t="shared" si="3"/>
        <v>0</v>
      </c>
      <c r="Q10" s="468">
        <f t="shared" si="3"/>
        <v>0</v>
      </c>
      <c r="R10" s="485">
        <f t="shared" si="0"/>
        <v>0</v>
      </c>
      <c r="V10" s="489"/>
    </row>
    <row r="11" spans="1:22" x14ac:dyDescent="0.2">
      <c r="A11" s="52"/>
      <c r="B11" s="226"/>
      <c r="C11" s="473"/>
      <c r="D11" s="473"/>
      <c r="E11" s="473"/>
      <c r="F11" s="128"/>
      <c r="G11" s="473"/>
      <c r="H11" s="473"/>
      <c r="I11" s="473"/>
      <c r="J11" s="473"/>
      <c r="K11" s="473"/>
      <c r="L11" s="128"/>
      <c r="M11" s="473"/>
      <c r="N11" s="473"/>
      <c r="O11" s="473"/>
      <c r="P11" s="473"/>
      <c r="Q11" s="128"/>
      <c r="R11" s="492"/>
      <c r="T11" s="484"/>
      <c r="U11" s="484"/>
      <c r="V11" s="283"/>
    </row>
    <row r="12" spans="1:22" ht="18" customHeight="1" thickBot="1" x14ac:dyDescent="0.25">
      <c r="A12" s="190" t="s">
        <v>28</v>
      </c>
      <c r="B12" s="493">
        <f t="shared" ref="B12:Q12" si="5">B6+B10</f>
        <v>64</v>
      </c>
      <c r="C12" s="191">
        <f t="shared" si="5"/>
        <v>0</v>
      </c>
      <c r="D12" s="191">
        <f t="shared" ref="D12:E12" si="6">D6+D10</f>
        <v>2</v>
      </c>
      <c r="E12" s="191">
        <f t="shared" si="6"/>
        <v>28</v>
      </c>
      <c r="F12" s="192">
        <f t="shared" si="5"/>
        <v>436</v>
      </c>
      <c r="G12" s="191">
        <f t="shared" si="5"/>
        <v>60</v>
      </c>
      <c r="H12" s="191">
        <f t="shared" si="5"/>
        <v>0</v>
      </c>
      <c r="I12" s="191">
        <f t="shared" si="5"/>
        <v>290</v>
      </c>
      <c r="J12" s="191">
        <f t="shared" si="5"/>
        <v>36</v>
      </c>
      <c r="K12" s="191">
        <f t="shared" si="5"/>
        <v>8</v>
      </c>
      <c r="L12" s="192">
        <f t="shared" si="5"/>
        <v>42</v>
      </c>
      <c r="M12" s="191">
        <f t="shared" si="5"/>
        <v>0</v>
      </c>
      <c r="N12" s="191">
        <f t="shared" si="5"/>
        <v>42</v>
      </c>
      <c r="O12" s="191">
        <f t="shared" si="5"/>
        <v>123</v>
      </c>
      <c r="P12" s="191">
        <f t="shared" si="5"/>
        <v>305</v>
      </c>
      <c r="Q12" s="192">
        <f t="shared" si="5"/>
        <v>0</v>
      </c>
      <c r="R12" s="494">
        <f>SUM(B12:Q12)</f>
        <v>1436</v>
      </c>
      <c r="T12" s="484"/>
      <c r="U12" s="484"/>
      <c r="V12" s="283"/>
    </row>
    <row r="13" spans="1:22" ht="18" customHeight="1" thickBot="1" x14ac:dyDescent="0.25">
      <c r="A13" s="174"/>
      <c r="B13" s="495"/>
      <c r="C13" s="496"/>
      <c r="D13" s="496"/>
      <c r="E13" s="496"/>
      <c r="F13" s="469"/>
      <c r="G13" s="496"/>
      <c r="H13" s="496"/>
      <c r="I13" s="496"/>
      <c r="J13" s="496"/>
      <c r="K13" s="496"/>
      <c r="L13" s="469"/>
      <c r="M13" s="496"/>
      <c r="N13" s="496"/>
      <c r="O13" s="496"/>
      <c r="P13" s="496"/>
      <c r="Q13" s="469"/>
      <c r="R13" s="2"/>
      <c r="T13" s="484"/>
      <c r="U13" s="484"/>
      <c r="V13" s="283"/>
    </row>
    <row r="14" spans="1:22" ht="15" x14ac:dyDescent="0.25">
      <c r="A14" s="193" t="s">
        <v>92</v>
      </c>
      <c r="B14" s="497"/>
      <c r="C14" s="194"/>
      <c r="D14" s="194"/>
      <c r="E14" s="194"/>
      <c r="F14" s="79"/>
      <c r="G14" s="194"/>
      <c r="H14" s="194"/>
      <c r="I14" s="194"/>
      <c r="J14" s="194"/>
      <c r="K14" s="194"/>
      <c r="L14" s="79"/>
      <c r="M14" s="194"/>
      <c r="N14" s="194"/>
      <c r="O14" s="194"/>
      <c r="P14" s="194"/>
      <c r="Q14" s="79"/>
      <c r="R14" s="498"/>
      <c r="T14" s="484"/>
      <c r="U14" s="484"/>
      <c r="V14" s="283"/>
    </row>
    <row r="15" spans="1:22" x14ac:dyDescent="0.2">
      <c r="A15" s="195" t="s">
        <v>93</v>
      </c>
      <c r="B15" s="226"/>
      <c r="C15" s="473"/>
      <c r="D15" s="473"/>
      <c r="E15" s="473"/>
      <c r="F15" s="2"/>
      <c r="G15" s="473"/>
      <c r="H15" s="473"/>
      <c r="I15" s="473"/>
      <c r="J15" s="473"/>
      <c r="K15" s="473"/>
      <c r="L15" s="2"/>
      <c r="M15" s="473"/>
      <c r="N15" s="473"/>
      <c r="O15" s="473"/>
      <c r="P15" s="473"/>
      <c r="Q15" s="2"/>
      <c r="R15" s="177"/>
      <c r="T15" s="484"/>
      <c r="U15" s="484"/>
      <c r="V15" s="283"/>
    </row>
    <row r="16" spans="1:22" x14ac:dyDescent="0.2">
      <c r="A16" s="52" t="s">
        <v>37</v>
      </c>
      <c r="B16" s="226">
        <f>'[3]Atlas Air'!$HK$47</f>
        <v>2248616</v>
      </c>
      <c r="C16" s="473">
        <f>[3]DHL!$HK$47+[3]DHL_Atlas!$HK$47</f>
        <v>0</v>
      </c>
      <c r="D16" s="473">
        <f>[3]Airborne!$HK$47</f>
        <v>39615</v>
      </c>
      <c r="E16" s="473">
        <f>[3]DHL_Bemidji!$HK$47</f>
        <v>28754</v>
      </c>
      <c r="F16" s="569" t="s">
        <v>86</v>
      </c>
      <c r="G16" s="473">
        <f>[3]DHL_Encore!$HK$47</f>
        <v>53016</v>
      </c>
      <c r="H16" s="473">
        <f>[3]Encore!$HK$47</f>
        <v>0</v>
      </c>
      <c r="I16" s="473">
        <f>[3]FedEx!$HK$47</f>
        <v>8790717</v>
      </c>
      <c r="J16" s="473">
        <f>[3]IFL!$HK$47</f>
        <v>65169</v>
      </c>
      <c r="K16" s="473">
        <f>[3]DHL_Kalitta!$HK$47</f>
        <v>139672.43</v>
      </c>
      <c r="L16" s="128">
        <f>'[3]Mountain Cargo'!$HK$47</f>
        <v>0</v>
      </c>
      <c r="M16" s="473">
        <f>[3]DHL_Southair!$HK$47</f>
        <v>0</v>
      </c>
      <c r="N16" s="473">
        <f>[3]DHL_Swift!$HK$47</f>
        <v>688400</v>
      </c>
      <c r="O16" s="473">
        <f>+'[3]Sun Country Cargo'!$HK$47</f>
        <v>2210080</v>
      </c>
      <c r="P16" s="473">
        <f>[3]UPS!$HK$47</f>
        <v>6313951</v>
      </c>
      <c r="Q16" s="128">
        <f>'[3]Misc Cargo'!$HK$47</f>
        <v>0</v>
      </c>
      <c r="R16" s="485">
        <f>SUM(B16:E16)+SUM(G16:Q16)</f>
        <v>20577990.43</v>
      </c>
      <c r="T16" s="484"/>
      <c r="U16" s="484"/>
      <c r="V16" s="283"/>
    </row>
    <row r="17" spans="1:22" x14ac:dyDescent="0.2">
      <c r="A17" s="52" t="s">
        <v>38</v>
      </c>
      <c r="B17" s="226">
        <f>'[3]Atlas Air'!$HK$48</f>
        <v>0</v>
      </c>
      <c r="C17" s="473">
        <f>[3]DHL!$HK$48</f>
        <v>0</v>
      </c>
      <c r="D17" s="473">
        <f>[3]Airborne!$HK$48</f>
        <v>0</v>
      </c>
      <c r="E17" s="473">
        <f>[3]DHL_Bemidji!$HK$48</f>
        <v>0</v>
      </c>
      <c r="F17" s="570"/>
      <c r="G17" s="473">
        <f>[3]DHL_Encore!$HK$48</f>
        <v>0</v>
      </c>
      <c r="H17" s="473">
        <f>[3]Encore!$HK$48</f>
        <v>0</v>
      </c>
      <c r="I17" s="473">
        <f>[3]FedEx!$HK$48</f>
        <v>0</v>
      </c>
      <c r="J17" s="473">
        <f>[3]IFL!$HK$48</f>
        <v>0</v>
      </c>
      <c r="K17" s="473">
        <f>[3]DHL_Kalitta!$HK$48</f>
        <v>0</v>
      </c>
      <c r="L17" s="128">
        <f>'[3]Mountain Cargo'!$HK$48</f>
        <v>57265</v>
      </c>
      <c r="M17" s="473">
        <f>[3]DHL_Southair!$HK$48</f>
        <v>0</v>
      </c>
      <c r="N17" s="473">
        <f>[3]DHL_Swift!$HK$48</f>
        <v>0</v>
      </c>
      <c r="O17" s="473">
        <f>+'[3]Sun Country Cargo'!$HK$48</f>
        <v>0</v>
      </c>
      <c r="P17" s="473">
        <f>[3]UPS!$HK$48</f>
        <v>762921</v>
      </c>
      <c r="Q17" s="128">
        <f>'[3]Misc Cargo'!$HK$48</f>
        <v>0</v>
      </c>
      <c r="R17" s="485">
        <f>SUM(B17:E17)+SUM(G17:Q17)</f>
        <v>820186</v>
      </c>
      <c r="T17" s="484"/>
      <c r="U17" s="484"/>
      <c r="V17" s="283"/>
    </row>
    <row r="18" spans="1:22" ht="18" customHeight="1" x14ac:dyDescent="0.2">
      <c r="A18" s="196" t="s">
        <v>39</v>
      </c>
      <c r="B18" s="499">
        <f>SUM(B16:B17)</f>
        <v>2248616</v>
      </c>
      <c r="C18" s="274">
        <f>SUM(C16:C17)</f>
        <v>0</v>
      </c>
      <c r="D18" s="274">
        <f>SUM(D16:D17)</f>
        <v>39615</v>
      </c>
      <c r="E18" s="274">
        <f>SUM(E16:E17)</f>
        <v>28754</v>
      </c>
      <c r="F18" s="570"/>
      <c r="G18" s="274">
        <f>SUM(G16:G17)</f>
        <v>53016</v>
      </c>
      <c r="H18" s="274">
        <f>SUM(H16:H17)</f>
        <v>0</v>
      </c>
      <c r="I18" s="274">
        <f>SUM(I16:I17)</f>
        <v>8790717</v>
      </c>
      <c r="J18" s="274">
        <f>SUM(J16:J17)</f>
        <v>65169</v>
      </c>
      <c r="K18" s="274">
        <f t="shared" ref="K18:Q18" si="7">SUM(K16:K17)</f>
        <v>139672.43</v>
      </c>
      <c r="L18" s="275">
        <f t="shared" si="7"/>
        <v>57265</v>
      </c>
      <c r="M18" s="274">
        <f t="shared" si="7"/>
        <v>0</v>
      </c>
      <c r="N18" s="274">
        <f t="shared" si="7"/>
        <v>688400</v>
      </c>
      <c r="O18" s="274">
        <f t="shared" si="7"/>
        <v>2210080</v>
      </c>
      <c r="P18" s="274">
        <f t="shared" si="7"/>
        <v>7076872</v>
      </c>
      <c r="Q18" s="275">
        <f t="shared" si="7"/>
        <v>0</v>
      </c>
      <c r="R18" s="500">
        <f>SUM(B18:E18)+SUM(G18:Q18)</f>
        <v>21398176.43</v>
      </c>
      <c r="T18" s="484"/>
      <c r="U18" s="484"/>
      <c r="V18" s="283"/>
    </row>
    <row r="19" spans="1:22" x14ac:dyDescent="0.2">
      <c r="A19" s="52"/>
      <c r="B19" s="226"/>
      <c r="C19" s="473"/>
      <c r="D19" s="473"/>
      <c r="E19" s="473"/>
      <c r="F19" s="570"/>
      <c r="G19" s="473"/>
      <c r="H19" s="473"/>
      <c r="I19" s="473"/>
      <c r="J19" s="473"/>
      <c r="K19" s="473"/>
      <c r="L19" s="128"/>
      <c r="M19" s="473"/>
      <c r="N19" s="473"/>
      <c r="O19" s="473"/>
      <c r="P19" s="473"/>
      <c r="Q19" s="128"/>
      <c r="R19" s="485"/>
      <c r="T19" s="490"/>
      <c r="U19" s="484"/>
      <c r="V19" s="283"/>
    </row>
    <row r="20" spans="1:22" x14ac:dyDescent="0.2">
      <c r="A20" s="195" t="s">
        <v>87</v>
      </c>
      <c r="B20" s="226"/>
      <c r="C20" s="473"/>
      <c r="D20" s="473"/>
      <c r="E20" s="473"/>
      <c r="F20" s="570"/>
      <c r="G20" s="473"/>
      <c r="H20" s="473"/>
      <c r="I20" s="473"/>
      <c r="J20" s="473"/>
      <c r="K20" s="473"/>
      <c r="L20" s="128"/>
      <c r="M20" s="473"/>
      <c r="N20" s="473"/>
      <c r="O20" s="473"/>
      <c r="P20" s="473"/>
      <c r="Q20" s="128"/>
      <c r="R20" s="485"/>
      <c r="T20" s="490"/>
      <c r="U20" s="484"/>
      <c r="V20" s="283"/>
    </row>
    <row r="21" spans="1:22" x14ac:dyDescent="0.2">
      <c r="A21" s="52" t="s">
        <v>59</v>
      </c>
      <c r="B21" s="226">
        <f>'[3]Atlas Air'!$HK$52</f>
        <v>1131437</v>
      </c>
      <c r="C21" s="473">
        <f>[3]DHL!$HK$52+[3]DHL_Atlas!$HK$52</f>
        <v>0</v>
      </c>
      <c r="D21" s="473">
        <f>[3]Airborne!$HK$52</f>
        <v>20096</v>
      </c>
      <c r="E21" s="473">
        <f>[3]DHL_Bemidji!$HK$52</f>
        <v>19208</v>
      </c>
      <c r="F21" s="570"/>
      <c r="G21" s="473">
        <f>[3]DHL_Encore!$HK$52</f>
        <v>41755</v>
      </c>
      <c r="H21" s="473">
        <f>[3]Encore!$HK$52</f>
        <v>0</v>
      </c>
      <c r="I21" s="473">
        <f>[3]FedEx!$HK$52</f>
        <v>7344596</v>
      </c>
      <c r="J21" s="473">
        <f>[3]IFL!$HK$52</f>
        <v>0</v>
      </c>
      <c r="K21" s="473">
        <f>[3]DHL_Kalitta!$HK$52</f>
        <v>114328.35</v>
      </c>
      <c r="L21" s="128">
        <f>'[3]Mountain Cargo'!$HK$52</f>
        <v>0</v>
      </c>
      <c r="M21" s="473">
        <f>[3]DHL_Southair!$HK$52</f>
        <v>0</v>
      </c>
      <c r="N21" s="473">
        <f>[3]DHL_Swift!$HK$52</f>
        <v>419593</v>
      </c>
      <c r="O21" s="473">
        <f>+'[3]Sun Country Cargo'!$HK$52</f>
        <v>1425528</v>
      </c>
      <c r="P21" s="473">
        <f>[3]UPS!$HK$52</f>
        <v>5367430</v>
      </c>
      <c r="Q21" s="128">
        <f>'[3]Misc Cargo'!$HK$52</f>
        <v>0</v>
      </c>
      <c r="R21" s="485">
        <f>SUM(B21:E21)+SUM(G21:Q21)</f>
        <v>15883971.35</v>
      </c>
      <c r="T21" s="484"/>
      <c r="U21" s="484"/>
      <c r="V21" s="283"/>
    </row>
    <row r="22" spans="1:22" x14ac:dyDescent="0.2">
      <c r="A22" s="52" t="s">
        <v>60</v>
      </c>
      <c r="B22" s="226">
        <f>'[3]Atlas Air'!$HK$53</f>
        <v>0</v>
      </c>
      <c r="C22" s="473">
        <f>[3]DHL!$HK$53</f>
        <v>0</v>
      </c>
      <c r="D22" s="473">
        <f>[3]Airborne!$HK$53</f>
        <v>0</v>
      </c>
      <c r="E22" s="473">
        <f>[3]DHL_Bemidji!$HK$53</f>
        <v>0</v>
      </c>
      <c r="F22" s="570"/>
      <c r="G22" s="473">
        <f>[3]DHL_Encore!$HK$53</f>
        <v>0</v>
      </c>
      <c r="H22" s="473">
        <f>[3]Encore!$HK$53</f>
        <v>0</v>
      </c>
      <c r="I22" s="473">
        <f>[3]FedEx!$HK$53</f>
        <v>0</v>
      </c>
      <c r="J22" s="473">
        <f>[3]IFL!$HK$53</f>
        <v>0</v>
      </c>
      <c r="K22" s="473">
        <f>[3]DHL_Kalitta!$HK$53</f>
        <v>0</v>
      </c>
      <c r="L22" s="128">
        <f>'[3]Mountain Cargo'!$HK$53</f>
        <v>113059</v>
      </c>
      <c r="M22" s="473">
        <f>[3]DHL_Southair!$HK$53</f>
        <v>0</v>
      </c>
      <c r="N22" s="473">
        <f>[3]DHL_Swift!$HK$53</f>
        <v>0</v>
      </c>
      <c r="O22" s="473">
        <f>+'[3]Sun Country Cargo'!$HK$53</f>
        <v>0</v>
      </c>
      <c r="P22" s="473">
        <f>[3]UPS!$HK$53</f>
        <v>778290</v>
      </c>
      <c r="Q22" s="128">
        <f>'[3]Misc Cargo'!$HK$53</f>
        <v>0</v>
      </c>
      <c r="R22" s="485">
        <f>SUM(B22:E22)+SUM(G22:Q22)</f>
        <v>891349</v>
      </c>
      <c r="T22" s="484"/>
      <c r="U22" s="484"/>
      <c r="V22" s="283"/>
    </row>
    <row r="23" spans="1:22" ht="18" customHeight="1" x14ac:dyDescent="0.2">
      <c r="A23" s="196" t="s">
        <v>41</v>
      </c>
      <c r="B23" s="499">
        <f>SUM(B21:B22)</f>
        <v>1131437</v>
      </c>
      <c r="C23" s="274">
        <f>SUM(C21:C22)</f>
        <v>0</v>
      </c>
      <c r="D23" s="274">
        <f t="shared" ref="D23:E23" si="8">SUM(D21:D22)</f>
        <v>20096</v>
      </c>
      <c r="E23" s="274">
        <f t="shared" si="8"/>
        <v>19208</v>
      </c>
      <c r="F23" s="570"/>
      <c r="G23" s="274">
        <f t="shared" ref="G23:Q23" si="9">SUM(G21:G22)</f>
        <v>41755</v>
      </c>
      <c r="H23" s="274">
        <f t="shared" si="9"/>
        <v>0</v>
      </c>
      <c r="I23" s="274">
        <f t="shared" si="9"/>
        <v>7344596</v>
      </c>
      <c r="J23" s="274">
        <f t="shared" si="9"/>
        <v>0</v>
      </c>
      <c r="K23" s="274">
        <f t="shared" si="9"/>
        <v>114328.35</v>
      </c>
      <c r="L23" s="275">
        <f t="shared" si="9"/>
        <v>113059</v>
      </c>
      <c r="M23" s="274">
        <f t="shared" si="9"/>
        <v>0</v>
      </c>
      <c r="N23" s="274">
        <f t="shared" si="9"/>
        <v>419593</v>
      </c>
      <c r="O23" s="274">
        <f t="shared" si="9"/>
        <v>1425528</v>
      </c>
      <c r="P23" s="274">
        <f t="shared" si="9"/>
        <v>6145720</v>
      </c>
      <c r="Q23" s="275">
        <f t="shared" si="9"/>
        <v>0</v>
      </c>
      <c r="R23" s="500">
        <f>SUM(B23:E23)+SUM(G23:Q23)</f>
        <v>16775320.35</v>
      </c>
      <c r="T23" s="484"/>
      <c r="U23" s="484"/>
      <c r="V23" s="283"/>
    </row>
    <row r="24" spans="1:22" x14ac:dyDescent="0.2">
      <c r="A24" s="52"/>
      <c r="B24" s="226"/>
      <c r="C24" s="473"/>
      <c r="D24" s="473"/>
      <c r="E24" s="473"/>
      <c r="F24" s="570"/>
      <c r="G24" s="473"/>
      <c r="H24" s="473"/>
      <c r="I24" s="473"/>
      <c r="J24" s="473"/>
      <c r="K24" s="473"/>
      <c r="L24" s="128"/>
      <c r="M24" s="473"/>
      <c r="N24" s="473"/>
      <c r="O24" s="473"/>
      <c r="P24" s="473"/>
      <c r="Q24" s="128"/>
      <c r="R24" s="485"/>
      <c r="T24" s="484"/>
      <c r="U24" s="484"/>
      <c r="V24" s="283"/>
    </row>
    <row r="25" spans="1:22" x14ac:dyDescent="0.2">
      <c r="A25" s="195" t="s">
        <v>94</v>
      </c>
      <c r="B25" s="226"/>
      <c r="C25" s="473"/>
      <c r="D25" s="473"/>
      <c r="E25" s="473"/>
      <c r="F25" s="570"/>
      <c r="G25" s="473"/>
      <c r="H25" s="473"/>
      <c r="I25" s="473"/>
      <c r="J25" s="473"/>
      <c r="K25" s="473"/>
      <c r="L25" s="128"/>
      <c r="M25" s="473"/>
      <c r="N25" s="473"/>
      <c r="O25" s="473"/>
      <c r="P25" s="473"/>
      <c r="Q25" s="128"/>
      <c r="R25" s="485"/>
      <c r="T25" s="484"/>
      <c r="U25" s="484"/>
      <c r="V25" s="283"/>
    </row>
    <row r="26" spans="1:22" x14ac:dyDescent="0.2">
      <c r="A26" s="52" t="s">
        <v>59</v>
      </c>
      <c r="B26" s="226">
        <f>'[3]Atlas Air'!$HK$57</f>
        <v>0</v>
      </c>
      <c r="C26" s="473">
        <f>[3]DHL!$HK$57</f>
        <v>0</v>
      </c>
      <c r="D26" s="473">
        <f>[3]Airborne!$HK$57</f>
        <v>0</v>
      </c>
      <c r="E26" s="473">
        <f>[3]DHL_Bemidji!$HK$57</f>
        <v>0</v>
      </c>
      <c r="F26" s="570"/>
      <c r="G26" s="473">
        <f>[3]DHL_Encore!$HK$57</f>
        <v>0</v>
      </c>
      <c r="H26" s="473">
        <f>[3]Encore!$HK$57</f>
        <v>0</v>
      </c>
      <c r="I26" s="473">
        <f>[3]FedEx!$HK$57</f>
        <v>0</v>
      </c>
      <c r="J26" s="473">
        <f>[3]IFL!$HK$57</f>
        <v>0</v>
      </c>
      <c r="K26" s="473">
        <f>[3]DHL_Kalitta!$HK$57</f>
        <v>0</v>
      </c>
      <c r="L26" s="128">
        <f>'[3]Mountain Cargo'!$HK$57</f>
        <v>0</v>
      </c>
      <c r="M26" s="473">
        <f>[3]DHL_Southair!$HK$57</f>
        <v>0</v>
      </c>
      <c r="N26" s="473">
        <f>[3]DHL_Swift!$HK$57</f>
        <v>0</v>
      </c>
      <c r="O26" s="473">
        <f>+'[3]Sun Country Cargo'!$HK$57</f>
        <v>0</v>
      </c>
      <c r="P26" s="473">
        <f>[3]UPS!$HK$57</f>
        <v>0</v>
      </c>
      <c r="Q26" s="128">
        <f>'[3]Misc Cargo'!$HK$57</f>
        <v>0</v>
      </c>
      <c r="R26" s="485">
        <f>SUM(B26:D26)+SUM(G26:Q26)</f>
        <v>0</v>
      </c>
      <c r="T26" s="484"/>
      <c r="U26" s="484"/>
      <c r="V26" s="484"/>
    </row>
    <row r="27" spans="1:22" x14ac:dyDescent="0.2">
      <c r="A27" s="52" t="s">
        <v>60</v>
      </c>
      <c r="B27" s="226">
        <f>'[3]Atlas Air'!$HK$58</f>
        <v>0</v>
      </c>
      <c r="C27" s="473">
        <f>[3]DHL!$HK$58</f>
        <v>0</v>
      </c>
      <c r="D27" s="473">
        <f>[3]Airborne!$HK$58</f>
        <v>0</v>
      </c>
      <c r="E27" s="473">
        <f>[3]DHL_Bemidji!$HK$58</f>
        <v>0</v>
      </c>
      <c r="F27" s="570"/>
      <c r="G27" s="473">
        <f>[3]DHL_Encore!$HK$58</f>
        <v>0</v>
      </c>
      <c r="H27" s="473">
        <f>[3]Encore!$HK$58</f>
        <v>0</v>
      </c>
      <c r="I27" s="473">
        <f>[3]FedEx!$HK$58</f>
        <v>0</v>
      </c>
      <c r="J27" s="473">
        <f>[3]IFL!$HK$58</f>
        <v>0</v>
      </c>
      <c r="K27" s="473">
        <f>[3]DHL_Kalitta!$HK$58</f>
        <v>0</v>
      </c>
      <c r="L27" s="128">
        <f>'[3]Mountain Cargo'!$HK$58</f>
        <v>0</v>
      </c>
      <c r="M27" s="473">
        <f>[3]DHL_Southair!$HK$58</f>
        <v>0</v>
      </c>
      <c r="N27" s="473">
        <f>[3]DHL_Swift!$HK$58</f>
        <v>0</v>
      </c>
      <c r="O27" s="473">
        <f>+'[3]Sun Country Cargo'!$HK$58</f>
        <v>0</v>
      </c>
      <c r="P27" s="473">
        <f>[3]UPS!$HK$58</f>
        <v>0</v>
      </c>
      <c r="Q27" s="128">
        <f>'[3]Misc Cargo'!$HK$58</f>
        <v>0</v>
      </c>
      <c r="R27" s="485">
        <f>SUM(B27:D27)+SUM(G27:Q27)</f>
        <v>0</v>
      </c>
      <c r="T27" s="484"/>
      <c r="U27" s="484"/>
      <c r="V27" s="283"/>
    </row>
    <row r="28" spans="1:22" ht="18" customHeight="1" x14ac:dyDescent="0.2">
      <c r="A28" s="196" t="s">
        <v>43</v>
      </c>
      <c r="B28" s="499">
        <f>SUM(B26:B27)</f>
        <v>0</v>
      </c>
      <c r="C28" s="274">
        <f>SUM(C26:C27)</f>
        <v>0</v>
      </c>
      <c r="D28" s="274">
        <f t="shared" ref="D28:E28" si="10">SUM(D26:D27)</f>
        <v>0</v>
      </c>
      <c r="E28" s="274">
        <f t="shared" si="10"/>
        <v>0</v>
      </c>
      <c r="F28" s="570"/>
      <c r="G28" s="274">
        <f t="shared" ref="G28:Q28" si="11">SUM(G26:G27)</f>
        <v>0</v>
      </c>
      <c r="H28" s="274">
        <f t="shared" si="11"/>
        <v>0</v>
      </c>
      <c r="I28" s="274">
        <f t="shared" si="11"/>
        <v>0</v>
      </c>
      <c r="J28" s="274">
        <f t="shared" si="11"/>
        <v>0</v>
      </c>
      <c r="K28" s="274">
        <f t="shared" si="11"/>
        <v>0</v>
      </c>
      <c r="L28" s="275">
        <f t="shared" si="11"/>
        <v>0</v>
      </c>
      <c r="M28" s="274">
        <f t="shared" si="11"/>
        <v>0</v>
      </c>
      <c r="N28" s="274">
        <f t="shared" si="11"/>
        <v>0</v>
      </c>
      <c r="O28" s="274">
        <f t="shared" si="11"/>
        <v>0</v>
      </c>
      <c r="P28" s="274">
        <f t="shared" si="11"/>
        <v>0</v>
      </c>
      <c r="Q28" s="275">
        <f t="shared" si="11"/>
        <v>0</v>
      </c>
      <c r="R28" s="500">
        <f>SUM(B28:D28)+SUM(G28:Q28)</f>
        <v>0</v>
      </c>
      <c r="T28" s="484"/>
      <c r="U28" s="484"/>
      <c r="V28" s="484"/>
    </row>
    <row r="29" spans="1:22" x14ac:dyDescent="0.2">
      <c r="A29" s="52"/>
      <c r="B29" s="226"/>
      <c r="C29" s="473"/>
      <c r="D29" s="473"/>
      <c r="E29" s="473"/>
      <c r="F29" s="570"/>
      <c r="G29" s="473"/>
      <c r="H29" s="473"/>
      <c r="I29" s="473"/>
      <c r="J29" s="473"/>
      <c r="K29" s="473"/>
      <c r="L29" s="128"/>
      <c r="M29" s="473"/>
      <c r="N29" s="473"/>
      <c r="O29" s="473"/>
      <c r="P29" s="473"/>
      <c r="Q29" s="128"/>
      <c r="R29" s="485"/>
      <c r="T29" s="484"/>
      <c r="U29" s="484"/>
      <c r="V29" s="484"/>
    </row>
    <row r="30" spans="1:22" x14ac:dyDescent="0.2">
      <c r="A30" s="197" t="s">
        <v>44</v>
      </c>
      <c r="B30" s="226"/>
      <c r="C30" s="473"/>
      <c r="D30" s="473"/>
      <c r="E30" s="473"/>
      <c r="F30" s="570"/>
      <c r="G30" s="473"/>
      <c r="H30" s="473"/>
      <c r="I30" s="473"/>
      <c r="J30" s="473"/>
      <c r="K30" s="473"/>
      <c r="L30" s="128"/>
      <c r="M30" s="473"/>
      <c r="N30" s="473"/>
      <c r="O30" s="473"/>
      <c r="P30" s="473"/>
      <c r="Q30" s="128"/>
      <c r="R30" s="485"/>
      <c r="T30" s="484"/>
      <c r="U30" s="484"/>
      <c r="V30" s="484"/>
    </row>
    <row r="31" spans="1:22" x14ac:dyDescent="0.2">
      <c r="A31" s="52" t="s">
        <v>88</v>
      </c>
      <c r="B31" s="226">
        <f>B26+B21+B16</f>
        <v>3380053</v>
      </c>
      <c r="C31" s="473">
        <f t="shared" ref="C31:Q33" si="12">C26+C21+C16</f>
        <v>0</v>
      </c>
      <c r="D31" s="473">
        <f t="shared" si="12"/>
        <v>59711</v>
      </c>
      <c r="E31" s="473">
        <f t="shared" ref="E31" si="13">E26+E21+E16</f>
        <v>47962</v>
      </c>
      <c r="F31" s="570"/>
      <c r="G31" s="473">
        <f t="shared" ref="G31:O33" si="14">G26+G21+G16</f>
        <v>94771</v>
      </c>
      <c r="H31" s="473">
        <f t="shared" si="14"/>
        <v>0</v>
      </c>
      <c r="I31" s="473">
        <f t="shared" si="14"/>
        <v>16135313</v>
      </c>
      <c r="J31" s="473">
        <f t="shared" si="14"/>
        <v>65169</v>
      </c>
      <c r="K31" s="473">
        <f t="shared" si="14"/>
        <v>254000.78</v>
      </c>
      <c r="L31" s="128">
        <f>L26+L21+L16</f>
        <v>0</v>
      </c>
      <c r="M31" s="473">
        <f t="shared" si="14"/>
        <v>0</v>
      </c>
      <c r="N31" s="473">
        <f t="shared" si="14"/>
        <v>1107993</v>
      </c>
      <c r="O31" s="473">
        <f t="shared" si="14"/>
        <v>3635608</v>
      </c>
      <c r="P31" s="473">
        <f t="shared" si="12"/>
        <v>11681381</v>
      </c>
      <c r="Q31" s="128">
        <f>Q26+Q21+Q16</f>
        <v>0</v>
      </c>
      <c r="R31" s="485">
        <f>SUM(B31:E31)+SUM(G31:Q31)</f>
        <v>36461961.780000001</v>
      </c>
    </row>
    <row r="32" spans="1:22" x14ac:dyDescent="0.2">
      <c r="A32" s="52" t="s">
        <v>60</v>
      </c>
      <c r="B32" s="226">
        <f>B27+B22+B17</f>
        <v>0</v>
      </c>
      <c r="C32" s="473">
        <f t="shared" si="12"/>
        <v>0</v>
      </c>
      <c r="D32" s="473">
        <f t="shared" si="12"/>
        <v>0</v>
      </c>
      <c r="E32" s="473">
        <f t="shared" ref="E32" si="15">E27+E22+E17</f>
        <v>0</v>
      </c>
      <c r="F32" s="571"/>
      <c r="G32" s="473">
        <f t="shared" si="14"/>
        <v>0</v>
      </c>
      <c r="H32" s="473">
        <f t="shared" si="14"/>
        <v>0</v>
      </c>
      <c r="I32" s="473">
        <f t="shared" si="14"/>
        <v>0</v>
      </c>
      <c r="J32" s="473">
        <f t="shared" si="14"/>
        <v>0</v>
      </c>
      <c r="K32" s="473">
        <f t="shared" si="14"/>
        <v>0</v>
      </c>
      <c r="L32" s="128">
        <f>L27+L22+L17</f>
        <v>170324</v>
      </c>
      <c r="M32" s="473">
        <f t="shared" si="14"/>
        <v>0</v>
      </c>
      <c r="N32" s="473">
        <f t="shared" si="14"/>
        <v>0</v>
      </c>
      <c r="O32" s="473">
        <f t="shared" si="14"/>
        <v>0</v>
      </c>
      <c r="P32" s="473">
        <f t="shared" si="12"/>
        <v>1541211</v>
      </c>
      <c r="Q32" s="128">
        <f>Q27+Q22+Q17</f>
        <v>0</v>
      </c>
      <c r="R32" s="501">
        <f>SUM(B32:E32)+SUM(G32:Q32)</f>
        <v>1711535</v>
      </c>
    </row>
    <row r="33" spans="1:18" ht="18" customHeight="1" thickBot="1" x14ac:dyDescent="0.25">
      <c r="A33" s="190" t="s">
        <v>46</v>
      </c>
      <c r="B33" s="493">
        <f>B28+B23+B18</f>
        <v>3380053</v>
      </c>
      <c r="C33" s="191">
        <f t="shared" ref="C33:H33" si="16">C28+C23+C18</f>
        <v>0</v>
      </c>
      <c r="D33" s="191">
        <f t="shared" si="16"/>
        <v>59711</v>
      </c>
      <c r="E33" s="191">
        <f t="shared" si="16"/>
        <v>47962</v>
      </c>
      <c r="F33" s="276">
        <f t="shared" si="16"/>
        <v>0</v>
      </c>
      <c r="G33" s="191">
        <f t="shared" si="16"/>
        <v>94771</v>
      </c>
      <c r="H33" s="191">
        <f t="shared" si="16"/>
        <v>0</v>
      </c>
      <c r="I33" s="191">
        <f t="shared" si="14"/>
        <v>16135313</v>
      </c>
      <c r="J33" s="191">
        <f t="shared" si="14"/>
        <v>65169</v>
      </c>
      <c r="K33" s="191">
        <f t="shared" si="14"/>
        <v>254000.78</v>
      </c>
      <c r="L33" s="192">
        <f>L28+L23+L18</f>
        <v>170324</v>
      </c>
      <c r="M33" s="191">
        <f t="shared" si="14"/>
        <v>0</v>
      </c>
      <c r="N33" s="191">
        <f t="shared" si="14"/>
        <v>1107993</v>
      </c>
      <c r="O33" s="191">
        <f t="shared" si="12"/>
        <v>3635608</v>
      </c>
      <c r="P33" s="191">
        <f t="shared" si="12"/>
        <v>13222592</v>
      </c>
      <c r="Q33" s="192">
        <f t="shared" si="12"/>
        <v>0</v>
      </c>
      <c r="R33" s="494">
        <f>SUM(B33:E33)+SUM(G33:Q33)</f>
        <v>38173496.780000001</v>
      </c>
    </row>
    <row r="34" spans="1:18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8" x14ac:dyDescent="0.2">
      <c r="A36" t="s">
        <v>90</v>
      </c>
    </row>
    <row r="37" spans="1:18" x14ac:dyDescent="0.2">
      <c r="A37" t="s">
        <v>91</v>
      </c>
    </row>
    <row r="38" spans="1:18" x14ac:dyDescent="0.2">
      <c r="R38" s="2"/>
    </row>
  </sheetData>
  <mergeCells count="2">
    <mergeCell ref="B1:Q1"/>
    <mergeCell ref="F16:F32"/>
  </mergeCells>
  <phoneticPr fontId="6" type="noConversion"/>
  <pageMargins left="0.75" right="0.75" top="1" bottom="1" header="0.5" footer="0.5"/>
  <pageSetup scale="68" orientation="landscape" r:id="rId1"/>
  <headerFooter alignWithMargins="0">
    <oddHeader>&amp;L
Schedule 7
&amp;CMinneapolis-St. Paul International Airport
&amp;"Arial,Bold"Cargo
August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D5" sqref="D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44409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2582811</v>
      </c>
      <c r="C5" s="116">
        <f>'Regional Major'!M25</f>
        <v>2309</v>
      </c>
      <c r="D5" s="116">
        <f>Cargo!R16</f>
        <v>20577990.43</v>
      </c>
      <c r="E5" s="116">
        <f>SUM(B5:D5)</f>
        <v>23163110.43</v>
      </c>
      <c r="F5" s="116">
        <f>E5*0.00045359237</f>
        <v>10506.610156515419</v>
      </c>
      <c r="G5" s="144">
        <f>'[1]Cargo Summary'!F5</f>
        <v>8387.8441674034693</v>
      </c>
      <c r="H5" s="96">
        <f>(F5-G5)/G5</f>
        <v>0.25259958897970702</v>
      </c>
      <c r="I5" s="144">
        <f>+F5+'[2]Cargo Summary'!I5</f>
        <v>74407.874528855435</v>
      </c>
      <c r="J5" s="144">
        <f>'[1]Cargo Summary'!I5</f>
        <v>66812.525890022211</v>
      </c>
      <c r="K5" s="83">
        <f>(I5-J5)/J5</f>
        <v>0.11368150713738416</v>
      </c>
      <c r="M5" s="34"/>
    </row>
    <row r="6" spans="1:18" x14ac:dyDescent="0.2">
      <c r="A6" s="60" t="s">
        <v>16</v>
      </c>
      <c r="B6" s="167">
        <f>'Major Airline Stats'!K29</f>
        <v>1471969</v>
      </c>
      <c r="C6" s="116">
        <f>'Regional Major'!M26</f>
        <v>0</v>
      </c>
      <c r="D6" s="116">
        <f>Cargo!R17</f>
        <v>820186</v>
      </c>
      <c r="E6" s="116">
        <f>SUM(B6:D6)</f>
        <v>2292155</v>
      </c>
      <c r="F6" s="116">
        <f>E6*0.00045359237</f>
        <v>1039.7040188573499</v>
      </c>
      <c r="G6" s="144">
        <f>'[1]Cargo Summary'!F6</f>
        <v>764.00876200186997</v>
      </c>
      <c r="H6" s="36">
        <f>(F6-G6)/G6</f>
        <v>0.36085352756046679</v>
      </c>
      <c r="I6" s="144">
        <f>+F6+'[2]Cargo Summary'!I6</f>
        <v>7178.8631048010793</v>
      </c>
      <c r="J6" s="144">
        <f>'[1]Cargo Summary'!I6</f>
        <v>4016.4284409703296</v>
      </c>
      <c r="K6" s="83">
        <f>(I6-J6)/J6</f>
        <v>0.7873748307256625</v>
      </c>
      <c r="M6" s="34"/>
    </row>
    <row r="7" spans="1:18" ht="18" customHeight="1" thickBot="1" x14ac:dyDescent="0.25">
      <c r="A7" s="71" t="s">
        <v>71</v>
      </c>
      <c r="B7" s="169">
        <f>SUM(B5:B6)</f>
        <v>4054780</v>
      </c>
      <c r="C7" s="131">
        <f t="shared" ref="C7:J7" si="0">SUM(C5:C6)</f>
        <v>2309</v>
      </c>
      <c r="D7" s="131">
        <f t="shared" si="0"/>
        <v>21398176.43</v>
      </c>
      <c r="E7" s="131">
        <f t="shared" si="0"/>
        <v>25455265.43</v>
      </c>
      <c r="F7" s="131">
        <f t="shared" si="0"/>
        <v>11546.314175372769</v>
      </c>
      <c r="G7" s="131">
        <f t="shared" si="0"/>
        <v>9151.8529294053387</v>
      </c>
      <c r="H7" s="43">
        <f>(F7-G7)/G7</f>
        <v>0.26163677065590862</v>
      </c>
      <c r="I7" s="131">
        <f t="shared" si="0"/>
        <v>81586.737633656507</v>
      </c>
      <c r="J7" s="131">
        <f t="shared" si="0"/>
        <v>70828.954330992536</v>
      </c>
      <c r="K7" s="290">
        <f>(I7-J7)/J7</f>
        <v>0.15188397745350735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1282712</v>
      </c>
      <c r="C10" s="116">
        <f>'Regional Major'!M30</f>
        <v>1276</v>
      </c>
      <c r="D10" s="116">
        <f>Cargo!R21</f>
        <v>15883971.35</v>
      </c>
      <c r="E10" s="116">
        <f>SUM(B10:D10)</f>
        <v>17167959.350000001</v>
      </c>
      <c r="F10" s="116">
        <f>E10*0.00045359237</f>
        <v>7787.2553696301602</v>
      </c>
      <c r="G10" s="144">
        <f>'[1]Cargo Summary'!F10</f>
        <v>6134.4371893720299</v>
      </c>
      <c r="H10" s="36">
        <f>(F10-G10)/G10</f>
        <v>0.26943273347417318</v>
      </c>
      <c r="I10" s="144">
        <f>+F10+'[2]Cargo Summary'!I10</f>
        <v>59427.91117698462</v>
      </c>
      <c r="J10" s="144">
        <f>'[1]Cargo Summary'!I10</f>
        <v>53615.361571894427</v>
      </c>
      <c r="K10" s="83">
        <f>(I10-J10)/J10</f>
        <v>0.10841201914298336</v>
      </c>
      <c r="M10" s="34"/>
    </row>
    <row r="11" spans="1:18" x14ac:dyDescent="0.2">
      <c r="A11" s="60" t="s">
        <v>16</v>
      </c>
      <c r="B11" s="167">
        <f>'Major Airline Stats'!K34</f>
        <v>1537076</v>
      </c>
      <c r="C11" s="116">
        <f>'Regional Major'!M31</f>
        <v>954</v>
      </c>
      <c r="D11" s="116">
        <f>Cargo!R22</f>
        <v>891349</v>
      </c>
      <c r="E11" s="116">
        <f>SUM(B11:D11)</f>
        <v>2429379</v>
      </c>
      <c r="F11" s="116">
        <f>E11*0.00045359237</f>
        <v>1101.9477782382301</v>
      </c>
      <c r="G11" s="144">
        <f>'[1]Cargo Summary'!F11</f>
        <v>1010.32892338378</v>
      </c>
      <c r="H11" s="34">
        <f>(F11-G11)/G11</f>
        <v>9.0682205303597038E-2</v>
      </c>
      <c r="I11" s="144">
        <f>+F11+'[2]Cargo Summary'!I11</f>
        <v>7224.8891225849793</v>
      </c>
      <c r="J11" s="144">
        <f>'[1]Cargo Summary'!I11</f>
        <v>6754.3850146619006</v>
      </c>
      <c r="K11" s="83">
        <f>(I11-J11)/J11</f>
        <v>6.9659059544539506E-2</v>
      </c>
      <c r="M11" s="34"/>
    </row>
    <row r="12" spans="1:18" ht="18" customHeight="1" thickBot="1" x14ac:dyDescent="0.25">
      <c r="A12" s="71" t="s">
        <v>72</v>
      </c>
      <c r="B12" s="169">
        <f>SUM(B10:B11)</f>
        <v>2819788</v>
      </c>
      <c r="C12" s="131">
        <f t="shared" ref="C12:J12" si="1">SUM(C10:C11)</f>
        <v>2230</v>
      </c>
      <c r="D12" s="131">
        <f t="shared" si="1"/>
        <v>16775320.35</v>
      </c>
      <c r="E12" s="131">
        <f t="shared" si="1"/>
        <v>19597338.350000001</v>
      </c>
      <c r="F12" s="131">
        <f t="shared" si="1"/>
        <v>8889.2031478683894</v>
      </c>
      <c r="G12" s="131">
        <f t="shared" si="1"/>
        <v>7144.7661127558094</v>
      </c>
      <c r="H12" s="43">
        <f>(F12-G12)/G12</f>
        <v>0.2441559328300717</v>
      </c>
      <c r="I12" s="131">
        <f t="shared" si="1"/>
        <v>66652.800299569601</v>
      </c>
      <c r="J12" s="131">
        <f t="shared" si="1"/>
        <v>60369.746586556328</v>
      </c>
      <c r="K12" s="290">
        <f>(I12-J12)/J12</f>
        <v>0.10407619823291488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Cargo!R26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Cargo!R27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3865523</v>
      </c>
      <c r="C20" s="116">
        <f t="shared" si="3"/>
        <v>3585</v>
      </c>
      <c r="D20" s="116">
        <f t="shared" si="3"/>
        <v>36461961.780000001</v>
      </c>
      <c r="E20" s="116">
        <f>SUM(B20:D20)</f>
        <v>40331069.780000001</v>
      </c>
      <c r="F20" s="116">
        <f>E20*0.00045359237</f>
        <v>18293.865526145579</v>
      </c>
      <c r="G20" s="144">
        <f>'[1]Cargo Summary'!F20</f>
        <v>14522.2813567755</v>
      </c>
      <c r="H20" s="36">
        <f>(F20-G20)/G20</f>
        <v>0.25971017064825097</v>
      </c>
      <c r="I20" s="144">
        <f>+F20+'[2]Cargo Summary'!I20</f>
        <v>133835.78570584004</v>
      </c>
      <c r="J20" s="144">
        <f>+J5+J10+J15</f>
        <v>120427.88746191663</v>
      </c>
      <c r="K20" s="83">
        <f>(I20-J20)/J20</f>
        <v>0.11133549318602338</v>
      </c>
      <c r="M20" s="34"/>
    </row>
    <row r="21" spans="1:13" x14ac:dyDescent="0.2">
      <c r="A21" s="60" t="s">
        <v>16</v>
      </c>
      <c r="B21" s="167">
        <f t="shared" si="3"/>
        <v>3009045</v>
      </c>
      <c r="C21" s="118">
        <f t="shared" si="3"/>
        <v>954</v>
      </c>
      <c r="D21" s="118">
        <f t="shared" si="3"/>
        <v>1711535</v>
      </c>
      <c r="E21" s="116">
        <f>SUM(B21:D21)</f>
        <v>4721534</v>
      </c>
      <c r="F21" s="116">
        <f>E21*0.00045359237</f>
        <v>2141.6517970955802</v>
      </c>
      <c r="G21" s="144">
        <f>'[1]Cargo Summary'!F21</f>
        <v>1774.33768538565</v>
      </c>
      <c r="H21" s="36">
        <f>(F21-G21)/G21</f>
        <v>0.20701477217967945</v>
      </c>
      <c r="I21" s="144">
        <f>+F21+'[2]Cargo Summary'!I21</f>
        <v>14403.75222738606</v>
      </c>
      <c r="J21" s="144">
        <f>+J6+J11+J16</f>
        <v>10770.813455632229</v>
      </c>
      <c r="K21" s="83">
        <f>(I21-J21)/J21</f>
        <v>0.33729474442379365</v>
      </c>
      <c r="M21" s="34"/>
    </row>
    <row r="22" spans="1:13" ht="18" customHeight="1" thickBot="1" x14ac:dyDescent="0.25">
      <c r="A22" s="86" t="s">
        <v>62</v>
      </c>
      <c r="B22" s="170">
        <f>SUM(B20:B21)</f>
        <v>6874568</v>
      </c>
      <c r="C22" s="171">
        <f t="shared" ref="C22:J22" si="4">SUM(C20:C21)</f>
        <v>4539</v>
      </c>
      <c r="D22" s="171">
        <f t="shared" si="4"/>
        <v>38173496.780000001</v>
      </c>
      <c r="E22" s="171">
        <f t="shared" si="4"/>
        <v>45052603.780000001</v>
      </c>
      <c r="F22" s="171">
        <f t="shared" si="4"/>
        <v>20435.517323241158</v>
      </c>
      <c r="G22" s="171">
        <f t="shared" si="4"/>
        <v>16296.61904216115</v>
      </c>
      <c r="H22" s="296">
        <f>(F22-G22)/G22</f>
        <v>0.253972819170174</v>
      </c>
      <c r="I22" s="171">
        <f t="shared" si="4"/>
        <v>148239.53793322609</v>
      </c>
      <c r="J22" s="171">
        <f t="shared" si="4"/>
        <v>131198.70091754885</v>
      </c>
      <c r="K22" s="297">
        <f>(I22-J22)/J22</f>
        <v>0.12988571454214681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August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H38" sqref="H38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7" bestFit="1" customWidth="1"/>
  </cols>
  <sheetData>
    <row r="1" spans="1:20" ht="13.5" thickBot="1" x14ac:dyDescent="0.25">
      <c r="F1" s="502"/>
      <c r="J1" s="3"/>
      <c r="K1"/>
    </row>
    <row r="2" spans="1:20" s="198" customFormat="1" ht="26.25" thickBot="1" x14ac:dyDescent="0.25">
      <c r="A2" s="578" t="s">
        <v>187</v>
      </c>
      <c r="B2" s="579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3" t="s">
        <v>96</v>
      </c>
      <c r="I2" s="431" t="s">
        <v>137</v>
      </c>
      <c r="J2" s="578" t="s">
        <v>183</v>
      </c>
      <c r="K2" s="579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38"/>
    </row>
    <row r="3" spans="1:20" s="198" customFormat="1" ht="13.5" customHeight="1" thickBot="1" x14ac:dyDescent="0.25">
      <c r="A3" s="580">
        <v>44409</v>
      </c>
      <c r="B3" s="581"/>
      <c r="C3" s="582" t="s">
        <v>9</v>
      </c>
      <c r="D3" s="583"/>
      <c r="E3" s="583"/>
      <c r="F3" s="583"/>
      <c r="G3" s="583"/>
      <c r="H3" s="584"/>
      <c r="I3" s="481"/>
      <c r="J3" s="580">
        <f>+A3</f>
        <v>44409</v>
      </c>
      <c r="K3" s="581"/>
      <c r="L3" s="575" t="s">
        <v>184</v>
      </c>
      <c r="M3" s="576"/>
      <c r="N3" s="576"/>
      <c r="O3" s="576"/>
      <c r="P3" s="576"/>
      <c r="Q3" s="576"/>
      <c r="R3" s="577"/>
      <c r="T3" s="538"/>
    </row>
    <row r="4" spans="1:20" x14ac:dyDescent="0.2">
      <c r="A4" s="315"/>
      <c r="B4" s="316"/>
      <c r="C4" s="317"/>
      <c r="D4" s="318"/>
      <c r="E4" s="319"/>
      <c r="F4" s="504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5">
        <f>SUM(C6:C7)</f>
        <v>187</v>
      </c>
      <c r="D5" s="505">
        <f>SUM(D6:D7)</f>
        <v>129</v>
      </c>
      <c r="E5" s="506">
        <f>(C5-D5)/D5</f>
        <v>0.44961240310077522</v>
      </c>
      <c r="F5" s="505">
        <f>SUM(F6:F7)</f>
        <v>1175</v>
      </c>
      <c r="G5" s="505">
        <f>SUM(G6:G7)</f>
        <v>686</v>
      </c>
      <c r="H5" s="507">
        <f>(F5-G5)/G5</f>
        <v>0.71282798833819239</v>
      </c>
      <c r="I5" s="506">
        <f>+F5/$F$34</f>
        <v>0.10775862068965517</v>
      </c>
      <c r="J5" s="322" t="s">
        <v>218</v>
      </c>
      <c r="K5" s="54"/>
      <c r="L5" s="505">
        <f>SUM(L6:L7)</f>
        <v>7015661</v>
      </c>
      <c r="M5" s="505">
        <f>SUM(M6:M7)</f>
        <v>2345002</v>
      </c>
      <c r="N5" s="506">
        <f>(L5-M5)/M5</f>
        <v>1.9917505400848272</v>
      </c>
      <c r="O5" s="505">
        <f>SUM(O6:O7)</f>
        <v>37662630</v>
      </c>
      <c r="P5" s="505">
        <f>SUM(P6:P7)</f>
        <v>19606086</v>
      </c>
      <c r="Q5" s="507">
        <f>(O5-P5)/P5</f>
        <v>0.92096627547181009</v>
      </c>
      <c r="R5" s="506">
        <f>O5/$O$34</f>
        <v>0.13015194758869034</v>
      </c>
      <c r="S5" s="19"/>
    </row>
    <row r="6" spans="1:20" ht="14.1" customHeight="1" x14ac:dyDescent="0.2">
      <c r="A6" s="52"/>
      <c r="B6" s="397" t="s">
        <v>219</v>
      </c>
      <c r="C6" s="508">
        <f>+'[3]Atlas Air'!$HK$19</f>
        <v>64</v>
      </c>
      <c r="D6" s="283">
        <f>+'[3]Atlas Air'!$GW$19</f>
        <v>2</v>
      </c>
      <c r="E6" s="509">
        <f>(C6-D6)/D6</f>
        <v>31</v>
      </c>
      <c r="F6" s="508">
        <f>+SUM('[3]Atlas Air'!$HD$19:$HK$19)</f>
        <v>347</v>
      </c>
      <c r="G6" s="283">
        <f>+SUM('[3]Atlas Air'!$GP$19:$GW$19)</f>
        <v>278</v>
      </c>
      <c r="H6" s="490">
        <f>(F6-G6)/G6</f>
        <v>0.24820143884892087</v>
      </c>
      <c r="I6" s="509">
        <f>+F6/$F$34</f>
        <v>3.1823184152604551E-2</v>
      </c>
      <c r="J6" s="52"/>
      <c r="K6" s="397" t="s">
        <v>219</v>
      </c>
      <c r="L6" s="508">
        <f>+'[3]Atlas Air'!$HK$64</f>
        <v>3380053</v>
      </c>
      <c r="M6" s="283">
        <f>+'[3]Atlas Air'!$GW$64</f>
        <v>18647</v>
      </c>
      <c r="N6" s="509">
        <f>(L6-M6)/M6</f>
        <v>180.26524373893923</v>
      </c>
      <c r="O6" s="283">
        <f>+SUM('[3]Atlas Air'!$HD$64:$HK$64)</f>
        <v>15181700</v>
      </c>
      <c r="P6" s="283">
        <f>+SUM('[3]Atlas Air'!$GP$64:$GW$64)</f>
        <v>12358436</v>
      </c>
      <c r="Q6" s="490">
        <f>(O6-P6)/P6</f>
        <v>0.22844832469092366</v>
      </c>
      <c r="R6" s="509">
        <f>O6/$O$34</f>
        <v>5.2463883236704929E-2</v>
      </c>
      <c r="S6" s="19"/>
    </row>
    <row r="7" spans="1:20" ht="14.1" customHeight="1" x14ac:dyDescent="0.2">
      <c r="A7" s="52"/>
      <c r="B7" s="397" t="s">
        <v>49</v>
      </c>
      <c r="C7" s="508">
        <f>+'[3]Sun Country Cargo'!$HK$19</f>
        <v>123</v>
      </c>
      <c r="D7" s="283">
        <f>+'[3]Sun Country Cargo'!$GW$19</f>
        <v>127</v>
      </c>
      <c r="E7" s="509">
        <f>(C7-D7)/D7</f>
        <v>-3.1496062992125984E-2</v>
      </c>
      <c r="F7" s="508">
        <f>+SUM('[3]Sun Country Cargo'!$HD$19:$HK$19)</f>
        <v>828</v>
      </c>
      <c r="G7" s="283">
        <f>+SUM('[3]Sun Country Cargo'!$GP$19:$GW$19)</f>
        <v>408</v>
      </c>
      <c r="H7" s="490">
        <f>(F7-G7)/G7</f>
        <v>1.0294117647058822</v>
      </c>
      <c r="I7" s="509">
        <f>+F7/$F$34</f>
        <v>7.5935436537050621E-2</v>
      </c>
      <c r="J7" s="52"/>
      <c r="K7" s="397" t="s">
        <v>49</v>
      </c>
      <c r="L7" s="508">
        <f>+'[3]Sun Country Cargo'!$HK$64</f>
        <v>3635608</v>
      </c>
      <c r="M7" s="283">
        <f>+'[3]Sun Country Cargo'!$GW$64</f>
        <v>2326355</v>
      </c>
      <c r="N7" s="509">
        <f>(L7-M7)/M7</f>
        <v>0.56279157738178398</v>
      </c>
      <c r="O7" s="283">
        <f>+SUM('[3]Sun Country Cargo'!$HD$64:$HK$64)</f>
        <v>22480930</v>
      </c>
      <c r="P7" s="283">
        <f>+SUM('[3]Sun Country Cargo'!$GP$64:$GW$64)</f>
        <v>7247650</v>
      </c>
      <c r="Q7" s="490">
        <f>(O7-P7)/P7</f>
        <v>2.1018233496374688</v>
      </c>
      <c r="R7" s="509">
        <f>O7/$O$34</f>
        <v>7.7688064351985414E-2</v>
      </c>
      <c r="S7" s="19"/>
    </row>
    <row r="8" spans="1:20" ht="14.1" customHeight="1" x14ac:dyDescent="0.2">
      <c r="A8" s="52"/>
      <c r="B8" s="54"/>
      <c r="F8" s="510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5">
        <f>SUM(C10:C17)</f>
        <v>140</v>
      </c>
      <c r="D9" s="505">
        <f>SUM(D10:D17)</f>
        <v>124</v>
      </c>
      <c r="E9" s="506">
        <f>(C9-D9)/D9</f>
        <v>0.12903225806451613</v>
      </c>
      <c r="F9" s="505">
        <f>SUM(F10:F17)</f>
        <v>1066</v>
      </c>
      <c r="G9" s="505">
        <f>SUM(G10:G17)</f>
        <v>1053</v>
      </c>
      <c r="H9" s="507">
        <f>(F9-G9)/G9</f>
        <v>1.2345679012345678E-2</v>
      </c>
      <c r="I9" s="506">
        <f t="shared" ref="I9:I17" si="0">+F9/$F$34</f>
        <v>9.7762289068231839E-2</v>
      </c>
      <c r="J9" s="322" t="s">
        <v>220</v>
      </c>
      <c r="K9" s="54"/>
      <c r="L9" s="505">
        <f>SUM(L10:L17)</f>
        <v>1564437.78</v>
      </c>
      <c r="M9" s="505">
        <f>SUM(M10:M17)</f>
        <v>1271006</v>
      </c>
      <c r="N9" s="506">
        <f t="shared" ref="N9:N17" si="1">(L9-M9)/M9</f>
        <v>0.23086577089329241</v>
      </c>
      <c r="O9" s="505">
        <f>SUM(O10:O17)</f>
        <v>10807591.779999999</v>
      </c>
      <c r="P9" s="505">
        <f>SUM(P10:P17)</f>
        <v>11807967</v>
      </c>
      <c r="Q9" s="507">
        <f t="shared" ref="Q9:Q17" si="2">(O9-P9)/P9</f>
        <v>-8.4720360414286447E-2</v>
      </c>
      <c r="R9" s="506">
        <f t="shared" ref="R9:R17" si="3">O9/$O$34</f>
        <v>3.7348138430866894E-2</v>
      </c>
      <c r="S9" s="19"/>
    </row>
    <row r="10" spans="1:20" ht="14.1" customHeight="1" x14ac:dyDescent="0.2">
      <c r="A10" s="322"/>
      <c r="B10" s="397" t="s">
        <v>221</v>
      </c>
      <c r="C10" s="508">
        <f>+[3]Airborne!$HK$19</f>
        <v>2</v>
      </c>
      <c r="D10" s="283">
        <f>+[3]Airborne!$GW$19</f>
        <v>0</v>
      </c>
      <c r="E10" s="509" t="e">
        <f>(C10-D10)/D10</f>
        <v>#DIV/0!</v>
      </c>
      <c r="F10" s="508">
        <f>+SUM([3]Airborne!$HD$19:$HK$19)</f>
        <v>2</v>
      </c>
      <c r="G10" s="283">
        <f>+SUM([3]Airborne!$GP$19:$GW$19)</f>
        <v>0</v>
      </c>
      <c r="H10" s="490" t="e">
        <f>(F10-G10)/G10</f>
        <v>#DIV/0!</v>
      </c>
      <c r="I10" s="509">
        <f t="shared" si="0"/>
        <v>1.8341892883345562E-4</v>
      </c>
      <c r="J10" s="322"/>
      <c r="K10" s="397" t="s">
        <v>221</v>
      </c>
      <c r="L10" s="508">
        <f>+[3]Airborne!$HK$64</f>
        <v>59711</v>
      </c>
      <c r="M10" s="283">
        <f>+[3]Airborne!$GW$64</f>
        <v>0</v>
      </c>
      <c r="N10" s="509" t="e">
        <f t="shared" si="1"/>
        <v>#DIV/0!</v>
      </c>
      <c r="O10" s="508">
        <f>+SUM([3]Airborne!$HD$64:$HK$64)</f>
        <v>59711</v>
      </c>
      <c r="P10" s="283">
        <f>+SUM([3]Airborne!$GP$64:$GW$64)</f>
        <v>0</v>
      </c>
      <c r="Q10" s="490" t="e">
        <f t="shared" si="2"/>
        <v>#DIV/0!</v>
      </c>
      <c r="R10" s="509">
        <f t="shared" si="3"/>
        <v>2.0634520059985956E-4</v>
      </c>
      <c r="S10" s="19"/>
    </row>
    <row r="11" spans="1:20" ht="14.1" customHeight="1" x14ac:dyDescent="0.2">
      <c r="A11" s="322"/>
      <c r="B11" s="54" t="s">
        <v>219</v>
      </c>
      <c r="C11" s="508">
        <f>+[3]DHL_Atlas!$HK$19</f>
        <v>0</v>
      </c>
      <c r="D11" s="283">
        <f>+[3]DHL_Atlas!$GW$19</f>
        <v>0</v>
      </c>
      <c r="E11" s="509" t="e">
        <f t="shared" ref="E11:E17" si="4">(C11-D11)/D11</f>
        <v>#DIV/0!</v>
      </c>
      <c r="F11" s="508">
        <f>+SUM([3]DHL_Atlas!$HD$19:$HK$19)</f>
        <v>12</v>
      </c>
      <c r="G11" s="283">
        <f>+SUM([3]DHL_Atlas!$GP$19:$GW$19)</f>
        <v>6</v>
      </c>
      <c r="H11" s="490">
        <f t="shared" ref="H11:H17" si="5">(F11-G11)/G11</f>
        <v>1</v>
      </c>
      <c r="I11" s="509">
        <f t="shared" si="0"/>
        <v>1.1005135730007337E-3</v>
      </c>
      <c r="J11" s="322"/>
      <c r="K11" s="54" t="s">
        <v>219</v>
      </c>
      <c r="L11" s="508">
        <f>+[3]DHL_Atlas!$HK$64</f>
        <v>0</v>
      </c>
      <c r="M11" s="283">
        <f>+[3]DHL_Atlas!$GW$64</f>
        <v>0</v>
      </c>
      <c r="N11" s="509" t="e">
        <f t="shared" si="1"/>
        <v>#DIV/0!</v>
      </c>
      <c r="O11" s="508">
        <f>+SUM([3]DHL_Atlas!$HD$64:$HK$64)</f>
        <v>259570</v>
      </c>
      <c r="P11" s="283">
        <f>+SUM([3]DHL_Atlas!$GP$64:$GW$64)</f>
        <v>186366</v>
      </c>
      <c r="Q11" s="490">
        <f t="shared" si="2"/>
        <v>0.39279696940429049</v>
      </c>
      <c r="R11" s="509">
        <f t="shared" si="3"/>
        <v>8.9700429937039324E-4</v>
      </c>
      <c r="S11" s="19"/>
    </row>
    <row r="12" spans="1:20" ht="14.1" customHeight="1" x14ac:dyDescent="0.2">
      <c r="A12" s="322"/>
      <c r="B12" s="54" t="s">
        <v>222</v>
      </c>
      <c r="C12" s="508">
        <f>+[3]DHL!$HK$19</f>
        <v>0</v>
      </c>
      <c r="D12" s="283">
        <f>+[3]DHL!$GW$19</f>
        <v>0</v>
      </c>
      <c r="E12" s="509" t="e">
        <f t="shared" si="4"/>
        <v>#DIV/0!</v>
      </c>
      <c r="F12" s="508">
        <f>+SUM([3]DHL!$HD$19:$HK$19)</f>
        <v>0</v>
      </c>
      <c r="G12" s="283">
        <f>+SUM([3]DHL!$GP$19:$GW$19)</f>
        <v>163</v>
      </c>
      <c r="H12" s="490">
        <f t="shared" si="5"/>
        <v>-1</v>
      </c>
      <c r="I12" s="509">
        <f t="shared" si="0"/>
        <v>0</v>
      </c>
      <c r="J12" s="322"/>
      <c r="K12" s="54" t="s">
        <v>222</v>
      </c>
      <c r="L12" s="508">
        <f>+[3]DHL!$HK$64</f>
        <v>0</v>
      </c>
      <c r="M12" s="283">
        <f>+[3]DHL!$GW$64</f>
        <v>0</v>
      </c>
      <c r="N12" s="509" t="e">
        <f t="shared" si="1"/>
        <v>#DIV/0!</v>
      </c>
      <c r="O12" s="508">
        <f>+SUM([3]DHL!$HD$64:$HK$64)</f>
        <v>0</v>
      </c>
      <c r="P12" s="283">
        <f>+SUM([3]DHL!$GP$64:$GW$64)</f>
        <v>5299897</v>
      </c>
      <c r="Q12" s="490">
        <f t="shared" si="2"/>
        <v>-1</v>
      </c>
      <c r="R12" s="509">
        <f t="shared" si="3"/>
        <v>0</v>
      </c>
      <c r="S12" s="19"/>
    </row>
    <row r="13" spans="1:20" ht="14.1" customHeight="1" x14ac:dyDescent="0.2">
      <c r="A13" s="322"/>
      <c r="B13" s="397" t="s">
        <v>83</v>
      </c>
      <c r="C13" s="508">
        <f>+[3]DHL_Bemidji!$HK$19</f>
        <v>28</v>
      </c>
      <c r="D13" s="283">
        <f>+[3]DHL_Bemidji!$GW$19</f>
        <v>0</v>
      </c>
      <c r="E13" s="509" t="e">
        <f t="shared" ref="E13" si="6">(C13-D13)/D13</f>
        <v>#DIV/0!</v>
      </c>
      <c r="F13" s="508">
        <f>+SUM([3]DHL_Bemidji!$HD$19:$HK$19)</f>
        <v>28</v>
      </c>
      <c r="G13" s="283">
        <f>+SUM([3]DHL_Bemidji!$GP$19:$GW$19)</f>
        <v>0</v>
      </c>
      <c r="H13" s="490" t="e">
        <f t="shared" ref="H13" si="7">(F13-G13)/G13</f>
        <v>#DIV/0!</v>
      </c>
      <c r="I13" s="509">
        <f t="shared" si="0"/>
        <v>2.5678650036683784E-3</v>
      </c>
      <c r="J13" s="322"/>
      <c r="K13" s="397" t="s">
        <v>83</v>
      </c>
      <c r="L13" s="508">
        <f>+[3]DHL_Bemidji!$HK$64</f>
        <v>47962</v>
      </c>
      <c r="M13" s="283">
        <f>+[3]DHL_Bemidji!$GW$64</f>
        <v>0</v>
      </c>
      <c r="N13" s="509" t="e">
        <f t="shared" ref="N13" si="8">(L13-M13)/M13</f>
        <v>#DIV/0!</v>
      </c>
      <c r="O13" s="508">
        <f>+SUM([3]DHL_Bemidji!$HD$64:$HK$64)</f>
        <v>47962</v>
      </c>
      <c r="P13" s="283">
        <f>+SUM([3]DHL_Bemidji!$GP$64:$GW$64)</f>
        <v>0</v>
      </c>
      <c r="Q13" s="490" t="e">
        <f t="shared" ref="Q13" si="9">(O13-P13)/P13</f>
        <v>#DIV/0!</v>
      </c>
      <c r="R13" s="509">
        <f t="shared" si="3"/>
        <v>1.6574380786070348E-4</v>
      </c>
      <c r="S13" s="19"/>
    </row>
    <row r="14" spans="1:20" ht="14.1" customHeight="1" x14ac:dyDescent="0.2">
      <c r="A14" s="322"/>
      <c r="B14" s="54" t="s">
        <v>201</v>
      </c>
      <c r="C14" s="508">
        <f>+[3]Encore!$HK$19+[3]DHL_Encore!$HK$12</f>
        <v>60</v>
      </c>
      <c r="D14" s="283">
        <f>+[3]Encore!$GW$19+[3]DHL_Encore!$GW$19</f>
        <v>82</v>
      </c>
      <c r="E14" s="509">
        <f t="shared" si="4"/>
        <v>-0.26829268292682928</v>
      </c>
      <c r="F14" s="508">
        <f>+SUM([3]Encore!$HD$19:$HK$19)+SUM([3]DHL_Encore!$HD$19:$HK$19)</f>
        <v>650</v>
      </c>
      <c r="G14" s="283">
        <f>+SUM([3]Encore!$GP$19:$GW$19)+SUM([3]DHL_Encore!$GP$19:$GW$19)</f>
        <v>684</v>
      </c>
      <c r="H14" s="490">
        <f t="shared" si="5"/>
        <v>-4.9707602339181284E-2</v>
      </c>
      <c r="I14" s="509">
        <f t="shared" si="0"/>
        <v>5.9611151870873076E-2</v>
      </c>
      <c r="J14" s="322"/>
      <c r="K14" s="54" t="s">
        <v>201</v>
      </c>
      <c r="L14" s="508">
        <f>+[3]Encore!$HK$64+[3]DHL_Encore!$HK$64</f>
        <v>94771</v>
      </c>
      <c r="M14" s="283">
        <f>+[3]Encore!$GW$64+[3]DHL_Encore!$GW$64</f>
        <v>109569</v>
      </c>
      <c r="N14" s="509">
        <f t="shared" si="1"/>
        <v>-0.13505644844800993</v>
      </c>
      <c r="O14" s="508">
        <f>+SUM([3]Encore!$HD$64:$HK$64)+SUM([3]DHL_Encore!$HD$64:$HK$64)</f>
        <v>1112668</v>
      </c>
      <c r="P14" s="283">
        <f>+SUM([3]Encore!$GP$64:$GW$64)+SUM([3]DHL_Encore!$GP$64:$GW$64)</f>
        <v>961467</v>
      </c>
      <c r="Q14" s="490">
        <f t="shared" si="2"/>
        <v>0.15726072761727652</v>
      </c>
      <c r="R14" s="509">
        <f t="shared" si="3"/>
        <v>3.8450821734863686E-3</v>
      </c>
      <c r="S14" s="19"/>
    </row>
    <row r="15" spans="1:20" ht="14.1" customHeight="1" x14ac:dyDescent="0.2">
      <c r="A15" s="322"/>
      <c r="B15" s="54" t="s">
        <v>223</v>
      </c>
      <c r="C15" s="508">
        <f>+[3]DHL_Kalitta!$HK$19</f>
        <v>8</v>
      </c>
      <c r="D15" s="283">
        <f>+[3]DHL_Kalitta!$GW$19</f>
        <v>0</v>
      </c>
      <c r="E15" s="509" t="e">
        <f t="shared" si="4"/>
        <v>#DIV/0!</v>
      </c>
      <c r="F15" s="508">
        <f>+SUM([3]DHL_Kalitta!$HD$19:$HK$19)</f>
        <v>92</v>
      </c>
      <c r="G15" s="283">
        <f>+SUM([3]DHL_Kalitta!$GP$19:$GW$19)</f>
        <v>36</v>
      </c>
      <c r="H15" s="490">
        <f t="shared" si="5"/>
        <v>1.5555555555555556</v>
      </c>
      <c r="I15" s="509">
        <f t="shared" si="0"/>
        <v>8.4372707263389579E-3</v>
      </c>
      <c r="J15" s="322"/>
      <c r="K15" s="54" t="s">
        <v>223</v>
      </c>
      <c r="L15" s="508">
        <f>+[3]DHL_Kalitta!$HK$64</f>
        <v>254000.78</v>
      </c>
      <c r="M15" s="283">
        <f>+[3]DHL_Kalitta!$GW$64</f>
        <v>0</v>
      </c>
      <c r="N15" s="509" t="e">
        <f t="shared" si="1"/>
        <v>#DIV/0!</v>
      </c>
      <c r="O15" s="508">
        <f>+SUM([3]DHL_Kalitta!$HD$64:$HK$64)</f>
        <v>2433493.7799999998</v>
      </c>
      <c r="P15" s="283">
        <f>+SUM([3]DHL_Kalitta!$GP$64:$GW$64)</f>
        <v>872820</v>
      </c>
      <c r="Q15" s="490">
        <f t="shared" si="2"/>
        <v>1.7880820558648975</v>
      </c>
      <c r="R15" s="509">
        <f t="shared" si="3"/>
        <v>8.4095018035640085E-3</v>
      </c>
      <c r="S15" s="19"/>
    </row>
    <row r="16" spans="1:20" ht="14.1" customHeight="1" x14ac:dyDescent="0.2">
      <c r="A16" s="322"/>
      <c r="B16" s="54" t="s">
        <v>224</v>
      </c>
      <c r="C16" s="508">
        <f>+[3]DHL_Southair!$HK$19</f>
        <v>0</v>
      </c>
      <c r="D16" s="283">
        <f>+[3]DHL_Southair!$GW$19</f>
        <v>4</v>
      </c>
      <c r="E16" s="509">
        <f t="shared" si="4"/>
        <v>-1</v>
      </c>
      <c r="F16" s="508">
        <f>+SUM([3]DHL_Southair!$HD$19:$HK$19)</f>
        <v>0</v>
      </c>
      <c r="G16" s="283">
        <f>+SUM([3]DHL_Southair!$GP$19:$GW$19)</f>
        <v>4</v>
      </c>
      <c r="H16" s="490">
        <f t="shared" si="5"/>
        <v>-1</v>
      </c>
      <c r="I16" s="509">
        <f t="shared" si="0"/>
        <v>0</v>
      </c>
      <c r="J16" s="322"/>
      <c r="K16" s="54" t="s">
        <v>224</v>
      </c>
      <c r="L16" s="508">
        <f>+[3]DHL_Southair!$HK$64</f>
        <v>0</v>
      </c>
      <c r="M16" s="283">
        <f>+[3]DHL_Southair!$GW$64</f>
        <v>46833</v>
      </c>
      <c r="N16" s="509">
        <f t="shared" si="1"/>
        <v>-1</v>
      </c>
      <c r="O16" s="508">
        <f>+SUM([3]DHL_Southair!$HD$64:$HK$64)</f>
        <v>0</v>
      </c>
      <c r="P16" s="283">
        <f>+SUM([3]DHL_Southair!$GP$64:$GW$64)</f>
        <v>46833</v>
      </c>
      <c r="Q16" s="490">
        <f t="shared" si="2"/>
        <v>-1</v>
      </c>
      <c r="R16" s="509">
        <f t="shared" si="3"/>
        <v>0</v>
      </c>
      <c r="S16" s="19"/>
    </row>
    <row r="17" spans="1:20" ht="14.1" customHeight="1" x14ac:dyDescent="0.2">
      <c r="A17" s="322"/>
      <c r="B17" s="54" t="s">
        <v>225</v>
      </c>
      <c r="C17" s="508">
        <f>+[3]DHL_Swift!$HK$19</f>
        <v>42</v>
      </c>
      <c r="D17" s="283">
        <f>+[3]DHL_Swift!$GW$19</f>
        <v>38</v>
      </c>
      <c r="E17" s="509">
        <f t="shared" si="4"/>
        <v>0.10526315789473684</v>
      </c>
      <c r="F17" s="508">
        <f>+SUM([3]DHL_Swift!$HD$19:$HK$19)</f>
        <v>282</v>
      </c>
      <c r="G17" s="283">
        <f>+SUM([3]DHL_Swift!$GP$19:$GW$19)</f>
        <v>160</v>
      </c>
      <c r="H17" s="490">
        <f t="shared" si="5"/>
        <v>0.76249999999999996</v>
      </c>
      <c r="I17" s="509">
        <f t="shared" si="0"/>
        <v>2.5862068965517241E-2</v>
      </c>
      <c r="J17" s="322"/>
      <c r="K17" s="54" t="s">
        <v>225</v>
      </c>
      <c r="L17" s="508">
        <f>+[3]DHL_Swift!$HK$64</f>
        <v>1107993</v>
      </c>
      <c r="M17" s="283">
        <f>+[3]DHL_Swift!$GW$64</f>
        <v>1114604</v>
      </c>
      <c r="N17" s="509">
        <f t="shared" si="1"/>
        <v>-5.9312545083276217E-3</v>
      </c>
      <c r="O17" s="508">
        <f>+SUM([3]DHL_Swift!$HD$64:$HK$64)</f>
        <v>6894187</v>
      </c>
      <c r="P17" s="283">
        <f>+SUM([3]DHL_Swift!$GP$64:$GW$64)</f>
        <v>4440584</v>
      </c>
      <c r="Q17" s="490">
        <f t="shared" si="2"/>
        <v>0.55254061177538816</v>
      </c>
      <c r="R17" s="509">
        <f t="shared" si="3"/>
        <v>2.3824461145985566E-2</v>
      </c>
      <c r="S17" s="19"/>
    </row>
    <row r="18" spans="1:20" ht="14.1" customHeight="1" x14ac:dyDescent="0.2">
      <c r="A18" s="322"/>
      <c r="B18" s="54"/>
      <c r="C18" s="477"/>
      <c r="D18" s="469"/>
      <c r="E18" s="478"/>
      <c r="F18" s="477"/>
      <c r="G18" s="469"/>
      <c r="H18" s="479"/>
      <c r="I18" s="478"/>
      <c r="J18" s="322"/>
      <c r="K18" s="54"/>
      <c r="L18" s="451"/>
      <c r="N18" s="83"/>
      <c r="O18" s="451"/>
      <c r="P18" s="469"/>
      <c r="Q18" s="3"/>
      <c r="R18" s="83"/>
      <c r="S18" s="19"/>
    </row>
    <row r="19" spans="1:20" ht="14.1" customHeight="1" x14ac:dyDescent="0.2">
      <c r="A19" s="322" t="s">
        <v>185</v>
      </c>
      <c r="B19" s="54"/>
      <c r="C19" s="511">
        <f>SUM(C20:C23)</f>
        <v>368</v>
      </c>
      <c r="D19" s="505">
        <f>SUM(D20:D23)</f>
        <v>322</v>
      </c>
      <c r="E19" s="506">
        <f>(C19-D19)/D19</f>
        <v>0.14285714285714285</v>
      </c>
      <c r="F19" s="511">
        <f>SUM(F20:F23)</f>
        <v>2866</v>
      </c>
      <c r="G19" s="505">
        <f>SUM(G20:G23)</f>
        <v>2483</v>
      </c>
      <c r="H19" s="507">
        <f t="shared" ref="H19:H20" si="10">(F19-G19)/G19</f>
        <v>0.15424889246878776</v>
      </c>
      <c r="I19" s="506">
        <f>+F19/$F$34</f>
        <v>0.2628393250183419</v>
      </c>
      <c r="J19" s="322" t="s">
        <v>185</v>
      </c>
      <c r="K19" s="54"/>
      <c r="L19" s="511">
        <f>SUM(L20:L23)</f>
        <v>16370806</v>
      </c>
      <c r="M19" s="505">
        <f>SUM(M20:M23)</f>
        <v>15492853</v>
      </c>
      <c r="N19" s="506">
        <f>(L19-M19)/M19</f>
        <v>5.6668258583490075E-2</v>
      </c>
      <c r="O19" s="511">
        <f>SUM(O20:O23)</f>
        <v>132372286</v>
      </c>
      <c r="P19" s="505">
        <f>SUM(P20:P23)</f>
        <v>126619024</v>
      </c>
      <c r="Q19" s="507">
        <f t="shared" ref="Q19:Q21" si="11">(O19-P19)/P19</f>
        <v>4.5437579743151393E-2</v>
      </c>
      <c r="R19" s="506">
        <f>O19/$O$34</f>
        <v>0.45744311615166355</v>
      </c>
      <c r="S19" s="19"/>
    </row>
    <row r="20" spans="1:20" ht="14.1" customHeight="1" x14ac:dyDescent="0.2">
      <c r="A20" s="52"/>
      <c r="B20" s="397" t="s">
        <v>185</v>
      </c>
      <c r="C20" s="508">
        <f>+[3]FedEx!$HK$19</f>
        <v>290</v>
      </c>
      <c r="D20" s="283">
        <f>+[3]FedEx!$GW$19</f>
        <v>250</v>
      </c>
      <c r="E20" s="509">
        <f>(C20-D20)/D20</f>
        <v>0.16</v>
      </c>
      <c r="F20" s="508">
        <f>+SUM([3]FedEx!$HD$19:$HK$19)</f>
        <v>2268</v>
      </c>
      <c r="G20" s="283">
        <f>+SUM([3]FedEx!$GP$19:$GW$19)</f>
        <v>1884</v>
      </c>
      <c r="H20" s="490">
        <f t="shared" si="10"/>
        <v>0.20382165605095542</v>
      </c>
      <c r="I20" s="509">
        <f>+F20/$F$34</f>
        <v>0.20799706529713866</v>
      </c>
      <c r="J20" s="322"/>
      <c r="K20" s="397" t="s">
        <v>185</v>
      </c>
      <c r="L20" s="508">
        <f>+[3]FedEx!$HK$64</f>
        <v>16135313</v>
      </c>
      <c r="M20" s="283">
        <f>+[3]FedEx!$GW$64</f>
        <v>15280794</v>
      </c>
      <c r="N20" s="509">
        <f>(L20-M20)/M20</f>
        <v>5.5921112476223424E-2</v>
      </c>
      <c r="O20" s="508">
        <f>+SUM([3]FedEx!$HD$64:$HK$64)</f>
        <v>130830006</v>
      </c>
      <c r="P20" s="283">
        <f>+SUM([3]FedEx!$GP$64:$GW$64)</f>
        <v>124352307</v>
      </c>
      <c r="Q20" s="490">
        <f t="shared" si="11"/>
        <v>5.2091506432606835E-2</v>
      </c>
      <c r="R20" s="509">
        <f>O20/$O$34</f>
        <v>0.4521134101346625</v>
      </c>
      <c r="S20" s="19"/>
    </row>
    <row r="21" spans="1:20" ht="14.1" customHeight="1" x14ac:dyDescent="0.2">
      <c r="A21" s="52"/>
      <c r="B21" s="397" t="s">
        <v>226</v>
      </c>
      <c r="C21" s="508">
        <f>+'[3]Mountain Cargo'!$HK$19</f>
        <v>42</v>
      </c>
      <c r="D21" s="283">
        <f>+'[3]Mountain Cargo'!$GW$19</f>
        <v>42</v>
      </c>
      <c r="E21" s="509">
        <f>(C21-D21)/D21</f>
        <v>0</v>
      </c>
      <c r="F21" s="508">
        <f>+SUM('[3]Mountain Cargo'!$HD$19:$HK$19)</f>
        <v>342</v>
      </c>
      <c r="G21" s="283">
        <f>+SUM('[3]Mountain Cargo'!$GP$19:$GW$19)</f>
        <v>344</v>
      </c>
      <c r="H21" s="490">
        <f>(F21-G21)/G21</f>
        <v>-5.8139534883720929E-3</v>
      </c>
      <c r="I21" s="509">
        <f>+F21/$F$34</f>
        <v>3.136463683052091E-2</v>
      </c>
      <c r="J21" s="476"/>
      <c r="K21" s="397" t="s">
        <v>226</v>
      </c>
      <c r="L21" s="508">
        <f>+'[3]Mountain Cargo'!$HK$64</f>
        <v>170324</v>
      </c>
      <c r="M21" s="283">
        <f>+'[3]Mountain Cargo'!$GW$64</f>
        <v>152296</v>
      </c>
      <c r="N21" s="509">
        <f>(L21-M21)/M21</f>
        <v>0.11837474391973525</v>
      </c>
      <c r="O21" s="508">
        <f>+SUM('[3]Mountain Cargo'!$HD$64:$HK$64)</f>
        <v>1146502</v>
      </c>
      <c r="P21" s="283">
        <f>+SUM('[3]Mountain Cargo'!$GP$64:$GW$64)</f>
        <v>1861582</v>
      </c>
      <c r="Q21" s="490">
        <f t="shared" si="11"/>
        <v>-0.38412490021927587</v>
      </c>
      <c r="R21" s="509">
        <f>O21/$O$34</f>
        <v>3.9620034026919696E-3</v>
      </c>
      <c r="S21" s="19"/>
    </row>
    <row r="22" spans="1:20" ht="14.1" customHeight="1" x14ac:dyDescent="0.2">
      <c r="A22" s="52"/>
      <c r="B22" s="397" t="s">
        <v>177</v>
      </c>
      <c r="C22" s="508">
        <f>+[3]IFL!$HK$19</f>
        <v>36</v>
      </c>
      <c r="D22" s="283">
        <f>+[3]IFL!$GW$19</f>
        <v>30</v>
      </c>
      <c r="E22" s="509">
        <f>(C22-D22)/D22</f>
        <v>0.2</v>
      </c>
      <c r="F22" s="508">
        <f>+SUM([3]IFL!$HD$19:$HK$19)</f>
        <v>256</v>
      </c>
      <c r="G22" s="283">
        <f>+SUM([3]IFL!$GP$19:$GW$19)</f>
        <v>255</v>
      </c>
      <c r="H22" s="490">
        <f>(F22-G22)/G22</f>
        <v>3.9215686274509803E-3</v>
      </c>
      <c r="I22" s="509">
        <f>+F22/$F$34</f>
        <v>2.347762289068232E-2</v>
      </c>
      <c r="J22" s="476"/>
      <c r="K22" s="397" t="s">
        <v>177</v>
      </c>
      <c r="L22" s="508">
        <f>+[3]IFL!$HK$64</f>
        <v>65169</v>
      </c>
      <c r="M22" s="283">
        <f>+[3]IFL!$GW$64</f>
        <v>59763</v>
      </c>
      <c r="N22" s="509">
        <f>(L22-M22)/M22</f>
        <v>9.0457306360122489E-2</v>
      </c>
      <c r="O22" s="508">
        <f>+SUM([3]IFL!$HD$64:$HK$64)</f>
        <v>395778</v>
      </c>
      <c r="P22" s="283">
        <f>+SUM([3]IFL!$GP$64:$GW$64)</f>
        <v>405135</v>
      </c>
      <c r="Q22" s="490">
        <f>(O22-P22)/P22</f>
        <v>-2.3096005035358583E-2</v>
      </c>
      <c r="R22" s="509">
        <f>O22/$O$34</f>
        <v>1.3677026143091092E-3</v>
      </c>
      <c r="S22" s="19"/>
    </row>
    <row r="23" spans="1:20" ht="14.1" customHeight="1" x14ac:dyDescent="0.2">
      <c r="A23" s="322"/>
      <c r="B23" s="397" t="s">
        <v>84</v>
      </c>
      <c r="C23" s="508">
        <f>+'[3]CSA Air'!$HK$19</f>
        <v>0</v>
      </c>
      <c r="D23" s="283">
        <f>+'[3]CSA Air'!$GW$19</f>
        <v>0</v>
      </c>
      <c r="E23" s="509" t="e">
        <f>(C23-D23)/D23</f>
        <v>#DIV/0!</v>
      </c>
      <c r="F23" s="508">
        <f>+SUM('[3]CSA Air'!$HD$19:$HK$19)</f>
        <v>0</v>
      </c>
      <c r="G23" s="283">
        <f>+SUM('[3]CSA Air'!$GP$19:$GW$19)</f>
        <v>0</v>
      </c>
      <c r="H23" s="490" t="e">
        <f t="shared" ref="H23" si="12">(F23-G23)/G23</f>
        <v>#DIV/0!</v>
      </c>
      <c r="I23" s="509">
        <f>+F23/$F$34</f>
        <v>0</v>
      </c>
      <c r="J23" s="322"/>
      <c r="K23" s="397" t="s">
        <v>84</v>
      </c>
      <c r="L23" s="508">
        <f>+'[3]CSA Air'!$HK$64</f>
        <v>0</v>
      </c>
      <c r="M23" s="283">
        <f>+'[3]CSA Air'!$GW$64</f>
        <v>0</v>
      </c>
      <c r="N23" s="509" t="e">
        <f>(L23-M23)/M23</f>
        <v>#DIV/0!</v>
      </c>
      <c r="O23" s="508">
        <f>+SUM('[3]CSA Air'!$HD$64:$HK$64)</f>
        <v>0</v>
      </c>
      <c r="P23" s="283">
        <f>+SUM('[3]CSA Air'!$GP$64:$GW$64)</f>
        <v>0</v>
      </c>
      <c r="Q23" s="490" t="e">
        <f t="shared" ref="Q23" si="13">(O23-P23)/P23</f>
        <v>#DIV/0!</v>
      </c>
      <c r="R23" s="509">
        <f>O23/$O$34</f>
        <v>0</v>
      </c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469"/>
      <c r="Q24" s="3"/>
      <c r="R24" s="83"/>
      <c r="S24" s="299"/>
    </row>
    <row r="25" spans="1:20" s="7" customFormat="1" ht="14.1" customHeight="1" x14ac:dyDescent="0.2">
      <c r="A25" s="322"/>
      <c r="B25" s="54"/>
      <c r="C25" s="477"/>
      <c r="D25" s="469"/>
      <c r="E25" s="478"/>
      <c r="F25" s="477"/>
      <c r="G25" s="469"/>
      <c r="H25" s="479"/>
      <c r="I25" s="478"/>
      <c r="J25" s="322"/>
      <c r="K25" s="54"/>
      <c r="L25" s="451"/>
      <c r="M25" s="2"/>
      <c r="N25" s="83"/>
      <c r="O25" s="451"/>
      <c r="P25" s="2"/>
      <c r="Q25" s="3"/>
      <c r="R25" s="83"/>
      <c r="S25" s="433"/>
      <c r="T25" s="539"/>
    </row>
    <row r="26" spans="1:20" s="7" customFormat="1" ht="14.1" customHeight="1" x14ac:dyDescent="0.2">
      <c r="A26" s="322" t="s">
        <v>82</v>
      </c>
      <c r="B26" s="54"/>
      <c r="C26" s="505">
        <f>SUM(C27:C28)</f>
        <v>741</v>
      </c>
      <c r="D26" s="505">
        <f>SUM(D27:D28)</f>
        <v>647</v>
      </c>
      <c r="E26" s="506">
        <f>(C26-D26)/D26</f>
        <v>0.14528593508500773</v>
      </c>
      <c r="F26" s="505">
        <f>SUM(F27:F28)</f>
        <v>5791</v>
      </c>
      <c r="G26" s="505">
        <f>SUM(G27:G28)</f>
        <v>5305</v>
      </c>
      <c r="H26" s="507">
        <f>(F26-G26)/G26</f>
        <v>9.161168708765316E-2</v>
      </c>
      <c r="I26" s="506">
        <f>+F26/$F$34</f>
        <v>0.53108950843727076</v>
      </c>
      <c r="J26" s="322" t="s">
        <v>82</v>
      </c>
      <c r="K26" s="54"/>
      <c r="L26" s="505">
        <f>SUM(L27:L28)</f>
        <v>13222592</v>
      </c>
      <c r="M26" s="505">
        <f>SUM(M27:M28)</f>
        <v>12478290</v>
      </c>
      <c r="N26" s="506">
        <f>(L26-M26)/M26</f>
        <v>5.9647756223008122E-2</v>
      </c>
      <c r="O26" s="505">
        <f>SUM(O27:O28)</f>
        <v>108524297</v>
      </c>
      <c r="P26" s="505">
        <f>SUM(P27:P28)</f>
        <v>94034222</v>
      </c>
      <c r="Q26" s="507">
        <f>(O26-P26)/P26</f>
        <v>0.15409363412396818</v>
      </c>
      <c r="R26" s="506">
        <f>O26/$O$34</f>
        <v>0.37503086256173468</v>
      </c>
      <c r="S26" s="433"/>
      <c r="T26" s="539"/>
    </row>
    <row r="27" spans="1:20" x14ac:dyDescent="0.2">
      <c r="A27" s="322"/>
      <c r="B27" s="397" t="s">
        <v>82</v>
      </c>
      <c r="C27" s="508">
        <f>+[3]UPS!$HK$19</f>
        <v>305</v>
      </c>
      <c r="D27" s="283">
        <f>+[3]UPS!$GW$19</f>
        <v>261</v>
      </c>
      <c r="E27" s="509">
        <f>(C27-D27)/D27</f>
        <v>0.16858237547892721</v>
      </c>
      <c r="F27" s="508">
        <f>+SUM([3]UPS!$HD$19:$HK$19)</f>
        <v>2457</v>
      </c>
      <c r="G27" s="283">
        <f>+SUM([3]UPS!$GP$19:$GW$19)</f>
        <v>2167</v>
      </c>
      <c r="H27" s="490">
        <f>(F27-G27)/G27</f>
        <v>0.13382556529764653</v>
      </c>
      <c r="I27" s="509">
        <f>+F27/$F$34</f>
        <v>0.22533015407190021</v>
      </c>
      <c r="J27" s="322"/>
      <c r="K27" s="397" t="s">
        <v>82</v>
      </c>
      <c r="L27" s="508">
        <f>+[3]UPS!$HK$64</f>
        <v>13222592</v>
      </c>
      <c r="M27" s="283">
        <f>+[3]UPS!$GW$64</f>
        <v>12478290</v>
      </c>
      <c r="N27" s="509">
        <f>(L27-M27)/M27</f>
        <v>5.9647756223008122E-2</v>
      </c>
      <c r="O27" s="508">
        <f>+SUM([3]UPS!$HD$64:$HK$64)</f>
        <v>108524297</v>
      </c>
      <c r="P27" s="283">
        <f>+SUM([3]UPS!$GP$64:$GW$64)</f>
        <v>94034222</v>
      </c>
      <c r="Q27" s="490">
        <f>(O27-P27)/P27</f>
        <v>0.15409363412396818</v>
      </c>
      <c r="R27" s="509">
        <f>O27/$O$34</f>
        <v>0.37503086256173468</v>
      </c>
    </row>
    <row r="28" spans="1:20" s="436" customFormat="1" x14ac:dyDescent="0.2">
      <c r="A28" s="322"/>
      <c r="B28" s="397" t="s">
        <v>83</v>
      </c>
      <c r="C28" s="508">
        <f>+[3]Bemidji!$HK$19</f>
        <v>436</v>
      </c>
      <c r="D28" s="283">
        <f>+[3]Bemidji!$GW$19</f>
        <v>386</v>
      </c>
      <c r="E28" s="509">
        <f>(C28-D28)/D28</f>
        <v>0.12953367875647667</v>
      </c>
      <c r="F28" s="508">
        <f>+SUM([3]Bemidji!$HD$19:$HK$19)</f>
        <v>3334</v>
      </c>
      <c r="G28" s="283">
        <f>+SUM([3]Bemidji!$GP$19:$GW$19)</f>
        <v>3138</v>
      </c>
      <c r="H28" s="490">
        <f t="shared" ref="H28" si="14">(F28-G28)/G28</f>
        <v>6.2460165710643722E-2</v>
      </c>
      <c r="I28" s="509">
        <f>+F28/$F$34</f>
        <v>0.30575935436537049</v>
      </c>
      <c r="J28" s="322"/>
      <c r="K28" s="397" t="s">
        <v>83</v>
      </c>
      <c r="L28" s="572" t="s">
        <v>188</v>
      </c>
      <c r="M28" s="573"/>
      <c r="N28" s="573"/>
      <c r="O28" s="573"/>
      <c r="P28" s="573"/>
      <c r="Q28" s="573"/>
      <c r="R28" s="574"/>
      <c r="T28" s="537"/>
    </row>
    <row r="29" spans="1:20" x14ac:dyDescent="0.2">
      <c r="A29" s="52"/>
      <c r="B29" s="54"/>
      <c r="C29" s="477"/>
      <c r="E29" s="83"/>
      <c r="F29" s="451"/>
      <c r="I29" s="83"/>
      <c r="J29" s="52"/>
      <c r="K29" s="54"/>
      <c r="L29" s="451"/>
      <c r="N29" s="83"/>
      <c r="O29" s="451"/>
      <c r="P29" s="2"/>
      <c r="Q29" s="3"/>
      <c r="R29" s="83"/>
    </row>
    <row r="30" spans="1:20" x14ac:dyDescent="0.2">
      <c r="A30" s="322" t="s">
        <v>127</v>
      </c>
      <c r="B30" s="54"/>
      <c r="C30" s="511">
        <f>+'[3]Misc Cargo'!$HK$19</f>
        <v>0</v>
      </c>
      <c r="D30" s="505">
        <f>+'[3]Misc Cargo'!$GW$19</f>
        <v>4</v>
      </c>
      <c r="E30" s="506">
        <f>(C30-D30)/D30</f>
        <v>-1</v>
      </c>
      <c r="F30" s="511">
        <f>+SUM('[3]Misc Cargo'!$HD$19:$HK$19)</f>
        <v>6</v>
      </c>
      <c r="G30" s="505">
        <f>+SUM('[3]Misc Cargo'!$GP$19:$GW$19)</f>
        <v>13</v>
      </c>
      <c r="H30" s="507">
        <f>(F30-G30)/G30</f>
        <v>-0.53846153846153844</v>
      </c>
      <c r="I30" s="506">
        <f>+F30/$F$34</f>
        <v>5.5025678650036684E-4</v>
      </c>
      <c r="J30" s="322" t="s">
        <v>127</v>
      </c>
      <c r="K30" s="54"/>
      <c r="L30" s="511">
        <f>+'[3]Misc Cargo'!$HK$64</f>
        <v>0</v>
      </c>
      <c r="M30" s="505">
        <f>+'[3]Misc Cargo'!$GW$64</f>
        <v>3860</v>
      </c>
      <c r="N30" s="506">
        <f>(L30-M30)/M30</f>
        <v>-1</v>
      </c>
      <c r="O30" s="511">
        <f>+SUM('[3]Misc Cargo'!$HD$64:$HK$64)</f>
        <v>7505</v>
      </c>
      <c r="P30" s="505">
        <f>+SUM('[3]Misc Cargo'!$GP$64:$GW$64)</f>
        <v>268555</v>
      </c>
      <c r="Q30" s="507">
        <f>(O30-P30)/P30</f>
        <v>-0.97205414160972614</v>
      </c>
      <c r="R30" s="506">
        <f>O30/$O$34</f>
        <v>2.5935267044630741E-5</v>
      </c>
    </row>
    <row r="31" spans="1:20" x14ac:dyDescent="0.2">
      <c r="A31" s="52"/>
      <c r="B31" s="54"/>
      <c r="C31" s="477"/>
      <c r="E31" s="83"/>
      <c r="F31" s="451"/>
      <c r="I31" s="83"/>
      <c r="J31" s="322"/>
      <c r="K31" s="54"/>
      <c r="L31" s="451"/>
      <c r="N31" s="83"/>
      <c r="O31" s="451"/>
      <c r="P31" s="2"/>
      <c r="Q31" s="3"/>
      <c r="R31" s="83"/>
    </row>
    <row r="32" spans="1:20" ht="13.5" thickBot="1" x14ac:dyDescent="0.25">
      <c r="A32" s="434"/>
      <c r="B32" s="512"/>
      <c r="C32" s="513"/>
      <c r="D32" s="514"/>
      <c r="E32" s="515"/>
      <c r="F32" s="513"/>
      <c r="G32" s="514"/>
      <c r="H32" s="516"/>
      <c r="I32" s="515"/>
      <c r="J32"/>
      <c r="K32"/>
      <c r="L32" s="517"/>
      <c r="M32" s="340"/>
      <c r="N32" s="518"/>
      <c r="O32" s="517"/>
      <c r="P32" s="340"/>
      <c r="Q32" s="519"/>
      <c r="R32" s="512"/>
    </row>
    <row r="33" spans="2:18" ht="13.5" thickBot="1" x14ac:dyDescent="0.25">
      <c r="D33" s="3"/>
      <c r="F33" s="2"/>
      <c r="G33"/>
      <c r="H33"/>
      <c r="I33"/>
      <c r="J33" s="381"/>
      <c r="K33" s="381"/>
      <c r="M33"/>
      <c r="N33"/>
    </row>
    <row r="34" spans="2:18" ht="15.75" thickBot="1" x14ac:dyDescent="0.3">
      <c r="B34" s="437" t="s">
        <v>186</v>
      </c>
      <c r="C34" s="438">
        <f>+C30+C26+C19+C9+C5</f>
        <v>1436</v>
      </c>
      <c r="D34" s="438">
        <f>+D30+D26+D19+D9+D5</f>
        <v>1226</v>
      </c>
      <c r="E34" s="439">
        <f>(C34-D34)/D34</f>
        <v>0.17128874388254486</v>
      </c>
      <c r="F34" s="438">
        <f>+F30+F26+F19+F9+F5</f>
        <v>10904</v>
      </c>
      <c r="G34" s="438">
        <f>+G30+G26+G19+G9+G5</f>
        <v>9540</v>
      </c>
      <c r="H34" s="440">
        <f>(F34-G34)/G34</f>
        <v>0.1429769392033543</v>
      </c>
      <c r="I34" s="455"/>
      <c r="J34"/>
      <c r="K34" s="437" t="s">
        <v>186</v>
      </c>
      <c r="L34" s="438">
        <f>+L30+L26+L19+L9+L5</f>
        <v>38173496.780000001</v>
      </c>
      <c r="M34" s="438">
        <f>+M30+M26+M19+M9+M5</f>
        <v>31591011</v>
      </c>
      <c r="N34" s="441">
        <f>(L34-M34)/M34</f>
        <v>0.20836578417829049</v>
      </c>
      <c r="O34" s="438">
        <f>+O30+O26+O19+O9+O5</f>
        <v>289374309.77999997</v>
      </c>
      <c r="P34" s="438">
        <f>+P30+P26+P19+P9+P5</f>
        <v>252335854</v>
      </c>
      <c r="Q34" s="440">
        <f t="shared" ref="Q34" si="15">(O34-P34)/P34</f>
        <v>0.14678237433511915</v>
      </c>
      <c r="R34" s="455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 s="128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B75" s="7"/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K98" s="11"/>
      <c r="L98"/>
      <c r="M98"/>
      <c r="N98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</row>
    <row r="1048576" spans="20:20" x14ac:dyDescent="0.2">
      <c r="T1048576" s="537">
        <f>SUM(T1:T1048575)</f>
        <v>0</v>
      </c>
    </row>
  </sheetData>
  <mergeCells count="7">
    <mergeCell ref="L28:R28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6" fitToHeight="0" orientation="landscape" r:id="rId1"/>
  <headerFooter>
    <oddHeader>&amp;CMinneapolis-St. Paul International Airport&amp;"Arial,Bold"
Cargo YTD
August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2022-04-01T16:03:05Z</dcterms:modified>
</cp:coreProperties>
</file>